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5.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9.xml" ContentType="application/vnd.openxmlformats-officedocument.spreadsheetml.comments+xml"/>
  <Override PartName="/xl/drawings/drawing24.xml" ContentType="application/vnd.openxmlformats-officedocument.drawing+xml"/>
  <Override PartName="/xl/comments10.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11.xml" ContentType="application/vnd.openxmlformats-officedocument.spreadsheetml.comments+xml"/>
  <Override PartName="/xl/drawings/drawing29.xml" ContentType="application/vnd.openxmlformats-officedocument.drawing+xml"/>
  <Override PartName="/xl/drawings/drawing30.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NAMASTECREDIT-TECH\Downloads\"/>
    </mc:Choice>
  </mc:AlternateContent>
  <xr:revisionPtr revIDLastSave="0" documentId="13_ncr:8001_{5A26A125-7361-4B84-A074-89CA2CD69CF7}" xr6:coauthVersionLast="47" xr6:coauthVersionMax="47" xr10:uidLastSave="{00000000-0000-0000-0000-000000000000}"/>
  <bookViews>
    <workbookView xWindow="-120" yWindow="-120" windowWidth="20730" windowHeight="11160" tabRatio="955" firstSheet="4" activeTab="4" xr2:uid="{00000000-000D-0000-FFFF-FFFF00000000}"/>
  </bookViews>
  <sheets>
    <sheet name="Data" sheetId="69" state="hidden" r:id="rId1"/>
    <sheet name="Home" sheetId="63" state="hidden" r:id="rId2"/>
    <sheet name="Disbursement_Checklist" sheetId="68" state="hidden" r:id="rId3"/>
    <sheet name="Product Details" sheetId="132" state="hidden" r:id="rId4"/>
    <sheet name="EWS" sheetId="164" r:id="rId5"/>
    <sheet name="Business Profile" sheetId="102" r:id="rId6"/>
    <sheet name="Associated Companies" sheetId="123" state="hidden" r:id="rId7"/>
    <sheet name="ROC" sheetId="136" state="hidden" r:id="rId8"/>
    <sheet name="CA" sheetId="103" r:id="rId9"/>
    <sheet name="GST" sheetId="137" r:id="rId10"/>
    <sheet name="KYC" sheetId="107" state="hidden" r:id="rId11"/>
    <sheet name="Crime" sheetId="117" state="hidden" r:id="rId12"/>
    <sheet name="EPFO" sheetId="108" r:id="rId13"/>
    <sheet name="ESIC" sheetId="109" r:id="rId14"/>
    <sheet name="Google" sheetId="121" r:id="rId15"/>
    <sheet name="Truecaller" sheetId="119" state="hidden" r:id="rId16"/>
    <sheet name="LEI" sheetId="120" state="hidden" r:id="rId17"/>
    <sheet name="Observations" sheetId="67" state="hidden" r:id="rId18"/>
    <sheet name="Drop Table" sheetId="112" state="hidden" r:id="rId19"/>
    <sheet name="Borrower Details" sheetId="16" state="hidden" r:id="rId20"/>
    <sheet name="Facility &amp; Collateral Details" sheetId="23" state="hidden" r:id="rId21"/>
    <sheet name="Multiple Banking" sheetId="90" state="hidden" r:id="rId22"/>
    <sheet name="Financials1" sheetId="74" state="hidden" r:id="rId23"/>
    <sheet name="LOSPnL1" sheetId="148" state="hidden" r:id="rId24"/>
    <sheet name="LOSBS1" sheetId="149" state="hidden" r:id="rId25"/>
    <sheet name="Financials2" sheetId="73" state="hidden" r:id="rId26"/>
    <sheet name="LOSPnL2" sheetId="150" state="hidden" r:id="rId27"/>
    <sheet name="LOSBS2" sheetId="151" state="hidden" r:id="rId28"/>
    <sheet name="LOSPnL3" sheetId="152" state="hidden" r:id="rId29"/>
    <sheet name="LOSBS3" sheetId="153" state="hidden" r:id="rId30"/>
    <sheet name="Financials3" sheetId="76" state="hidden" r:id="rId31"/>
    <sheet name="Financials_Consolidated" sheetId="24" state="hidden" r:id="rId32"/>
    <sheet name="LOSPnL_Consolidated" sheetId="154" state="hidden" r:id="rId33"/>
    <sheet name="LOSBS_Consolidated" sheetId="155" state="hidden" r:id="rId34"/>
    <sheet name="Fin Observation" sheetId="122" state="hidden" r:id="rId35"/>
    <sheet name="TeleVRs" sheetId="66" state="hidden" r:id="rId36"/>
    <sheet name="Professional Receipts" sheetId="61" state="hidden" r:id="rId37"/>
    <sheet name="Industry Margins" sheetId="52" state="hidden" r:id="rId38"/>
    <sheet name="Gross Profit" sheetId="60" state="hidden" r:id="rId39"/>
    <sheet name="LRD" sheetId="62" state="hidden" r:id="rId40"/>
    <sheet name="Eligibility_EBIDTA" sheetId="113" state="hidden" r:id="rId41"/>
    <sheet name="Eligibility_Margin" sheetId="114" state="hidden" r:id="rId42"/>
    <sheet name="Cash Profit" sheetId="54" state="hidden" r:id="rId43"/>
    <sheet name="Salaried" sheetId="55" state="hidden" r:id="rId44"/>
    <sheet name="EMI Chart" sheetId="53" state="hidden" r:id="rId45"/>
    <sheet name="PD_Non_Individual" sheetId="78" state="hidden" r:id="rId46"/>
    <sheet name="PD_Salaried" sheetId="70" state="hidden" r:id="rId47"/>
    <sheet name="EMI Sheet1" sheetId="163" state="hidden" r:id="rId48"/>
    <sheet name="Banking" sheetId="37" state="hidden" r:id="rId49"/>
    <sheet name="NC Banking Score" sheetId="170" r:id="rId50"/>
    <sheet name="Daily-Balance" sheetId="169" r:id="rId51"/>
    <sheet name="Transaction-Analysis" sheetId="167" r:id="rId52"/>
    <sheet name="NC-RTR" sheetId="116" r:id="rId53"/>
    <sheet name="Credit analysis" sheetId="93" state="hidden" r:id="rId54"/>
    <sheet name="Legal_Compliance_Certificate" sheetId="77" state="hidden" r:id="rId55"/>
    <sheet name="Rating_Individual" sheetId="131" state="hidden" r:id="rId56"/>
    <sheet name="Rating_NonIndividuals" sheetId="87" state="hidden" r:id="rId57"/>
    <sheet name="Covenants" sheetId="94" state="hidden" r:id="rId58"/>
    <sheet name="CRM approval" sheetId="95" state="hidden" r:id="rId59"/>
    <sheet name="HTN-LAP" sheetId="96" state="hidden" r:id="rId60"/>
    <sheet name="CRM Rating" sheetId="133" state="hidden" r:id="rId61"/>
    <sheet name="LC Eligibility" sheetId="157" state="hidden" r:id="rId62"/>
    <sheet name="BG Eligibilty" sheetId="158" state="hidden" r:id="rId63"/>
    <sheet name="High ticket norms and DBR" sheetId="97" state="hidden" r:id="rId64"/>
    <sheet name="Step down" sheetId="98" state="hidden" r:id="rId65"/>
    <sheet name="CGTMSE Input" sheetId="142" state="hidden" r:id="rId66"/>
    <sheet name="CGTMSE OUtput Sheet" sheetId="141" state="hidden" r:id="rId67"/>
    <sheet name="App Calc" sheetId="145" state="hidden" r:id="rId68"/>
    <sheet name="HL PSL Calculator" sheetId="161" state="hidden" r:id="rId69"/>
    <sheet name="MSE PSL Calculator" sheetId="162" state="hidden" r:id="rId70"/>
    <sheet name="Control Checklist" sheetId="146" state="hidden" r:id="rId71"/>
    <sheet name="PD - MSME" sheetId="159" state="hidden" r:id="rId72"/>
    <sheet name="PD - Others" sheetId="160" state="hidden" r:id="rId73"/>
    <sheet name="End Use Calc" sheetId="129" state="hidden" r:id="rId74"/>
    <sheet name="Site Visit" sheetId="130" state="hidden" r:id="rId75"/>
    <sheet name="UD Fields" sheetId="156" state="hidden" r:id="rId76"/>
  </sheets>
  <functionGroups builtInGroupCount="19"/>
  <externalReferences>
    <externalReference r:id="rId77"/>
    <externalReference r:id="rId78"/>
    <externalReference r:id="rId79"/>
  </externalReferences>
  <definedNames>
    <definedName name="___INDEX_SHEET___ASAP_Utilities">#REF!</definedName>
    <definedName name="_xlnm._FilterDatabase" localSheetId="70" hidden="1">'Control Checklist'!$A$1:$C$89</definedName>
    <definedName name="_xlnm._FilterDatabase" localSheetId="69" hidden="1">'MSE PSL Calculator'!$Y$1:$Y$52</definedName>
    <definedName name="Amount">[1]ROC!$I$32:$I$35</definedName>
    <definedName name="AuthCap">[1]ROC!$E$10</definedName>
    <definedName name="ChartData">'Daily-Balance'!$B$10:$AF$13</definedName>
    <definedName name="cibil_score">'Borrower Details'!$M$40</definedName>
    <definedName name="CIN">[1]ROC!$E$3</definedName>
    <definedName name="CINStatus">[1]ROC!$E$22</definedName>
    <definedName name="Constitution">Table2[Constitution]</definedName>
    <definedName name="_xlnm.Criteria">[1]ROC!$H$32:$H$35</definedName>
    <definedName name="DailyBal" localSheetId="49">'[2]2.Daily-Balance'!$B$3:$AG$9</definedName>
    <definedName name="DailyBal">'Daily-Balance'!$B$3:$AG$9</definedName>
    <definedName name="DAvg" localSheetId="49">'[2]2.Daily-Balance'!$B$10:$AF$10</definedName>
    <definedName name="DAvg">'[3]2.Daily-Balance'!$B$10:$AF$10</definedName>
    <definedName name="emi_oblig">'EMI Chart'!$I$43</definedName>
    <definedName name="FE_17">Eligibility_EBIDTA!$F$9:$F$16</definedName>
    <definedName name="GSTIN">[1]GST!$E$3</definedName>
    <definedName name="GSTINStatus">[1]GST!$E$10</definedName>
    <definedName name="PaidUp">[1]ROC!$E$11</definedName>
    <definedName name="_xlnm.Print_Area" localSheetId="67">'App Calc'!$A$1:$O$50</definedName>
    <definedName name="_xlnm.Print_Area" localSheetId="6">'Associated Companies'!$B$2:$D$15</definedName>
    <definedName name="_xlnm.Print_Area" localSheetId="19">'Borrower Details'!$A$2:$M$41</definedName>
    <definedName name="_xlnm.Print_Area" localSheetId="5">'Business Profile'!$B$2:$I$26</definedName>
    <definedName name="_xlnm.Print_Area" localSheetId="8">CA!$B$2:$C$38</definedName>
    <definedName name="_xlnm.Print_Area" localSheetId="42">'Cash Profit'!$A$2:$F$34</definedName>
    <definedName name="_xlnm.Print_Area" localSheetId="57">Covenants!$A$1:$D$60</definedName>
    <definedName name="_xlnm.Print_Area" localSheetId="53">'Credit analysis'!$B$2:$F$45</definedName>
    <definedName name="_xlnm.Print_Area" localSheetId="11">Crime!$B$2:$M$13</definedName>
    <definedName name="_xlnm.Print_Area" localSheetId="58">'CRM approval'!$A$1:$D$46</definedName>
    <definedName name="_xlnm.Print_Area" localSheetId="2">Disbursement_Checklist!$A$1:$E$72</definedName>
    <definedName name="_xlnm.Print_Area" localSheetId="40">Eligibility_EBIDTA!$A$1:$F$32</definedName>
    <definedName name="_xlnm.Print_Area" localSheetId="41">Eligibility_Margin!$A$1:$I$26</definedName>
    <definedName name="_xlnm.Print_Area" localSheetId="44">'EMI Chart'!$B$2:$T$50</definedName>
    <definedName name="_xlnm.Print_Area" localSheetId="73">'End Use Calc'!$B$1:$C$64</definedName>
    <definedName name="_xlnm.Print_Area" localSheetId="12">EPFO!$B$2:$F$34</definedName>
    <definedName name="_xlnm.Print_Area" localSheetId="13">ESIC!$B$2:$C$7</definedName>
    <definedName name="_xlnm.Print_Area" localSheetId="20">'Facility &amp; Collateral Details'!$A$1:$F$89</definedName>
    <definedName name="_xlnm.Print_Area" localSheetId="34">'Fin Observation'!$B$2:$D$12</definedName>
    <definedName name="_xlnm.Print_Area" localSheetId="31">Financials_Consolidated!$A$1:$I$93</definedName>
    <definedName name="_xlnm.Print_Area" localSheetId="22">Financials1!$A$1:$I$94</definedName>
    <definedName name="_xlnm.Print_Area" localSheetId="25">Financials2!$A$1:$I$94</definedName>
    <definedName name="_xlnm.Print_Area" localSheetId="14">Google!$B$2:$E$51</definedName>
    <definedName name="_xlnm.Print_Area" localSheetId="38">'Gross Profit'!$A$1:$D$29</definedName>
    <definedName name="_xlnm.Print_Area" localSheetId="9">GST!$B$2:$G$49</definedName>
    <definedName name="_xlnm.Print_Area" localSheetId="63">'High ticket norms and DBR'!$B$1:$K$16</definedName>
    <definedName name="_xlnm.Print_Area" localSheetId="59">'HTN-LAP'!$B$2:$E$46</definedName>
    <definedName name="_xlnm.Print_Area" localSheetId="37">'Industry Margins'!$A$1:$I$32</definedName>
    <definedName name="_xlnm.Print_Area" localSheetId="10">KYC!$B$2:$H$35</definedName>
    <definedName name="_xlnm.Print_Area" localSheetId="54">Legal_Compliance_Certificate!$A$1:$C$22</definedName>
    <definedName name="_xlnm.Print_Area" localSheetId="16">LEI!$B$2:$C$15</definedName>
    <definedName name="_xlnm.Print_Area" localSheetId="39">LRD!$B$1:$F$38</definedName>
    <definedName name="_xlnm.Print_Area" localSheetId="69">'MSE PSL Calculator'!$A$1:$F$45</definedName>
    <definedName name="_xlnm.Print_Area" localSheetId="21">'Multiple Banking'!$B$2:$BF$23</definedName>
    <definedName name="_xlnm.Print_Area" localSheetId="52">'NC-RTR'!$B$2:$BC$49</definedName>
    <definedName name="_xlnm.Print_Area" localSheetId="17">Observations!$B$2:$E$36</definedName>
    <definedName name="_xlnm.Print_Area" localSheetId="36">'Professional Receipts'!$B$1:$F$18</definedName>
    <definedName name="_xlnm.Print_Area" localSheetId="55">Rating_Individual!$B$2:$I$16</definedName>
    <definedName name="_xlnm.Print_Area" localSheetId="56">Rating_NonIndividuals!$B$2:$J$34</definedName>
    <definedName name="_xlnm.Print_Area" localSheetId="7">ROC!$B$2:$J$42</definedName>
    <definedName name="_xlnm.Print_Area" localSheetId="74">'Site Visit'!$A$1:$B$31</definedName>
    <definedName name="_xlnm.Print_Area" localSheetId="64">'Step down'!$B$1:$E$14</definedName>
    <definedName name="_xlnm.Print_Area" localSheetId="35">TeleVRs!$B$1:$C$61</definedName>
    <definedName name="_xlnm.Print_Area" localSheetId="15">Truecaller!$B$2:$G$7</definedName>
    <definedName name="_xlnm.Print_Titles" localSheetId="47">'EMI Sheet1'!$1:$1</definedName>
    <definedName name="Product_Type">Table1[Product Type]</definedName>
    <definedName name="RegAdd">[1]ROC!$E$14</definedName>
    <definedName name="Sector">Table3[Sector]</definedName>
    <definedName name="wrn.Print._.All." localSheetId="33" hidden="1">{"Page1",#N/A,FALSE,"Page 1";"Page2",#N/A,FALSE,"Page 2";"Industry etc.",#N/A,FALSE,"Industry and Country Scores"}</definedName>
    <definedName name="wrn.Print._.All." localSheetId="24" hidden="1">{"Page1",#N/A,FALSE,"Page 1";"Page2",#N/A,FALSE,"Page 2";"Industry etc.",#N/A,FALSE,"Industry and Country Scores"}</definedName>
    <definedName name="wrn.Print._.All." localSheetId="27" hidden="1">{"Page1",#N/A,FALSE,"Page 1";"Page2",#N/A,FALSE,"Page 2";"Industry etc.",#N/A,FALSE,"Industry and Country Scores"}</definedName>
    <definedName name="wrn.Print._.All." localSheetId="29" hidden="1">{"Page1",#N/A,FALSE,"Page 1";"Page2",#N/A,FALSE,"Page 2";"Industry etc.",#N/A,FALSE,"Industry and Country Scores"}</definedName>
    <definedName name="wrn.Print._.All." hidden="1">{"Page1",#N/A,FALSE,"Page 1";"Page2",#N/A,FALSE,"Page 2";"Industry etc.",#N/A,FALSE,"Industry and Country Scores"}</definedName>
  </definedNames>
  <calcPr calcId="191029"/>
  <customWorkbookViews>
    <customWorkbookView name="Authorised User - Personal View" guid="{622412F3-E3C6-4D5F-9C43-89A4A70046F8}" mergeInterval="0" personalView="1" maximized="1" windowWidth="1020" windowHeight="543" tabRatio="824" activeSheetId="12"/>
    <customWorkbookView name="saranee - Personal View" guid="{CBB86DB3-5A4D-4128-9BC1-F6AB11D256A8}" mergeInterval="0" personalView="1" maximized="1" windowWidth="1020" windowHeight="513" tabRatio="824" activeSheetId="3" showObjects="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170" l="1"/>
  <c r="G10" i="170"/>
  <c r="I8" i="170"/>
  <c r="K5" i="170"/>
  <c r="J5" i="170"/>
  <c r="AF13" i="169"/>
  <c r="AE13" i="169"/>
  <c r="AD13" i="169"/>
  <c r="AC13" i="169"/>
  <c r="AB13" i="169"/>
  <c r="AA13" i="169"/>
  <c r="Z13" i="169"/>
  <c r="Y13" i="169"/>
  <c r="X13" i="169"/>
  <c r="W13" i="169"/>
  <c r="V13" i="169"/>
  <c r="U13" i="169"/>
  <c r="T13" i="169"/>
  <c r="S13" i="169"/>
  <c r="R13" i="169"/>
  <c r="Q13" i="169"/>
  <c r="P13" i="169"/>
  <c r="O13" i="169"/>
  <c r="N13" i="169"/>
  <c r="M13" i="169"/>
  <c r="L13" i="169"/>
  <c r="K13" i="169"/>
  <c r="J13" i="169"/>
  <c r="I13" i="169"/>
  <c r="H13" i="169"/>
  <c r="G13" i="169"/>
  <c r="F13" i="169"/>
  <c r="E13" i="169"/>
  <c r="D13" i="169"/>
  <c r="C13" i="169"/>
  <c r="B13" i="169"/>
  <c r="AF10" i="169"/>
  <c r="AF12" i="169"/>
  <c r="AE10" i="169"/>
  <c r="AE12" i="169"/>
  <c r="AD10" i="169"/>
  <c r="AD12" i="169"/>
  <c r="AC10" i="169"/>
  <c r="AC11" i="169" s="1"/>
  <c r="AC12" i="169"/>
  <c r="AB10" i="169"/>
  <c r="AB12" i="169"/>
  <c r="AA10" i="169"/>
  <c r="AA11" i="169" s="1"/>
  <c r="AA12" i="169"/>
  <c r="Z10" i="169"/>
  <c r="Z12" i="169"/>
  <c r="Y10" i="169"/>
  <c r="Y11" i="169" s="1"/>
  <c r="Y12" i="169"/>
  <c r="X10" i="169"/>
  <c r="X12" i="169"/>
  <c r="W10" i="169"/>
  <c r="W11" i="169" s="1"/>
  <c r="W12" i="169"/>
  <c r="V10" i="169"/>
  <c r="V12" i="169"/>
  <c r="U10" i="169"/>
  <c r="U11" i="169" s="1"/>
  <c r="U12" i="169"/>
  <c r="T10" i="169"/>
  <c r="T12" i="169"/>
  <c r="S10" i="169"/>
  <c r="S12" i="169"/>
  <c r="R10" i="169"/>
  <c r="R12" i="169"/>
  <c r="Q10" i="169"/>
  <c r="Q11" i="169" s="1"/>
  <c r="Q12" i="169"/>
  <c r="P10" i="169"/>
  <c r="P12" i="169"/>
  <c r="O10" i="169"/>
  <c r="O12" i="169"/>
  <c r="N10" i="169"/>
  <c r="N12" i="169"/>
  <c r="M10" i="169"/>
  <c r="M11" i="169" s="1"/>
  <c r="M12" i="169"/>
  <c r="L10" i="169"/>
  <c r="L12" i="169"/>
  <c r="K10" i="169"/>
  <c r="K11" i="169" s="1"/>
  <c r="K12" i="169"/>
  <c r="J10" i="169"/>
  <c r="J12" i="169"/>
  <c r="I10" i="169"/>
  <c r="I11" i="169" s="1"/>
  <c r="I12" i="169"/>
  <c r="H10" i="169"/>
  <c r="H12" i="169"/>
  <c r="G10" i="169"/>
  <c r="G11" i="169" s="1"/>
  <c r="G12" i="169"/>
  <c r="F10" i="169"/>
  <c r="F12" i="169"/>
  <c r="E10" i="169"/>
  <c r="E11" i="169" s="1"/>
  <c r="E12" i="169"/>
  <c r="D10" i="169"/>
  <c r="D12" i="169"/>
  <c r="C10" i="169"/>
  <c r="C12" i="169"/>
  <c r="B12" i="169"/>
  <c r="AF11" i="169"/>
  <c r="AE11" i="169"/>
  <c r="AD11" i="169"/>
  <c r="AB11" i="169"/>
  <c r="Z11" i="169"/>
  <c r="X11" i="169"/>
  <c r="V11" i="169"/>
  <c r="T11" i="169"/>
  <c r="S11" i="169"/>
  <c r="R11" i="169"/>
  <c r="P11" i="169"/>
  <c r="O11" i="169"/>
  <c r="N11" i="169"/>
  <c r="L11" i="169"/>
  <c r="J11" i="169"/>
  <c r="H11" i="169"/>
  <c r="F11" i="169"/>
  <c r="D11" i="169"/>
  <c r="C11" i="169"/>
  <c r="B11" i="169"/>
  <c r="AH3" i="169"/>
  <c r="AH4" i="169"/>
  <c r="AH5" i="169"/>
  <c r="AH6" i="169"/>
  <c r="AH7" i="169"/>
  <c r="AH8" i="169"/>
  <c r="AH9" i="169"/>
  <c r="AG10" i="169"/>
  <c r="K46" i="116"/>
  <c r="M46" i="116" s="1"/>
  <c r="O46" i="116"/>
  <c r="Q46" i="116"/>
  <c r="R46" i="116"/>
  <c r="K45" i="116"/>
  <c r="M45" i="116" s="1"/>
  <c r="O45" i="116"/>
  <c r="Q45" i="116"/>
  <c r="R45" i="116"/>
  <c r="K44" i="116"/>
  <c r="M44" i="116" s="1"/>
  <c r="O44" i="116"/>
  <c r="Q44" i="116"/>
  <c r="R44" i="116"/>
  <c r="K43" i="116"/>
  <c r="M43" i="116" s="1"/>
  <c r="O43" i="116"/>
  <c r="Q43" i="116"/>
  <c r="R43" i="116"/>
  <c r="C15" i="74"/>
  <c r="F15" i="74" s="1"/>
  <c r="D15" i="74"/>
  <c r="D10" i="148" s="1"/>
  <c r="C13" i="74"/>
  <c r="C11" i="74" s="1"/>
  <c r="D13" i="74"/>
  <c r="K38" i="116"/>
  <c r="M38" i="116" s="1"/>
  <c r="O38" i="116"/>
  <c r="Q38" i="116"/>
  <c r="R38" i="116"/>
  <c r="K39" i="116"/>
  <c r="M39" i="116" s="1"/>
  <c r="O39" i="116"/>
  <c r="Q39" i="116"/>
  <c r="R39" i="116"/>
  <c r="K40" i="116"/>
  <c r="M40" i="116" s="1"/>
  <c r="O40" i="116"/>
  <c r="Q40" i="116"/>
  <c r="R40" i="116"/>
  <c r="K41" i="116"/>
  <c r="M41" i="116" s="1"/>
  <c r="O41" i="116"/>
  <c r="Q41" i="116"/>
  <c r="R41" i="116"/>
  <c r="K42" i="116"/>
  <c r="M42" i="116" s="1"/>
  <c r="O42" i="116"/>
  <c r="Q42" i="116"/>
  <c r="R42" i="116"/>
  <c r="K47" i="116"/>
  <c r="M47" i="116" s="1"/>
  <c r="O47" i="116"/>
  <c r="Q47" i="116"/>
  <c r="R47" i="116"/>
  <c r="B10" i="16"/>
  <c r="K35" i="116"/>
  <c r="M35" i="116" s="1"/>
  <c r="O35" i="116"/>
  <c r="Q35" i="116"/>
  <c r="R35" i="116"/>
  <c r="K36" i="116"/>
  <c r="M36" i="116" s="1"/>
  <c r="O36" i="116"/>
  <c r="Q36" i="116"/>
  <c r="R36" i="116"/>
  <c r="K37" i="116"/>
  <c r="M37" i="116" s="1"/>
  <c r="O37" i="116"/>
  <c r="Q37" i="116"/>
  <c r="R37" i="116"/>
  <c r="K32" i="116"/>
  <c r="M32" i="116" s="1"/>
  <c r="O32" i="116"/>
  <c r="Q32" i="116"/>
  <c r="R32" i="116"/>
  <c r="K33" i="116"/>
  <c r="M33" i="116" s="1"/>
  <c r="O33" i="116"/>
  <c r="Q33" i="116"/>
  <c r="R33" i="116"/>
  <c r="D48" i="74"/>
  <c r="D41" i="74"/>
  <c r="H41" i="74" s="1"/>
  <c r="D46" i="74"/>
  <c r="D50" i="74"/>
  <c r="D47" i="74"/>
  <c r="D67" i="74"/>
  <c r="D60" i="74"/>
  <c r="D34" i="149" s="1"/>
  <c r="D12" i="74"/>
  <c r="D24" i="74"/>
  <c r="D14" i="74"/>
  <c r="D19" i="74"/>
  <c r="D18" i="74"/>
  <c r="D87" i="74" s="1"/>
  <c r="D17" i="74"/>
  <c r="C24" i="74"/>
  <c r="C18" i="74"/>
  <c r="C17" i="74"/>
  <c r="F17" i="74" s="1"/>
  <c r="C14" i="74"/>
  <c r="C46" i="74"/>
  <c r="C67" i="74"/>
  <c r="F67" i="74" s="1"/>
  <c r="C60" i="74"/>
  <c r="C50" i="74"/>
  <c r="C48" i="74"/>
  <c r="C47" i="74"/>
  <c r="F47" i="74" s="1"/>
  <c r="C41" i="74"/>
  <c r="E13" i="116"/>
  <c r="K30" i="116"/>
  <c r="M30" i="116" s="1"/>
  <c r="O30" i="116"/>
  <c r="Q30" i="116"/>
  <c r="R30" i="116"/>
  <c r="K29" i="116"/>
  <c r="M29" i="116" s="1"/>
  <c r="O29" i="116"/>
  <c r="Q29" i="116"/>
  <c r="R29" i="116"/>
  <c r="K28" i="116"/>
  <c r="M28" i="116" s="1"/>
  <c r="O28" i="116"/>
  <c r="Q28" i="116"/>
  <c r="R28" i="116"/>
  <c r="K27" i="116"/>
  <c r="M27" i="116" s="1"/>
  <c r="O27" i="116"/>
  <c r="Q27" i="116"/>
  <c r="R27" i="116"/>
  <c r="K26" i="116"/>
  <c r="M26" i="116" s="1"/>
  <c r="O26" i="116"/>
  <c r="Q26" i="116"/>
  <c r="R26" i="116"/>
  <c r="E87" i="76"/>
  <c r="D87" i="76"/>
  <c r="C87" i="76"/>
  <c r="B87" i="76"/>
  <c r="E87" i="73"/>
  <c r="D87" i="73"/>
  <c r="C87" i="73"/>
  <c r="G87" i="73" s="1"/>
  <c r="B87" i="73"/>
  <c r="E87" i="74"/>
  <c r="B87" i="74"/>
  <c r="C85" i="76"/>
  <c r="F85" i="76" s="1"/>
  <c r="D85" i="76"/>
  <c r="E85" i="76"/>
  <c r="B85" i="76"/>
  <c r="C85" i="73"/>
  <c r="F85" i="73" s="1"/>
  <c r="D85" i="73"/>
  <c r="E85" i="73"/>
  <c r="B85" i="73"/>
  <c r="E85" i="74"/>
  <c r="B85" i="74"/>
  <c r="R41" i="162"/>
  <c r="O41" i="162"/>
  <c r="P41" i="162"/>
  <c r="P44" i="162" s="1"/>
  <c r="K36" i="162"/>
  <c r="K35" i="162"/>
  <c r="R31" i="162"/>
  <c r="T36" i="162" s="1"/>
  <c r="F25" i="162"/>
  <c r="F26" i="162" s="1"/>
  <c r="F22" i="162"/>
  <c r="F20" i="162"/>
  <c r="Q36" i="162" s="1"/>
  <c r="F19" i="162"/>
  <c r="P18" i="162"/>
  <c r="P17" i="162"/>
  <c r="F23" i="162" s="1"/>
  <c r="F24" i="162" s="1"/>
  <c r="AD9" i="162" s="1"/>
  <c r="AE9" i="162" s="1"/>
  <c r="F13" i="162"/>
  <c r="AD8" i="162"/>
  <c r="AE8" i="162"/>
  <c r="Z8" i="162"/>
  <c r="C13" i="161"/>
  <c r="C14" i="161" s="1"/>
  <c r="B7" i="74"/>
  <c r="E9" i="158"/>
  <c r="E10" i="158"/>
  <c r="B19" i="141"/>
  <c r="D85" i="141"/>
  <c r="B86" i="141"/>
  <c r="B85" i="141"/>
  <c r="D96" i="141"/>
  <c r="D98" i="141"/>
  <c r="B103" i="141"/>
  <c r="F16" i="16"/>
  <c r="E7" i="157"/>
  <c r="E8" i="157"/>
  <c r="E9" i="157" s="1"/>
  <c r="C9" i="156"/>
  <c r="D95" i="141"/>
  <c r="D91" i="141"/>
  <c r="D92" i="141"/>
  <c r="D93" i="141"/>
  <c r="D94" i="141"/>
  <c r="D90" i="141"/>
  <c r="B95" i="141"/>
  <c r="B91" i="141"/>
  <c r="B92" i="141"/>
  <c r="B93" i="141"/>
  <c r="B94" i="141"/>
  <c r="B90" i="141"/>
  <c r="F38" i="62"/>
  <c r="E38" i="62"/>
  <c r="F90" i="24"/>
  <c r="F91" i="76"/>
  <c r="F71" i="76"/>
  <c r="F69" i="76"/>
  <c r="F67" i="76"/>
  <c r="F66" i="76"/>
  <c r="F65" i="76"/>
  <c r="F62" i="76"/>
  <c r="F61" i="76"/>
  <c r="F60" i="76"/>
  <c r="F58" i="76"/>
  <c r="F57" i="76"/>
  <c r="F56" i="76"/>
  <c r="F55" i="76"/>
  <c r="F51" i="76"/>
  <c r="F50" i="76"/>
  <c r="F48" i="76"/>
  <c r="F47" i="76"/>
  <c r="F46" i="76"/>
  <c r="F45" i="76"/>
  <c r="F44" i="76"/>
  <c r="F42" i="76"/>
  <c r="F41" i="76"/>
  <c r="F35" i="76"/>
  <c r="F31" i="76"/>
  <c r="F28" i="76"/>
  <c r="F27" i="76"/>
  <c r="F24" i="76"/>
  <c r="F23" i="76"/>
  <c r="F22" i="76"/>
  <c r="F19" i="76"/>
  <c r="F18" i="76"/>
  <c r="F17" i="76"/>
  <c r="F15" i="76"/>
  <c r="F14" i="76"/>
  <c r="F13" i="76"/>
  <c r="F12" i="76"/>
  <c r="F91" i="73"/>
  <c r="F71" i="73"/>
  <c r="F69" i="73"/>
  <c r="F67" i="73"/>
  <c r="F66" i="73"/>
  <c r="F65" i="73"/>
  <c r="F62" i="73"/>
  <c r="F61" i="73"/>
  <c r="F60" i="73"/>
  <c r="F58" i="73"/>
  <c r="F57" i="73"/>
  <c r="F56" i="73"/>
  <c r="F55" i="73"/>
  <c r="F51" i="73"/>
  <c r="F50" i="73"/>
  <c r="F48" i="73"/>
  <c r="F47" i="73"/>
  <c r="F46" i="73"/>
  <c r="F45" i="73"/>
  <c r="F44" i="73"/>
  <c r="F42" i="73"/>
  <c r="F41" i="73"/>
  <c r="F35" i="73"/>
  <c r="F31" i="73"/>
  <c r="F28" i="73"/>
  <c r="F27" i="73"/>
  <c r="F24" i="73"/>
  <c r="F23" i="73"/>
  <c r="F22" i="73"/>
  <c r="F19" i="73"/>
  <c r="F18" i="73"/>
  <c r="F17" i="73"/>
  <c r="F15" i="73"/>
  <c r="F14" i="73"/>
  <c r="F13" i="73"/>
  <c r="F12" i="73"/>
  <c r="G41" i="74"/>
  <c r="F12" i="74"/>
  <c r="F91" i="74"/>
  <c r="F71" i="74"/>
  <c r="F69" i="74"/>
  <c r="F66" i="74"/>
  <c r="F65" i="74"/>
  <c r="F62" i="74"/>
  <c r="F61" i="74"/>
  <c r="F60" i="74"/>
  <c r="F58" i="74"/>
  <c r="F57" i="74"/>
  <c r="F56" i="74"/>
  <c r="F55" i="74"/>
  <c r="F51" i="74"/>
  <c r="F48" i="74"/>
  <c r="F46" i="74"/>
  <c r="F45" i="74"/>
  <c r="F44" i="74"/>
  <c r="F42" i="74"/>
  <c r="F35" i="74"/>
  <c r="F31" i="74"/>
  <c r="F28" i="74"/>
  <c r="F27" i="74"/>
  <c r="F24" i="74"/>
  <c r="F23" i="74"/>
  <c r="F22" i="74"/>
  <c r="F19" i="74"/>
  <c r="F18" i="74"/>
  <c r="B110" i="141"/>
  <c r="D117" i="141"/>
  <c r="D116" i="141"/>
  <c r="B31" i="142"/>
  <c r="B81" i="141" s="1"/>
  <c r="F113" i="155"/>
  <c r="E113" i="155"/>
  <c r="D113" i="155"/>
  <c r="C113" i="155"/>
  <c r="F2" i="155"/>
  <c r="E2" i="155"/>
  <c r="D2" i="155"/>
  <c r="C2" i="155"/>
  <c r="F2" i="154"/>
  <c r="E2" i="154"/>
  <c r="D2" i="154"/>
  <c r="C2" i="154"/>
  <c r="F123" i="153"/>
  <c r="E123" i="153"/>
  <c r="D123" i="153"/>
  <c r="C123" i="153"/>
  <c r="F120" i="153"/>
  <c r="E120" i="153"/>
  <c r="D120" i="153"/>
  <c r="C120" i="153"/>
  <c r="F117" i="153"/>
  <c r="E117" i="153"/>
  <c r="D117" i="153"/>
  <c r="C117" i="153"/>
  <c r="F114" i="153"/>
  <c r="E114" i="153"/>
  <c r="D114" i="153"/>
  <c r="C114" i="153"/>
  <c r="F113" i="153"/>
  <c r="E113" i="153"/>
  <c r="E124" i="153" s="1"/>
  <c r="D113" i="153"/>
  <c r="D124" i="153" s="1"/>
  <c r="C113" i="153"/>
  <c r="C124" i="153" s="1"/>
  <c r="F106" i="153"/>
  <c r="F108" i="153"/>
  <c r="F110" i="153" s="1"/>
  <c r="F129" i="153" s="1"/>
  <c r="E106" i="153"/>
  <c r="E108" i="153" s="1"/>
  <c r="E110" i="153" s="1"/>
  <c r="D106" i="153"/>
  <c r="D108" i="153" s="1"/>
  <c r="D110" i="153" s="1"/>
  <c r="C106" i="153"/>
  <c r="C108" i="153" s="1"/>
  <c r="C110" i="153" s="1"/>
  <c r="F98" i="153"/>
  <c r="E98" i="153"/>
  <c r="D98" i="153"/>
  <c r="C98" i="153"/>
  <c r="F82" i="153"/>
  <c r="E82" i="153"/>
  <c r="E90" i="153" s="1"/>
  <c r="D82" i="153"/>
  <c r="C82" i="153"/>
  <c r="F78" i="153"/>
  <c r="E78" i="153"/>
  <c r="D78" i="153"/>
  <c r="C78" i="153"/>
  <c r="F72" i="153"/>
  <c r="E72" i="153"/>
  <c r="E99" i="153" s="1"/>
  <c r="E129" i="153" s="1"/>
  <c r="D72" i="153"/>
  <c r="C72" i="153"/>
  <c r="C99" i="153" s="1"/>
  <c r="F69" i="153"/>
  <c r="E69" i="153"/>
  <c r="D69" i="153"/>
  <c r="C69" i="153"/>
  <c r="F56" i="153"/>
  <c r="E56" i="153"/>
  <c r="D56" i="153"/>
  <c r="C56" i="153"/>
  <c r="F47" i="153"/>
  <c r="F49" i="153"/>
  <c r="F60" i="153" s="1"/>
  <c r="F130" i="153" s="1"/>
  <c r="E47" i="153"/>
  <c r="E49" i="153"/>
  <c r="D47" i="153"/>
  <c r="D49" i="153"/>
  <c r="D60" i="153" s="1"/>
  <c r="D130" i="153" s="1"/>
  <c r="C47" i="153"/>
  <c r="C49" i="153"/>
  <c r="F42" i="153"/>
  <c r="E42" i="153"/>
  <c r="D42" i="153"/>
  <c r="C42" i="153"/>
  <c r="F41" i="153"/>
  <c r="E41" i="153"/>
  <c r="D41" i="153"/>
  <c r="C41" i="153"/>
  <c r="F39" i="153"/>
  <c r="E39" i="153"/>
  <c r="D39" i="153"/>
  <c r="C39" i="153"/>
  <c r="F38" i="153"/>
  <c r="E38" i="153"/>
  <c r="D38" i="153"/>
  <c r="C38" i="153"/>
  <c r="F34" i="153"/>
  <c r="E34" i="153"/>
  <c r="D34" i="153"/>
  <c r="C34" i="153"/>
  <c r="C43" i="153" s="1"/>
  <c r="F23" i="153"/>
  <c r="E23" i="153"/>
  <c r="D23" i="153"/>
  <c r="C23" i="153"/>
  <c r="F11" i="153"/>
  <c r="E11" i="153"/>
  <c r="E29" i="153" s="1"/>
  <c r="D11" i="153"/>
  <c r="C11" i="153"/>
  <c r="C29" i="153" s="1"/>
  <c r="F7" i="153"/>
  <c r="F10" i="153"/>
  <c r="E7" i="153"/>
  <c r="E10" i="153"/>
  <c r="D7" i="153"/>
  <c r="D10" i="153"/>
  <c r="C7" i="153"/>
  <c r="C10" i="153"/>
  <c r="E2" i="153"/>
  <c r="D2" i="153"/>
  <c r="C2" i="153"/>
  <c r="F92" i="152"/>
  <c r="E92" i="152"/>
  <c r="D92" i="152"/>
  <c r="C92" i="152"/>
  <c r="F90" i="152"/>
  <c r="E90" i="152"/>
  <c r="D90" i="152"/>
  <c r="C90" i="152"/>
  <c r="F89" i="152"/>
  <c r="E89" i="152"/>
  <c r="D89" i="152"/>
  <c r="C89" i="152"/>
  <c r="F76" i="152"/>
  <c r="F78" i="152" s="1"/>
  <c r="E76" i="152"/>
  <c r="E78" i="152"/>
  <c r="D76" i="152"/>
  <c r="D78" i="152" s="1"/>
  <c r="C76" i="152"/>
  <c r="C78" i="152" s="1"/>
  <c r="F56" i="152"/>
  <c r="F59" i="152" s="1"/>
  <c r="F71" i="152" s="1"/>
  <c r="E56" i="152"/>
  <c r="E59" i="152"/>
  <c r="D56" i="152"/>
  <c r="D59" i="152" s="1"/>
  <c r="C56" i="152"/>
  <c r="C59" i="152" s="1"/>
  <c r="C71" i="152" s="1"/>
  <c r="F41" i="152"/>
  <c r="F46" i="152" s="1"/>
  <c r="E41" i="152"/>
  <c r="E46" i="152"/>
  <c r="D41" i="152"/>
  <c r="D46" i="152" s="1"/>
  <c r="C41" i="152"/>
  <c r="C46" i="152" s="1"/>
  <c r="F36" i="152"/>
  <c r="E36" i="152"/>
  <c r="D36" i="152"/>
  <c r="C36" i="152"/>
  <c r="F25" i="152"/>
  <c r="E25" i="152"/>
  <c r="D25" i="152"/>
  <c r="C25" i="152"/>
  <c r="F24" i="152"/>
  <c r="E24" i="152"/>
  <c r="D24" i="152"/>
  <c r="C24" i="152"/>
  <c r="F23" i="152"/>
  <c r="E23" i="152"/>
  <c r="D23" i="152"/>
  <c r="C23" i="152"/>
  <c r="F17" i="152"/>
  <c r="F29" i="152" s="1"/>
  <c r="F32" i="152" s="1"/>
  <c r="F35" i="152" s="1"/>
  <c r="F37" i="152" s="1"/>
  <c r="E17" i="152"/>
  <c r="D17" i="152"/>
  <c r="D29" i="152" s="1"/>
  <c r="D32" i="152" s="1"/>
  <c r="D35" i="152" s="1"/>
  <c r="D37" i="152" s="1"/>
  <c r="C17" i="152"/>
  <c r="C29" i="152" s="1"/>
  <c r="F10" i="152"/>
  <c r="E10" i="152"/>
  <c r="D10" i="152"/>
  <c r="C10" i="152"/>
  <c r="F6" i="152"/>
  <c r="E6" i="152"/>
  <c r="D6" i="152"/>
  <c r="C6" i="152"/>
  <c r="F5" i="152"/>
  <c r="F7" i="152" s="1"/>
  <c r="F9" i="152" s="1"/>
  <c r="F14" i="152" s="1"/>
  <c r="E5" i="152"/>
  <c r="D5" i="152"/>
  <c r="D7" i="152" s="1"/>
  <c r="C5" i="152"/>
  <c r="E2" i="152"/>
  <c r="D2" i="152"/>
  <c r="C2" i="152"/>
  <c r="F123" i="151"/>
  <c r="E123" i="151"/>
  <c r="D123" i="151"/>
  <c r="C123" i="151"/>
  <c r="F120" i="151"/>
  <c r="E120" i="151"/>
  <c r="D120" i="151"/>
  <c r="C120" i="151"/>
  <c r="F117" i="151"/>
  <c r="E117" i="151"/>
  <c r="D117" i="151"/>
  <c r="C117" i="151"/>
  <c r="F114" i="151"/>
  <c r="E114" i="151"/>
  <c r="D114" i="151"/>
  <c r="C114" i="151"/>
  <c r="F113" i="151"/>
  <c r="E113" i="151"/>
  <c r="E124" i="151" s="1"/>
  <c r="D113" i="151"/>
  <c r="C113" i="151"/>
  <c r="F106" i="151"/>
  <c r="F108" i="151"/>
  <c r="F110" i="151" s="1"/>
  <c r="E106" i="151"/>
  <c r="E108" i="151"/>
  <c r="E110" i="151" s="1"/>
  <c r="D106" i="151"/>
  <c r="D108" i="151"/>
  <c r="D110" i="151" s="1"/>
  <c r="C106" i="151"/>
  <c r="C108" i="151" s="1"/>
  <c r="C110" i="151" s="1"/>
  <c r="F98" i="151"/>
  <c r="E98" i="151"/>
  <c r="D98" i="151"/>
  <c r="C98" i="151"/>
  <c r="F82" i="151"/>
  <c r="E82" i="151"/>
  <c r="E90" i="151" s="1"/>
  <c r="D82" i="151"/>
  <c r="C82" i="151"/>
  <c r="F78" i="151"/>
  <c r="E78" i="151"/>
  <c r="D78" i="151"/>
  <c r="C78" i="151"/>
  <c r="F72" i="151"/>
  <c r="E72" i="151"/>
  <c r="E99" i="151" s="1"/>
  <c r="D72" i="151"/>
  <c r="C72" i="151"/>
  <c r="C99" i="151" s="1"/>
  <c r="F69" i="151"/>
  <c r="E69" i="151"/>
  <c r="D69" i="151"/>
  <c r="C69" i="151"/>
  <c r="F56" i="151"/>
  <c r="E56" i="151"/>
  <c r="D56" i="151"/>
  <c r="C56" i="151"/>
  <c r="F47" i="151"/>
  <c r="F49" i="151" s="1"/>
  <c r="E47" i="151"/>
  <c r="E49" i="151" s="1"/>
  <c r="D47" i="151"/>
  <c r="D49" i="151" s="1"/>
  <c r="D60" i="151" s="1"/>
  <c r="D130" i="151" s="1"/>
  <c r="C47" i="151"/>
  <c r="C49" i="151"/>
  <c r="C60" i="151" s="1"/>
  <c r="C130" i="151" s="1"/>
  <c r="F42" i="151"/>
  <c r="E42" i="151"/>
  <c r="D42" i="151"/>
  <c r="C42" i="151"/>
  <c r="F41" i="151"/>
  <c r="E41" i="151"/>
  <c r="D41" i="151"/>
  <c r="C41" i="151"/>
  <c r="F39" i="151"/>
  <c r="E39" i="151"/>
  <c r="D39" i="151"/>
  <c r="C39" i="151"/>
  <c r="F38" i="151"/>
  <c r="E38" i="151"/>
  <c r="D38" i="151"/>
  <c r="C38" i="151"/>
  <c r="F34" i="151"/>
  <c r="F43" i="151" s="1"/>
  <c r="E34" i="151"/>
  <c r="D34" i="151"/>
  <c r="C34" i="151"/>
  <c r="F23" i="151"/>
  <c r="E23" i="151"/>
  <c r="D23" i="151"/>
  <c r="C23" i="151"/>
  <c r="F11" i="151"/>
  <c r="F29" i="151" s="1"/>
  <c r="E11" i="151"/>
  <c r="D11" i="151"/>
  <c r="C11" i="151"/>
  <c r="F7" i="151"/>
  <c r="F10" i="151" s="1"/>
  <c r="F30" i="151" s="1"/>
  <c r="E7" i="151"/>
  <c r="E10" i="151" s="1"/>
  <c r="E30" i="151" s="1"/>
  <c r="D7" i="151"/>
  <c r="D10" i="151" s="1"/>
  <c r="C7" i="151"/>
  <c r="C10" i="151"/>
  <c r="E2" i="151"/>
  <c r="D2" i="151"/>
  <c r="C2" i="151"/>
  <c r="F92" i="150"/>
  <c r="E92" i="150"/>
  <c r="D92" i="150"/>
  <c r="C92" i="150"/>
  <c r="F90" i="150"/>
  <c r="E90" i="150"/>
  <c r="D90" i="150"/>
  <c r="C90" i="150"/>
  <c r="F89" i="150"/>
  <c r="E89" i="150"/>
  <c r="D89" i="150"/>
  <c r="C89" i="150"/>
  <c r="F76" i="150"/>
  <c r="F78" i="150" s="1"/>
  <c r="E76" i="150"/>
  <c r="E78" i="150" s="1"/>
  <c r="D76" i="150"/>
  <c r="D78" i="150"/>
  <c r="C76" i="150"/>
  <c r="C78" i="150" s="1"/>
  <c r="F56" i="150"/>
  <c r="F59" i="150" s="1"/>
  <c r="F71" i="150" s="1"/>
  <c r="E56" i="150"/>
  <c r="E59" i="150" s="1"/>
  <c r="D56" i="150"/>
  <c r="D59" i="150"/>
  <c r="C56" i="150"/>
  <c r="C59" i="150" s="1"/>
  <c r="F41" i="150"/>
  <c r="F46" i="150" s="1"/>
  <c r="E41" i="150"/>
  <c r="E46" i="150" s="1"/>
  <c r="D41" i="150"/>
  <c r="D46" i="150"/>
  <c r="C41" i="150"/>
  <c r="C46" i="150" s="1"/>
  <c r="F36" i="150"/>
  <c r="E36" i="150"/>
  <c r="D36" i="150"/>
  <c r="C36" i="150"/>
  <c r="F25" i="150"/>
  <c r="E25" i="150"/>
  <c r="D25" i="150"/>
  <c r="C25" i="150"/>
  <c r="F24" i="150"/>
  <c r="E24" i="150"/>
  <c r="D24" i="150"/>
  <c r="C24" i="150"/>
  <c r="F23" i="150"/>
  <c r="E23" i="150"/>
  <c r="D23" i="150"/>
  <c r="C23" i="150"/>
  <c r="F17" i="150"/>
  <c r="F29" i="150" s="1"/>
  <c r="F32" i="150" s="1"/>
  <c r="F35" i="150" s="1"/>
  <c r="F37" i="150" s="1"/>
  <c r="E17" i="150"/>
  <c r="E29" i="150" s="1"/>
  <c r="D17" i="150"/>
  <c r="D29" i="150" s="1"/>
  <c r="C17" i="150"/>
  <c r="F10" i="150"/>
  <c r="E10" i="150"/>
  <c r="D10" i="150"/>
  <c r="C10" i="150"/>
  <c r="F6" i="150"/>
  <c r="E6" i="150"/>
  <c r="D6" i="150"/>
  <c r="C6" i="150"/>
  <c r="F5" i="150"/>
  <c r="E5" i="150"/>
  <c r="D5" i="150"/>
  <c r="C5" i="150"/>
  <c r="E2" i="150"/>
  <c r="D2" i="150"/>
  <c r="C2" i="150"/>
  <c r="F128" i="155"/>
  <c r="E128" i="155"/>
  <c r="D128" i="155"/>
  <c r="C128" i="155"/>
  <c r="F88" i="155"/>
  <c r="E88" i="155"/>
  <c r="D88" i="155"/>
  <c r="C88" i="155"/>
  <c r="F54" i="155"/>
  <c r="E54" i="155"/>
  <c r="D54" i="155"/>
  <c r="C54" i="155"/>
  <c r="F22" i="155"/>
  <c r="E22" i="155"/>
  <c r="D22" i="155"/>
  <c r="C22" i="155"/>
  <c r="F83" i="154"/>
  <c r="E83" i="154"/>
  <c r="D83" i="154"/>
  <c r="C83" i="154"/>
  <c r="F70" i="154"/>
  <c r="E70" i="154"/>
  <c r="D70" i="154"/>
  <c r="C70" i="154"/>
  <c r="F128" i="153"/>
  <c r="E128" i="153"/>
  <c r="D128" i="153"/>
  <c r="C128" i="153"/>
  <c r="F88" i="153"/>
  <c r="E88" i="153"/>
  <c r="D88" i="153"/>
  <c r="C88" i="153"/>
  <c r="F54" i="153"/>
  <c r="E54" i="153"/>
  <c r="D54" i="153"/>
  <c r="C54" i="153"/>
  <c r="F22" i="153"/>
  <c r="E22" i="153"/>
  <c r="D22" i="153"/>
  <c r="C22" i="153"/>
  <c r="F83" i="152"/>
  <c r="E83" i="152"/>
  <c r="D83" i="152"/>
  <c r="C83" i="152"/>
  <c r="F70" i="152"/>
  <c r="E70" i="152"/>
  <c r="D70" i="152"/>
  <c r="C70" i="152"/>
  <c r="F128" i="151"/>
  <c r="E128" i="151"/>
  <c r="D128" i="151"/>
  <c r="C128" i="151"/>
  <c r="F88" i="151"/>
  <c r="E88" i="151"/>
  <c r="D88" i="151"/>
  <c r="D99" i="151" s="1"/>
  <c r="C88" i="151"/>
  <c r="C90" i="151" s="1"/>
  <c r="F54" i="151"/>
  <c r="E54" i="151"/>
  <c r="D54" i="151"/>
  <c r="C54" i="151"/>
  <c r="F22" i="151"/>
  <c r="E22" i="151"/>
  <c r="E29" i="151" s="1"/>
  <c r="D22" i="151"/>
  <c r="D29" i="151" s="1"/>
  <c r="C22" i="151"/>
  <c r="F83" i="150"/>
  <c r="E83" i="150"/>
  <c r="D83" i="150"/>
  <c r="C83" i="150"/>
  <c r="F70" i="150"/>
  <c r="E70" i="150"/>
  <c r="E71" i="150" s="1"/>
  <c r="D70" i="150"/>
  <c r="C70" i="150"/>
  <c r="C71" i="150" s="1"/>
  <c r="F92" i="148"/>
  <c r="E92" i="148"/>
  <c r="D92" i="148"/>
  <c r="C92" i="148"/>
  <c r="F128" i="149"/>
  <c r="F123" i="149"/>
  <c r="F120" i="149"/>
  <c r="F117" i="149"/>
  <c r="F114" i="149"/>
  <c r="F113" i="149"/>
  <c r="F106" i="149"/>
  <c r="F108" i="149" s="1"/>
  <c r="F110" i="149" s="1"/>
  <c r="F98" i="149"/>
  <c r="F88" i="149"/>
  <c r="F82" i="149"/>
  <c r="F78" i="149"/>
  <c r="F72" i="149"/>
  <c r="F69" i="149"/>
  <c r="F56" i="149"/>
  <c r="F54" i="149"/>
  <c r="F47" i="149"/>
  <c r="F49" i="149" s="1"/>
  <c r="F42" i="149"/>
  <c r="F41" i="149"/>
  <c r="F39" i="149"/>
  <c r="F38" i="149"/>
  <c r="F34" i="149"/>
  <c r="F23" i="149"/>
  <c r="F22" i="149"/>
  <c r="F11" i="149"/>
  <c r="F7" i="149"/>
  <c r="F10" i="149" s="1"/>
  <c r="F2" i="149"/>
  <c r="E128" i="149"/>
  <c r="E123" i="149"/>
  <c r="E117" i="149"/>
  <c r="E114" i="149"/>
  <c r="E113" i="149"/>
  <c r="E98" i="149"/>
  <c r="E88" i="149"/>
  <c r="E82" i="149"/>
  <c r="E90" i="149" s="1"/>
  <c r="E78" i="149"/>
  <c r="E72" i="149"/>
  <c r="E69" i="149"/>
  <c r="E56" i="149"/>
  <c r="E60" i="149" s="1"/>
  <c r="E54" i="149"/>
  <c r="E47" i="149"/>
  <c r="E49" i="149" s="1"/>
  <c r="E42" i="149"/>
  <c r="E41" i="149"/>
  <c r="E39" i="149"/>
  <c r="E38" i="149"/>
  <c r="E34" i="149"/>
  <c r="E23" i="149"/>
  <c r="E22" i="149"/>
  <c r="E11" i="149"/>
  <c r="E29" i="149" s="1"/>
  <c r="E7" i="149"/>
  <c r="E10" i="149" s="1"/>
  <c r="E2" i="149"/>
  <c r="E1" i="149"/>
  <c r="D128" i="149"/>
  <c r="D123" i="149"/>
  <c r="D120" i="149"/>
  <c r="D117" i="149"/>
  <c r="D114" i="149"/>
  <c r="D113" i="149"/>
  <c r="D106" i="149"/>
  <c r="D108" i="149" s="1"/>
  <c r="D110" i="149" s="1"/>
  <c r="D98" i="149"/>
  <c r="D88" i="149"/>
  <c r="D90" i="149" s="1"/>
  <c r="D82" i="149"/>
  <c r="D78" i="149"/>
  <c r="D72" i="149"/>
  <c r="D69" i="149"/>
  <c r="D56" i="149"/>
  <c r="D54" i="149"/>
  <c r="D60" i="149" s="1"/>
  <c r="D130" i="149" s="1"/>
  <c r="D47" i="149"/>
  <c r="D49" i="149" s="1"/>
  <c r="D42" i="149"/>
  <c r="D41" i="149"/>
  <c r="D39" i="149"/>
  <c r="D43" i="149" s="1"/>
  <c r="D38" i="149"/>
  <c r="D23" i="149"/>
  <c r="D22" i="149"/>
  <c r="D11" i="149"/>
  <c r="D29" i="149" s="1"/>
  <c r="D30" i="149" s="1"/>
  <c r="D7" i="149"/>
  <c r="D10" i="149"/>
  <c r="D2" i="149"/>
  <c r="C123" i="149"/>
  <c r="C120" i="149"/>
  <c r="C117" i="149"/>
  <c r="C78" i="149"/>
  <c r="C42" i="149"/>
  <c r="C41" i="149"/>
  <c r="C128" i="149"/>
  <c r="C114" i="149"/>
  <c r="C113" i="149"/>
  <c r="C124" i="149" s="1"/>
  <c r="C106" i="149"/>
  <c r="C108" i="149"/>
  <c r="C110" i="149" s="1"/>
  <c r="C98" i="149"/>
  <c r="C88" i="149"/>
  <c r="C90" i="149" s="1"/>
  <c r="C82" i="149"/>
  <c r="C72" i="149"/>
  <c r="C69" i="149"/>
  <c r="C56" i="149"/>
  <c r="C54" i="149"/>
  <c r="C47" i="149"/>
  <c r="C49" i="149" s="1"/>
  <c r="C60" i="149" s="1"/>
  <c r="C130" i="149" s="1"/>
  <c r="C39" i="149"/>
  <c r="C38" i="149"/>
  <c r="C34" i="149"/>
  <c r="C23" i="149"/>
  <c r="C22" i="149"/>
  <c r="C11" i="149"/>
  <c r="C7" i="149"/>
  <c r="C10" i="149" s="1"/>
  <c r="C2" i="149"/>
  <c r="F90" i="148"/>
  <c r="F89" i="148"/>
  <c r="F83" i="148"/>
  <c r="F76" i="148"/>
  <c r="F78" i="148" s="1"/>
  <c r="F70" i="148"/>
  <c r="F56" i="148"/>
  <c r="F59" i="148" s="1"/>
  <c r="F41" i="148"/>
  <c r="F46" i="148" s="1"/>
  <c r="F36" i="148"/>
  <c r="F25" i="148"/>
  <c r="F24" i="148"/>
  <c r="F23" i="148"/>
  <c r="F17" i="148"/>
  <c r="F10" i="148"/>
  <c r="F6" i="148"/>
  <c r="F5" i="148"/>
  <c r="F2" i="148"/>
  <c r="E90" i="148"/>
  <c r="E89" i="148"/>
  <c r="E83" i="148"/>
  <c r="E76" i="148"/>
  <c r="E78" i="148" s="1"/>
  <c r="E70" i="148"/>
  <c r="E41" i="148"/>
  <c r="E46" i="148" s="1"/>
  <c r="E36" i="148"/>
  <c r="E25" i="148"/>
  <c r="E23" i="148"/>
  <c r="E17" i="148"/>
  <c r="E6" i="148"/>
  <c r="E2" i="148"/>
  <c r="E1" i="148"/>
  <c r="D90" i="148"/>
  <c r="D89" i="148"/>
  <c r="D83" i="148"/>
  <c r="D76" i="148"/>
  <c r="D78" i="148"/>
  <c r="D70" i="148"/>
  <c r="D56" i="148"/>
  <c r="D59" i="148" s="1"/>
  <c r="D41" i="148"/>
  <c r="D46" i="148" s="1"/>
  <c r="D36" i="148"/>
  <c r="D25" i="148"/>
  <c r="D24" i="148"/>
  <c r="D23" i="148"/>
  <c r="D17" i="148"/>
  <c r="D5" i="148"/>
  <c r="D2" i="148"/>
  <c r="F90" i="153"/>
  <c r="E29" i="152"/>
  <c r="E32" i="152"/>
  <c r="E35" i="152" s="1"/>
  <c r="E37" i="152" s="1"/>
  <c r="E7" i="152"/>
  <c r="E9" i="152" s="1"/>
  <c r="E14" i="152" s="1"/>
  <c r="E7" i="150"/>
  <c r="E9" i="150" s="1"/>
  <c r="E14" i="150" s="1"/>
  <c r="E32" i="150"/>
  <c r="E35" i="150" s="1"/>
  <c r="E37" i="150" s="1"/>
  <c r="F124" i="151"/>
  <c r="D43" i="153"/>
  <c r="C7" i="150"/>
  <c r="C9" i="150" s="1"/>
  <c r="C14" i="150" s="1"/>
  <c r="D43" i="151"/>
  <c r="D124" i="151"/>
  <c r="F43" i="153"/>
  <c r="D90" i="151"/>
  <c r="D32" i="150"/>
  <c r="D35" i="150" s="1"/>
  <c r="D37" i="150" s="1"/>
  <c r="E43" i="151"/>
  <c r="F60" i="151"/>
  <c r="F130" i="151" s="1"/>
  <c r="D99" i="153"/>
  <c r="F124" i="153"/>
  <c r="C29" i="150"/>
  <c r="C32" i="150" s="1"/>
  <c r="C35" i="150" s="1"/>
  <c r="C37" i="150" s="1"/>
  <c r="D29" i="153"/>
  <c r="F7" i="150"/>
  <c r="F9" i="150" s="1"/>
  <c r="F14" i="150" s="1"/>
  <c r="C43" i="151"/>
  <c r="C124" i="151"/>
  <c r="D9" i="152"/>
  <c r="D14" i="152" s="1"/>
  <c r="D71" i="152"/>
  <c r="E43" i="153"/>
  <c r="F29" i="153"/>
  <c r="F99" i="153"/>
  <c r="C30" i="153"/>
  <c r="C90" i="153"/>
  <c r="D7" i="150"/>
  <c r="D9" i="150" s="1"/>
  <c r="D14" i="150" s="1"/>
  <c r="C7" i="152"/>
  <c r="C9" i="152" s="1"/>
  <c r="C14" i="152" s="1"/>
  <c r="C32" i="152"/>
  <c r="C35" i="152" s="1"/>
  <c r="C37" i="152" s="1"/>
  <c r="C60" i="153"/>
  <c r="C130" i="153" s="1"/>
  <c r="F124" i="149"/>
  <c r="F90" i="149"/>
  <c r="F7" i="148"/>
  <c r="F9" i="148" s="1"/>
  <c r="F14" i="148" s="1"/>
  <c r="C90" i="148"/>
  <c r="C89" i="148"/>
  <c r="C76" i="148"/>
  <c r="C78" i="148" s="1"/>
  <c r="C56" i="148"/>
  <c r="C59" i="148" s="1"/>
  <c r="C36" i="148"/>
  <c r="C23" i="148"/>
  <c r="C83" i="148"/>
  <c r="C70" i="148"/>
  <c r="C41" i="148"/>
  <c r="C46" i="148" s="1"/>
  <c r="C25" i="148"/>
  <c r="C24" i="148"/>
  <c r="C17" i="148"/>
  <c r="C10" i="148"/>
  <c r="C6" i="148"/>
  <c r="C5" i="148"/>
  <c r="C2" i="148"/>
  <c r="B4" i="142"/>
  <c r="B7" i="141" s="1"/>
  <c r="D115" i="141"/>
  <c r="D114" i="141"/>
  <c r="D113" i="141"/>
  <c r="D112" i="141"/>
  <c r="D111" i="141"/>
  <c r="B112" i="141"/>
  <c r="B111" i="141"/>
  <c r="B98" i="141"/>
  <c r="B89" i="141"/>
  <c r="B80" i="141"/>
  <c r="B79" i="141"/>
  <c r="B77" i="141"/>
  <c r="D72" i="141"/>
  <c r="D70" i="141"/>
  <c r="B70" i="141"/>
  <c r="D69" i="141"/>
  <c r="D68" i="141"/>
  <c r="B66" i="141"/>
  <c r="B62" i="141"/>
  <c r="B59" i="141"/>
  <c r="B58" i="141"/>
  <c r="B55" i="141"/>
  <c r="D51" i="141"/>
  <c r="B51" i="141"/>
  <c r="B49" i="141"/>
  <c r="B48" i="141"/>
  <c r="B47" i="141"/>
  <c r="B46" i="141"/>
  <c r="B45" i="141"/>
  <c r="B44" i="141"/>
  <c r="B43" i="141"/>
  <c r="B39" i="141"/>
  <c r="B40" i="141"/>
  <c r="B38" i="141"/>
  <c r="D32" i="141"/>
  <c r="B31" i="141"/>
  <c r="B30" i="141"/>
  <c r="B29" i="141"/>
  <c r="D28" i="141"/>
  <c r="B28" i="141"/>
  <c r="C26" i="141"/>
  <c r="B21" i="141"/>
  <c r="B20" i="141"/>
  <c r="E19" i="141"/>
  <c r="A44" i="145"/>
  <c r="A43" i="145"/>
  <c r="A42" i="145"/>
  <c r="A41" i="145"/>
  <c r="M40" i="145"/>
  <c r="L40" i="145"/>
  <c r="K40" i="145"/>
  <c r="J40" i="145"/>
  <c r="I40" i="145"/>
  <c r="H40" i="145"/>
  <c r="G40" i="145"/>
  <c r="F40" i="145"/>
  <c r="E40" i="145"/>
  <c r="D40" i="145"/>
  <c r="A40" i="145"/>
  <c r="L39" i="145"/>
  <c r="K39" i="145"/>
  <c r="J39" i="145"/>
  <c r="I39" i="145"/>
  <c r="H39" i="145"/>
  <c r="G39" i="145"/>
  <c r="F39" i="145"/>
  <c r="E39" i="145"/>
  <c r="D39" i="145"/>
  <c r="A39" i="145"/>
  <c r="K38" i="145"/>
  <c r="J38" i="145"/>
  <c r="I38" i="145"/>
  <c r="H38" i="145"/>
  <c r="G38" i="145"/>
  <c r="F38" i="145"/>
  <c r="E38" i="145"/>
  <c r="D38" i="145"/>
  <c r="A38" i="145"/>
  <c r="J37" i="145"/>
  <c r="I37" i="145"/>
  <c r="H37" i="145"/>
  <c r="G37" i="145"/>
  <c r="F37" i="145"/>
  <c r="E37" i="145"/>
  <c r="D37" i="145"/>
  <c r="A37" i="145"/>
  <c r="I36" i="145"/>
  <c r="H36" i="145"/>
  <c r="G36" i="145"/>
  <c r="F36" i="145"/>
  <c r="E36" i="145"/>
  <c r="D36" i="145"/>
  <c r="A36" i="145"/>
  <c r="H35" i="145"/>
  <c r="G35" i="145"/>
  <c r="F35" i="145"/>
  <c r="E35" i="145"/>
  <c r="D35" i="145"/>
  <c r="A35" i="145"/>
  <c r="G34" i="145"/>
  <c r="F34" i="145"/>
  <c r="E34" i="145"/>
  <c r="D34" i="145"/>
  <c r="A34" i="145"/>
  <c r="F33" i="145"/>
  <c r="E33" i="145"/>
  <c r="D33" i="145"/>
  <c r="A33" i="145"/>
  <c r="E32" i="145"/>
  <c r="D32" i="145"/>
  <c r="A32" i="145"/>
  <c r="D31" i="145"/>
  <c r="A31" i="145"/>
  <c r="M30" i="145"/>
  <c r="L30" i="145"/>
  <c r="K30" i="145"/>
  <c r="J30" i="145"/>
  <c r="I30" i="145"/>
  <c r="H30" i="145"/>
  <c r="G30" i="145"/>
  <c r="F30" i="145"/>
  <c r="E30" i="145"/>
  <c r="D30" i="145"/>
  <c r="A19" i="145"/>
  <c r="A18" i="145"/>
  <c r="A17" i="145"/>
  <c r="A16" i="145"/>
  <c r="M15" i="145"/>
  <c r="L15" i="145"/>
  <c r="K15" i="145"/>
  <c r="J15" i="145"/>
  <c r="I15" i="145"/>
  <c r="H15" i="145"/>
  <c r="G15" i="145"/>
  <c r="F15" i="145"/>
  <c r="E15" i="145"/>
  <c r="O16" i="145" s="1"/>
  <c r="D15" i="145"/>
  <c r="N14" i="145"/>
  <c r="N13" i="145"/>
  <c r="N12" i="145"/>
  <c r="N11" i="145"/>
  <c r="N10" i="145"/>
  <c r="N9" i="145"/>
  <c r="N8" i="145"/>
  <c r="N7" i="145"/>
  <c r="N6" i="145"/>
  <c r="N5" i="145"/>
  <c r="N4" i="145"/>
  <c r="D19" i="141"/>
  <c r="B9" i="141"/>
  <c r="B5" i="141"/>
  <c r="B2" i="141"/>
  <c r="M40" i="16"/>
  <c r="D14" i="37"/>
  <c r="E14" i="37"/>
  <c r="F14" i="37"/>
  <c r="G14" i="37"/>
  <c r="E20" i="37" s="1"/>
  <c r="H14" i="37"/>
  <c r="I14" i="37"/>
  <c r="J14" i="37"/>
  <c r="K14" i="37"/>
  <c r="F21" i="37" s="1"/>
  <c r="L14" i="37"/>
  <c r="M14" i="37"/>
  <c r="N14" i="37"/>
  <c r="O14" i="37"/>
  <c r="P14" i="37"/>
  <c r="Q14" i="37"/>
  <c r="R14" i="37"/>
  <c r="S14" i="37"/>
  <c r="T14" i="37"/>
  <c r="U14" i="37"/>
  <c r="V14" i="37"/>
  <c r="W14" i="37"/>
  <c r="F23" i="37" s="1"/>
  <c r="X14" i="37"/>
  <c r="Y14" i="37"/>
  <c r="Z14" i="37"/>
  <c r="AA14" i="37"/>
  <c r="AB14" i="37"/>
  <c r="AC14" i="37"/>
  <c r="AD14" i="37"/>
  <c r="AE14" i="37"/>
  <c r="AF14" i="37"/>
  <c r="AG14" i="37"/>
  <c r="AH14" i="37"/>
  <c r="AI14" i="37"/>
  <c r="F25" i="37" s="1"/>
  <c r="AJ14" i="37"/>
  <c r="AK14" i="37"/>
  <c r="AL14" i="37"/>
  <c r="C14" i="37"/>
  <c r="F12" i="16"/>
  <c r="G13" i="102"/>
  <c r="D13" i="102"/>
  <c r="G12" i="102"/>
  <c r="D12" i="102"/>
  <c r="G8" i="102"/>
  <c r="D8" i="102"/>
  <c r="E27" i="136"/>
  <c r="D27" i="136"/>
  <c r="E26" i="136"/>
  <c r="D26" i="136"/>
  <c r="D28" i="136" s="1"/>
  <c r="G13" i="136"/>
  <c r="B18" i="96"/>
  <c r="B19" i="96" s="1"/>
  <c r="B20" i="96" s="1"/>
  <c r="B21" i="96"/>
  <c r="B22" i="96" s="1"/>
  <c r="B23" i="96" s="1"/>
  <c r="I3" i="37"/>
  <c r="O3" i="37"/>
  <c r="U3" i="37" s="1"/>
  <c r="AA3" i="37" s="1"/>
  <c r="AG3" i="37" s="1"/>
  <c r="AP4" i="37"/>
  <c r="S24" i="116" s="1"/>
  <c r="M23" i="53"/>
  <c r="D51" i="55"/>
  <c r="D59" i="55"/>
  <c r="G90" i="24"/>
  <c r="B70" i="24"/>
  <c r="B68" i="24"/>
  <c r="B66" i="24"/>
  <c r="B65" i="24"/>
  <c r="B64" i="24"/>
  <c r="B61" i="24"/>
  <c r="B60" i="24"/>
  <c r="F34" i="155" s="1"/>
  <c r="B59" i="24"/>
  <c r="B57" i="24"/>
  <c r="B56" i="24"/>
  <c r="B55" i="24"/>
  <c r="B54" i="24"/>
  <c r="B58" i="24" s="1"/>
  <c r="B50" i="24"/>
  <c r="F120" i="155" s="1"/>
  <c r="B49" i="24"/>
  <c r="B47" i="24"/>
  <c r="B46" i="24"/>
  <c r="B45" i="24"/>
  <c r="B44" i="24"/>
  <c r="B43" i="24"/>
  <c r="B41" i="24"/>
  <c r="F106" i="155" s="1"/>
  <c r="F108" i="155" s="1"/>
  <c r="F110" i="155" s="1"/>
  <c r="B40" i="24"/>
  <c r="B35" i="24"/>
  <c r="F76" i="154" s="1"/>
  <c r="F78" i="154" s="1"/>
  <c r="B31" i="24"/>
  <c r="F41" i="154" s="1"/>
  <c r="F46" i="154" s="1"/>
  <c r="B28" i="24"/>
  <c r="F25" i="154" s="1"/>
  <c r="B27" i="24"/>
  <c r="B24" i="24"/>
  <c r="F24" i="24" s="1"/>
  <c r="B23" i="24"/>
  <c r="F90" i="154" s="1"/>
  <c r="B22" i="24"/>
  <c r="B19" i="24"/>
  <c r="F23" i="154" s="1"/>
  <c r="B18" i="24"/>
  <c r="F24" i="154" s="1"/>
  <c r="F29" i="154" s="1"/>
  <c r="F32" i="154" s="1"/>
  <c r="F35" i="154" s="1"/>
  <c r="B17" i="24"/>
  <c r="B15" i="24"/>
  <c r="B14" i="24"/>
  <c r="B13" i="24"/>
  <c r="F5" i="154" s="1"/>
  <c r="B12" i="24"/>
  <c r="F6" i="154" s="1"/>
  <c r="B68" i="76"/>
  <c r="B63" i="76"/>
  <c r="B59" i="76"/>
  <c r="B49" i="76"/>
  <c r="B52" i="76" s="1"/>
  <c r="B11" i="76"/>
  <c r="B68" i="73"/>
  <c r="B63" i="73"/>
  <c r="B59" i="73"/>
  <c r="B49" i="73"/>
  <c r="B74" i="73" s="1"/>
  <c r="B11" i="73"/>
  <c r="B20" i="73" s="1"/>
  <c r="B21" i="73" s="1"/>
  <c r="B68" i="74"/>
  <c r="B74" i="74" s="1"/>
  <c r="B63" i="74"/>
  <c r="B59" i="74"/>
  <c r="B49" i="74"/>
  <c r="B11" i="74"/>
  <c r="D14" i="96"/>
  <c r="A2" i="16"/>
  <c r="B86" i="74"/>
  <c r="B88" i="74" s="1"/>
  <c r="B52" i="74"/>
  <c r="B86" i="73"/>
  <c r="B88" i="73" s="1"/>
  <c r="F78" i="155"/>
  <c r="F17" i="154"/>
  <c r="F72" i="155"/>
  <c r="F89" i="154"/>
  <c r="F11" i="155"/>
  <c r="F47" i="155"/>
  <c r="F49" i="155" s="1"/>
  <c r="F7" i="155"/>
  <c r="F10" i="155" s="1"/>
  <c r="F56" i="155"/>
  <c r="F56" i="154"/>
  <c r="F59" i="154"/>
  <c r="F71" i="154" s="1"/>
  <c r="F39" i="155"/>
  <c r="F2" i="151"/>
  <c r="F2" i="150"/>
  <c r="B16" i="73"/>
  <c r="B11" i="24"/>
  <c r="B86" i="76"/>
  <c r="B52" i="73"/>
  <c r="B70" i="74"/>
  <c r="B72" i="74" s="1"/>
  <c r="B75" i="74"/>
  <c r="B25" i="73"/>
  <c r="F2" i="153"/>
  <c r="F2" i="152"/>
  <c r="C7" i="76"/>
  <c r="E1" i="152" s="1"/>
  <c r="C7" i="73"/>
  <c r="A1" i="114"/>
  <c r="E1" i="151"/>
  <c r="E1" i="150"/>
  <c r="A1" i="130"/>
  <c r="B1" i="97"/>
  <c r="I13" i="131"/>
  <c r="I12" i="131"/>
  <c r="I11" i="131"/>
  <c r="I10" i="131"/>
  <c r="I9" i="131"/>
  <c r="I8" i="131"/>
  <c r="I7" i="131"/>
  <c r="I14" i="131" s="1"/>
  <c r="H16" i="131" s="1"/>
  <c r="B2" i="53"/>
  <c r="F18" i="52"/>
  <c r="B8" i="114" s="1"/>
  <c r="A1" i="23"/>
  <c r="E9" i="97"/>
  <c r="F9" i="97" s="1"/>
  <c r="G24" i="52"/>
  <c r="F8" i="114" s="1"/>
  <c r="C60" i="129"/>
  <c r="C54" i="129"/>
  <c r="C53" i="129"/>
  <c r="C50" i="129"/>
  <c r="C42" i="129"/>
  <c r="C33" i="129"/>
  <c r="M30" i="129"/>
  <c r="M29" i="129"/>
  <c r="M28" i="129"/>
  <c r="M27" i="129"/>
  <c r="M26" i="129"/>
  <c r="M25" i="129"/>
  <c r="D25" i="129"/>
  <c r="M24" i="129"/>
  <c r="D24" i="129"/>
  <c r="D16" i="129"/>
  <c r="O14" i="129"/>
  <c r="O13" i="129"/>
  <c r="J13" i="129"/>
  <c r="O12" i="129"/>
  <c r="O11" i="129"/>
  <c r="D11" i="129"/>
  <c r="O10" i="129"/>
  <c r="D10" i="129"/>
  <c r="O9" i="129"/>
  <c r="O8" i="129"/>
  <c r="C8" i="129"/>
  <c r="O7" i="129"/>
  <c r="O6" i="129"/>
  <c r="F6" i="129"/>
  <c r="O5" i="129"/>
  <c r="F5" i="129"/>
  <c r="O4" i="129"/>
  <c r="F4" i="129"/>
  <c r="C17" i="129" s="1"/>
  <c r="N57" i="55"/>
  <c r="D9" i="129"/>
  <c r="B15" i="113"/>
  <c r="B14" i="114"/>
  <c r="F18" i="90"/>
  <c r="C22" i="54"/>
  <c r="H90" i="24"/>
  <c r="J14" i="16"/>
  <c r="B17" i="141" s="1"/>
  <c r="BC49" i="116"/>
  <c r="BB49" i="116"/>
  <c r="BA49" i="116"/>
  <c r="AZ49" i="116"/>
  <c r="AY49" i="116"/>
  <c r="AX49" i="116"/>
  <c r="AW49" i="116"/>
  <c r="AV49" i="116"/>
  <c r="AU49" i="116"/>
  <c r="AT49" i="116"/>
  <c r="AS49" i="116"/>
  <c r="AR49" i="116"/>
  <c r="AQ49" i="116"/>
  <c r="AP49" i="116"/>
  <c r="AO49" i="116"/>
  <c r="AN49" i="116"/>
  <c r="AM49" i="116"/>
  <c r="AL49" i="116"/>
  <c r="AK49" i="116"/>
  <c r="AJ49" i="116"/>
  <c r="AI49" i="116"/>
  <c r="AH49" i="116"/>
  <c r="AG49" i="116"/>
  <c r="AF49" i="116"/>
  <c r="AE49" i="116"/>
  <c r="AD49" i="116"/>
  <c r="AC49" i="116"/>
  <c r="AB49" i="116"/>
  <c r="AA49" i="116"/>
  <c r="Z49" i="116"/>
  <c r="Y49" i="116"/>
  <c r="X49" i="116"/>
  <c r="W49" i="116"/>
  <c r="V49" i="116"/>
  <c r="U49" i="116"/>
  <c r="T49" i="116"/>
  <c r="S49" i="116"/>
  <c r="P49" i="116"/>
  <c r="N49" i="116"/>
  <c r="L49" i="116"/>
  <c r="I49" i="116"/>
  <c r="G49" i="116"/>
  <c r="F49" i="116"/>
  <c r="E49" i="116"/>
  <c r="D49" i="116"/>
  <c r="R48" i="116"/>
  <c r="Q48" i="116"/>
  <c r="O48" i="116"/>
  <c r="K48" i="116"/>
  <c r="M48" i="116" s="1"/>
  <c r="R34" i="116"/>
  <c r="Q34" i="116"/>
  <c r="O34" i="116"/>
  <c r="K34" i="116"/>
  <c r="M34" i="116" s="1"/>
  <c r="R31" i="116"/>
  <c r="Q31" i="116"/>
  <c r="O31" i="116"/>
  <c r="K31" i="116"/>
  <c r="M31" i="116" s="1"/>
  <c r="V24" i="116"/>
  <c r="Y24" i="116"/>
  <c r="AB24" i="116" s="1"/>
  <c r="AE24" i="116" s="1"/>
  <c r="AH24" i="116" s="1"/>
  <c r="AK24" i="116" s="1"/>
  <c r="AN24" i="116" s="1"/>
  <c r="AQ24" i="116" s="1"/>
  <c r="AT24" i="116" s="1"/>
  <c r="AW24" i="116" s="1"/>
  <c r="AZ24" i="116" s="1"/>
  <c r="W13" i="116"/>
  <c r="S13" i="116"/>
  <c r="O13" i="116"/>
  <c r="K13" i="116"/>
  <c r="H13" i="116"/>
  <c r="G13" i="116"/>
  <c r="F13" i="116"/>
  <c r="O49" i="116"/>
  <c r="D14" i="24"/>
  <c r="D56" i="154"/>
  <c r="D59" i="154"/>
  <c r="D71" i="154" s="1"/>
  <c r="E14" i="24"/>
  <c r="G18" i="74"/>
  <c r="H18" i="74"/>
  <c r="G19" i="74"/>
  <c r="H19" i="74"/>
  <c r="G18" i="73"/>
  <c r="H18" i="73"/>
  <c r="G18" i="76"/>
  <c r="H18" i="76"/>
  <c r="C18" i="24"/>
  <c r="D18" i="24"/>
  <c r="E18" i="24"/>
  <c r="C24" i="154" s="1"/>
  <c r="C19" i="24"/>
  <c r="E23" i="154" s="1"/>
  <c r="D19" i="24"/>
  <c r="E19" i="24"/>
  <c r="C23" i="154" s="1"/>
  <c r="C12" i="24"/>
  <c r="D12" i="24"/>
  <c r="D6" i="154" s="1"/>
  <c r="E12" i="24"/>
  <c r="D13" i="24"/>
  <c r="H13" i="24" s="1"/>
  <c r="D5" i="154"/>
  <c r="D7" i="154" s="1"/>
  <c r="D9" i="154" s="1"/>
  <c r="D14" i="154" s="1"/>
  <c r="E13" i="24"/>
  <c r="C5" i="154" s="1"/>
  <c r="H91" i="76"/>
  <c r="G91" i="76"/>
  <c r="F87" i="76"/>
  <c r="H19" i="76"/>
  <c r="G19" i="76"/>
  <c r="H13" i="76"/>
  <c r="G13" i="76"/>
  <c r="H12" i="76"/>
  <c r="G12" i="76"/>
  <c r="E11" i="76"/>
  <c r="E86" i="76" s="1"/>
  <c r="E88" i="76" s="1"/>
  <c r="E90" i="76" s="1"/>
  <c r="D11" i="76"/>
  <c r="D86" i="76" s="1"/>
  <c r="C11" i="76"/>
  <c r="H13" i="73"/>
  <c r="G13" i="73"/>
  <c r="H12" i="73"/>
  <c r="G12" i="73"/>
  <c r="E11" i="73"/>
  <c r="E86" i="73" s="1"/>
  <c r="D11" i="73"/>
  <c r="D86" i="73" s="1"/>
  <c r="D88" i="73" s="1"/>
  <c r="C11" i="73"/>
  <c r="G91" i="74"/>
  <c r="H91" i="74"/>
  <c r="G91" i="73"/>
  <c r="H91" i="73"/>
  <c r="G19" i="73"/>
  <c r="H19" i="73"/>
  <c r="H12" i="74"/>
  <c r="H13" i="74"/>
  <c r="H14" i="74"/>
  <c r="G14" i="74"/>
  <c r="E11" i="74"/>
  <c r="E86" i="74" s="1"/>
  <c r="F29" i="23"/>
  <c r="B29" i="23"/>
  <c r="F28" i="23"/>
  <c r="B28" i="23"/>
  <c r="R27" i="23"/>
  <c r="F27" i="23"/>
  <c r="B27" i="23"/>
  <c r="R26" i="23"/>
  <c r="F26" i="23"/>
  <c r="B26" i="23"/>
  <c r="R25" i="23"/>
  <c r="F25" i="23"/>
  <c r="B25" i="23"/>
  <c r="R24" i="23"/>
  <c r="F24" i="23"/>
  <c r="B24" i="23"/>
  <c r="R23" i="23"/>
  <c r="F23" i="23"/>
  <c r="B23" i="23"/>
  <c r="F22" i="23"/>
  <c r="B22" i="23"/>
  <c r="H87" i="73"/>
  <c r="G87" i="76"/>
  <c r="G85" i="73"/>
  <c r="H85" i="76"/>
  <c r="D20" i="73"/>
  <c r="D25" i="73" s="1"/>
  <c r="E20" i="73"/>
  <c r="E25" i="73" s="1"/>
  <c r="D20" i="76"/>
  <c r="D25" i="76" s="1"/>
  <c r="E20" i="76"/>
  <c r="E21" i="76" s="1"/>
  <c r="H21" i="76" s="1"/>
  <c r="H14" i="24"/>
  <c r="H87" i="76"/>
  <c r="H11" i="76"/>
  <c r="C86" i="73"/>
  <c r="E88" i="73"/>
  <c r="H85" i="73"/>
  <c r="E89" i="76"/>
  <c r="E92" i="76" s="1"/>
  <c r="F24" i="114"/>
  <c r="F5" i="114"/>
  <c r="C18" i="114"/>
  <c r="O18" i="114" s="1"/>
  <c r="C19" i="113"/>
  <c r="F25" i="113"/>
  <c r="F5" i="113"/>
  <c r="F20" i="52"/>
  <c r="G26" i="52"/>
  <c r="F19" i="52"/>
  <c r="G25" i="52" s="1"/>
  <c r="A1" i="76"/>
  <c r="D7" i="73"/>
  <c r="A1" i="73"/>
  <c r="D7" i="74"/>
  <c r="G7" i="74"/>
  <c r="G7" i="24" s="1"/>
  <c r="D7" i="24"/>
  <c r="D1" i="154" s="1"/>
  <c r="D1" i="148"/>
  <c r="D1" i="149"/>
  <c r="D1" i="151"/>
  <c r="E7" i="74"/>
  <c r="E7" i="24" s="1"/>
  <c r="C18" i="16"/>
  <c r="B16" i="16"/>
  <c r="B18" i="141"/>
  <c r="F13" i="16"/>
  <c r="J12" i="16"/>
  <c r="B7" i="130" s="1"/>
  <c r="J16" i="16"/>
  <c r="B13" i="16"/>
  <c r="O17" i="114" s="1"/>
  <c r="B12" i="16"/>
  <c r="E18" i="90" s="1"/>
  <c r="D6" i="98"/>
  <c r="D5" i="98"/>
  <c r="B13" i="141"/>
  <c r="B6" i="130"/>
  <c r="C4" i="129"/>
  <c r="C4" i="131"/>
  <c r="D4" i="87"/>
  <c r="B4" i="74"/>
  <c r="B5" i="23"/>
  <c r="B5" i="113"/>
  <c r="D4" i="93"/>
  <c r="D5" i="97"/>
  <c r="B5" i="95"/>
  <c r="B5" i="114"/>
  <c r="C24" i="37"/>
  <c r="F24" i="37"/>
  <c r="C23" i="37"/>
  <c r="C22" i="37"/>
  <c r="F22" i="37"/>
  <c r="C21" i="37"/>
  <c r="C20" i="37"/>
  <c r="F20" i="37"/>
  <c r="G20" i="37"/>
  <c r="E8" i="93" s="1"/>
  <c r="F25" i="52"/>
  <c r="B11" i="16"/>
  <c r="B9" i="16"/>
  <c r="B14" i="141" s="1"/>
  <c r="G9" i="102"/>
  <c r="B22" i="95" s="1"/>
  <c r="C25" i="37"/>
  <c r="D13" i="98"/>
  <c r="E12" i="98"/>
  <c r="E11" i="98"/>
  <c r="E10" i="98"/>
  <c r="E9" i="98"/>
  <c r="D24" i="96"/>
  <c r="N23" i="53"/>
  <c r="O23" i="53" s="1"/>
  <c r="P23" i="53" s="1"/>
  <c r="Q23" i="53" s="1"/>
  <c r="R23" i="53" s="1"/>
  <c r="I43" i="53"/>
  <c r="C26" i="54" s="1"/>
  <c r="I42" i="53"/>
  <c r="A10" i="114"/>
  <c r="F12" i="114" s="1"/>
  <c r="H71" i="76"/>
  <c r="H69" i="76"/>
  <c r="H67" i="76"/>
  <c r="H66" i="76"/>
  <c r="H65" i="76"/>
  <c r="H62" i="76"/>
  <c r="H61" i="76"/>
  <c r="H60" i="76"/>
  <c r="H58" i="76"/>
  <c r="H57" i="76"/>
  <c r="H56" i="76"/>
  <c r="H55" i="76"/>
  <c r="H51" i="76"/>
  <c r="H50" i="76"/>
  <c r="H48" i="76"/>
  <c r="H47" i="76"/>
  <c r="H46" i="76"/>
  <c r="H45" i="76"/>
  <c r="H44" i="76"/>
  <c r="H42" i="76"/>
  <c r="H41" i="76"/>
  <c r="H35" i="76"/>
  <c r="H31" i="76"/>
  <c r="H28" i="76"/>
  <c r="H27" i="76"/>
  <c r="H24" i="76"/>
  <c r="H23" i="76"/>
  <c r="H22" i="76"/>
  <c r="H17" i="76"/>
  <c r="H15" i="76"/>
  <c r="H14" i="76"/>
  <c r="H71" i="73"/>
  <c r="H69" i="73"/>
  <c r="H67" i="73"/>
  <c r="H66" i="73"/>
  <c r="H65" i="73"/>
  <c r="H62" i="73"/>
  <c r="H61" i="73"/>
  <c r="H60" i="73"/>
  <c r="H58" i="73"/>
  <c r="H57" i="73"/>
  <c r="H56" i="73"/>
  <c r="H55" i="73"/>
  <c r="H51" i="73"/>
  <c r="H50" i="73"/>
  <c r="H48" i="73"/>
  <c r="H47" i="73"/>
  <c r="H46" i="73"/>
  <c r="H45" i="73"/>
  <c r="H44" i="73"/>
  <c r="H42" i="73"/>
  <c r="H41" i="73"/>
  <c r="H35" i="73"/>
  <c r="H31" i="73"/>
  <c r="H28" i="73"/>
  <c r="H27" i="73"/>
  <c r="H24" i="73"/>
  <c r="H23" i="73"/>
  <c r="H22" i="73"/>
  <c r="H17" i="73"/>
  <c r="H15" i="73"/>
  <c r="H14" i="73"/>
  <c r="H71" i="74"/>
  <c r="H69" i="74"/>
  <c r="H67" i="74"/>
  <c r="H66" i="74"/>
  <c r="H65" i="74"/>
  <c r="H62" i="74"/>
  <c r="H61" i="74"/>
  <c r="H60" i="74"/>
  <c r="H58" i="74"/>
  <c r="H57" i="74"/>
  <c r="H56" i="74"/>
  <c r="H55" i="74"/>
  <c r="H51" i="74"/>
  <c r="H50" i="74"/>
  <c r="H48" i="74"/>
  <c r="H47" i="74"/>
  <c r="H46" i="74"/>
  <c r="H45" i="74"/>
  <c r="H44" i="74"/>
  <c r="H42" i="74"/>
  <c r="H35" i="74"/>
  <c r="H31" i="74"/>
  <c r="H28" i="74"/>
  <c r="H27" i="74"/>
  <c r="H24" i="74"/>
  <c r="H23" i="74"/>
  <c r="H22" i="74"/>
  <c r="H17" i="74"/>
  <c r="H15" i="74"/>
  <c r="E35" i="24"/>
  <c r="C76" i="154"/>
  <c r="C78" i="154" s="1"/>
  <c r="D35" i="24"/>
  <c r="C21" i="69" s="1"/>
  <c r="D76" i="154"/>
  <c r="D78" i="154" s="1"/>
  <c r="C35" i="24"/>
  <c r="E31" i="24"/>
  <c r="H31" i="24" s="1"/>
  <c r="D31" i="24"/>
  <c r="D41" i="154"/>
  <c r="D46" i="154"/>
  <c r="C31" i="24"/>
  <c r="E28" i="24"/>
  <c r="D28" i="24"/>
  <c r="C28" i="24"/>
  <c r="F28" i="24" s="1"/>
  <c r="E27" i="24"/>
  <c r="C25" i="154" s="1"/>
  <c r="D27" i="24"/>
  <c r="C27" i="24"/>
  <c r="E24" i="24"/>
  <c r="C36" i="154" s="1"/>
  <c r="D24" i="24"/>
  <c r="C24" i="24"/>
  <c r="E23" i="24"/>
  <c r="H23" i="24" s="1"/>
  <c r="D23" i="24"/>
  <c r="D90" i="154" s="1"/>
  <c r="C23" i="24"/>
  <c r="C13" i="54" s="1"/>
  <c r="B14" i="113"/>
  <c r="E22" i="24"/>
  <c r="C89" i="154" s="1"/>
  <c r="D22" i="24"/>
  <c r="D89" i="154"/>
  <c r="C22" i="24"/>
  <c r="C12" i="54" s="1"/>
  <c r="E17" i="24"/>
  <c r="D17" i="24"/>
  <c r="D17" i="154" s="1"/>
  <c r="C17" i="24"/>
  <c r="E15" i="24"/>
  <c r="D15" i="24"/>
  <c r="D10" i="154"/>
  <c r="C15" i="24"/>
  <c r="E36" i="154"/>
  <c r="F27" i="24"/>
  <c r="E90" i="154"/>
  <c r="F23" i="24"/>
  <c r="D8" i="60"/>
  <c r="D100" i="141"/>
  <c r="E76" i="154"/>
  <c r="E78" i="154" s="1"/>
  <c r="G27" i="24"/>
  <c r="I8" i="114"/>
  <c r="G35" i="24"/>
  <c r="D14" i="113"/>
  <c r="D13" i="113"/>
  <c r="C8" i="60"/>
  <c r="F8" i="61"/>
  <c r="D12" i="52"/>
  <c r="D13" i="54"/>
  <c r="D13" i="52"/>
  <c r="H17" i="24"/>
  <c r="H35" i="24"/>
  <c r="E49" i="76"/>
  <c r="D49" i="76"/>
  <c r="C49" i="76"/>
  <c r="E49" i="73"/>
  <c r="E74" i="73" s="1"/>
  <c r="D49" i="73"/>
  <c r="C49" i="73"/>
  <c r="F49" i="73" s="1"/>
  <c r="E49" i="74"/>
  <c r="E74" i="74" s="1"/>
  <c r="D49" i="74"/>
  <c r="D74" i="74" s="1"/>
  <c r="H74" i="74" s="1"/>
  <c r="C49" i="74"/>
  <c r="F49" i="74" s="1"/>
  <c r="B25" i="78"/>
  <c r="A3" i="63"/>
  <c r="A4" i="63" s="1"/>
  <c r="A5" i="63" s="1"/>
  <c r="A6" i="63" s="1"/>
  <c r="A7" i="63" s="1"/>
  <c r="A8" i="63"/>
  <c r="A9" i="63" s="1"/>
  <c r="A10" i="63" s="1"/>
  <c r="A11" i="63" s="1"/>
  <c r="A12" i="63" s="1"/>
  <c r="A13" i="63" s="1"/>
  <c r="A14" i="63" s="1"/>
  <c r="A15" i="63" s="1"/>
  <c r="A16" i="63" s="1"/>
  <c r="A17" i="63" s="1"/>
  <c r="A18" i="63" s="1"/>
  <c r="A19" i="63" s="1"/>
  <c r="A20" i="63" s="1"/>
  <c r="A21" i="63" s="1"/>
  <c r="A22" i="63" s="1"/>
  <c r="A23" i="63" s="1"/>
  <c r="A24" i="63" s="1"/>
  <c r="A25" i="63" s="1"/>
  <c r="A26" i="63" s="1"/>
  <c r="A27" i="63" s="1"/>
  <c r="A28" i="63" s="1"/>
  <c r="A29" i="63" s="1"/>
  <c r="D44" i="24"/>
  <c r="D82" i="155"/>
  <c r="D90" i="155" s="1"/>
  <c r="E44" i="24"/>
  <c r="C82" i="155" s="1"/>
  <c r="C90" i="155" s="1"/>
  <c r="C44" i="24"/>
  <c r="E82" i="155" s="1"/>
  <c r="E90" i="155" s="1"/>
  <c r="A3" i="69"/>
  <c r="A4" i="69" s="1"/>
  <c r="A5" i="69" s="1"/>
  <c r="A6" i="69" s="1"/>
  <c r="A7" i="69" s="1"/>
  <c r="A8" i="69" s="1"/>
  <c r="A9" i="69" s="1"/>
  <c r="A10" i="69" s="1"/>
  <c r="A11" i="69" s="1"/>
  <c r="A12" i="69" s="1"/>
  <c r="A13" i="69" s="1"/>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0" i="69" s="1"/>
  <c r="A41" i="69" s="1"/>
  <c r="A42" i="69" s="1"/>
  <c r="A43" i="69" s="1"/>
  <c r="A44" i="69" s="1"/>
  <c r="A45" i="69" s="1"/>
  <c r="A46" i="69" s="1"/>
  <c r="A47" i="69" s="1"/>
  <c r="A48" i="69" s="1"/>
  <c r="A49" i="69" s="1"/>
  <c r="A50" i="69" s="1"/>
  <c r="A51" i="69" s="1"/>
  <c r="A52" i="69" s="1"/>
  <c r="A53" i="69" s="1"/>
  <c r="A54" i="69" s="1"/>
  <c r="A55" i="69" s="1"/>
  <c r="A56" i="69" s="1"/>
  <c r="A57" i="69" s="1"/>
  <c r="A58" i="69" s="1"/>
  <c r="A59" i="69" s="1"/>
  <c r="A60" i="69" s="1"/>
  <c r="A61" i="69" s="1"/>
  <c r="A62" i="69" s="1"/>
  <c r="A63" i="69" s="1"/>
  <c r="A64" i="69" s="1"/>
  <c r="A65" i="69" s="1"/>
  <c r="A66" i="69" s="1"/>
  <c r="A67" i="69" s="1"/>
  <c r="A68" i="69" s="1"/>
  <c r="A69" i="69" s="1"/>
  <c r="A70" i="69" s="1"/>
  <c r="A71" i="69" s="1"/>
  <c r="A72" i="69" s="1"/>
  <c r="A73" i="69" s="1"/>
  <c r="A74" i="69" s="1"/>
  <c r="A75" i="69" s="1"/>
  <c r="A76" i="69" s="1"/>
  <c r="A77" i="69" s="1"/>
  <c r="A78" i="69" s="1"/>
  <c r="A79" i="69" s="1"/>
  <c r="A80" i="69" s="1"/>
  <c r="A81" i="69" s="1"/>
  <c r="A82" i="69" s="1"/>
  <c r="A83" i="69" s="1"/>
  <c r="A84" i="69" s="1"/>
  <c r="A85" i="69" s="1"/>
  <c r="C71" i="69"/>
  <c r="BD18" i="90"/>
  <c r="AV18" i="90"/>
  <c r="AW18" i="90"/>
  <c r="AU18" i="90"/>
  <c r="AT18" i="90"/>
  <c r="AS18" i="90"/>
  <c r="AQ18" i="90"/>
  <c r="AP18" i="90"/>
  <c r="AO18" i="90"/>
  <c r="T18" i="90"/>
  <c r="R18" i="90"/>
  <c r="L18" i="90"/>
  <c r="J18" i="90"/>
  <c r="H18" i="90"/>
  <c r="B18" i="90"/>
  <c r="G35" i="76"/>
  <c r="G31" i="76"/>
  <c r="G28" i="76"/>
  <c r="G27" i="76"/>
  <c r="G24" i="76"/>
  <c r="G23" i="76"/>
  <c r="G22" i="76"/>
  <c r="G17" i="76"/>
  <c r="G15" i="76"/>
  <c r="G14" i="76"/>
  <c r="G42" i="76"/>
  <c r="G41" i="76"/>
  <c r="G51" i="76"/>
  <c r="G50" i="76"/>
  <c r="G48" i="76"/>
  <c r="G47" i="76"/>
  <c r="G46" i="76"/>
  <c r="G45" i="76"/>
  <c r="G44" i="76"/>
  <c r="G62" i="76"/>
  <c r="G61" i="76"/>
  <c r="G60" i="76"/>
  <c r="G58" i="76"/>
  <c r="G57" i="76"/>
  <c r="G56" i="76"/>
  <c r="G55" i="76"/>
  <c r="G71" i="76"/>
  <c r="G69" i="76"/>
  <c r="G67" i="76"/>
  <c r="G66" i="76"/>
  <c r="G65" i="76"/>
  <c r="G35" i="73"/>
  <c r="G31" i="73"/>
  <c r="G28" i="73"/>
  <c r="G27" i="73"/>
  <c r="G24" i="73"/>
  <c r="G23" i="73"/>
  <c r="G22" i="73"/>
  <c r="G17" i="73"/>
  <c r="G15" i="73"/>
  <c r="G14" i="73"/>
  <c r="G42" i="73"/>
  <c r="G41" i="73"/>
  <c r="G51" i="73"/>
  <c r="G50" i="73"/>
  <c r="G48" i="73"/>
  <c r="G47" i="73"/>
  <c r="G46" i="73"/>
  <c r="G45" i="73"/>
  <c r="G44" i="73"/>
  <c r="G62" i="73"/>
  <c r="G61" i="73"/>
  <c r="G60" i="73"/>
  <c r="G58" i="73"/>
  <c r="G57" i="73"/>
  <c r="G56" i="73"/>
  <c r="G55" i="73"/>
  <c r="G71" i="73"/>
  <c r="G69" i="73"/>
  <c r="G67" i="73"/>
  <c r="G66" i="73"/>
  <c r="G65" i="73"/>
  <c r="G35" i="74"/>
  <c r="G62" i="74"/>
  <c r="G71" i="74"/>
  <c r="G69" i="74"/>
  <c r="G67" i="74"/>
  <c r="G66" i="74"/>
  <c r="G65" i="74"/>
  <c r="G61" i="74"/>
  <c r="G60" i="74"/>
  <c r="G58" i="74"/>
  <c r="G57" i="74"/>
  <c r="G56" i="74"/>
  <c r="G55" i="74"/>
  <c r="G51" i="74"/>
  <c r="G50" i="74"/>
  <c r="G48" i="74"/>
  <c r="G47" i="74"/>
  <c r="G46" i="74"/>
  <c r="G45" i="74"/>
  <c r="G44" i="74"/>
  <c r="G42" i="74"/>
  <c r="G31" i="74"/>
  <c r="G28" i="74"/>
  <c r="G27" i="74"/>
  <c r="G24" i="74"/>
  <c r="G23" i="74"/>
  <c r="G22" i="74"/>
  <c r="G17" i="74"/>
  <c r="G15" i="74"/>
  <c r="B20" i="78"/>
  <c r="B21" i="78"/>
  <c r="B13" i="78"/>
  <c r="B6" i="78"/>
  <c r="B4" i="78"/>
  <c r="J28" i="87"/>
  <c r="J27" i="87"/>
  <c r="J26" i="87"/>
  <c r="J7" i="87"/>
  <c r="J31" i="87"/>
  <c r="J30" i="87"/>
  <c r="J29" i="87"/>
  <c r="J25" i="87"/>
  <c r="J24" i="87"/>
  <c r="J23" i="87"/>
  <c r="J22" i="87"/>
  <c r="J21" i="87"/>
  <c r="J20" i="87"/>
  <c r="J19" i="87"/>
  <c r="J18" i="87"/>
  <c r="J17" i="87"/>
  <c r="J16" i="87"/>
  <c r="J15" i="87"/>
  <c r="J14" i="87"/>
  <c r="J13" i="87"/>
  <c r="J12" i="87"/>
  <c r="J11" i="87"/>
  <c r="J10" i="87"/>
  <c r="J9" i="87"/>
  <c r="J8" i="87"/>
  <c r="G46" i="55"/>
  <c r="N43" i="55"/>
  <c r="I44" i="55"/>
  <c r="N58" i="55" s="1"/>
  <c r="C7" i="24"/>
  <c r="D27" i="37" s="1"/>
  <c r="C85" i="69"/>
  <c r="B85" i="69"/>
  <c r="C84" i="69"/>
  <c r="B84" i="69"/>
  <c r="C83" i="69"/>
  <c r="B83" i="69"/>
  <c r="E1" i="155"/>
  <c r="E1" i="154"/>
  <c r="F6" i="61"/>
  <c r="D8" i="54"/>
  <c r="C6" i="60"/>
  <c r="C7" i="52"/>
  <c r="B82" i="69"/>
  <c r="B81" i="69"/>
  <c r="B80" i="69"/>
  <c r="B79" i="69"/>
  <c r="C78" i="69"/>
  <c r="C77" i="69"/>
  <c r="B78" i="69"/>
  <c r="B77" i="69"/>
  <c r="C76" i="69"/>
  <c r="B76" i="69"/>
  <c r="B75" i="69"/>
  <c r="C74" i="69"/>
  <c r="B74" i="69"/>
  <c r="B73" i="69"/>
  <c r="C72" i="69"/>
  <c r="B72" i="69"/>
  <c r="C70" i="69"/>
  <c r="B70" i="69"/>
  <c r="C69" i="69"/>
  <c r="B69" i="69"/>
  <c r="C68" i="69"/>
  <c r="B68" i="69"/>
  <c r="C67" i="69"/>
  <c r="B67" i="69"/>
  <c r="B66" i="69"/>
  <c r="B65" i="69"/>
  <c r="A1" i="68"/>
  <c r="C7" i="77"/>
  <c r="B1" i="77"/>
  <c r="E59" i="76"/>
  <c r="E75" i="76" s="1"/>
  <c r="D59" i="76"/>
  <c r="C59" i="76"/>
  <c r="C70" i="76" s="1"/>
  <c r="F59" i="76"/>
  <c r="E59" i="73"/>
  <c r="D59" i="73"/>
  <c r="C59" i="73"/>
  <c r="F59" i="73"/>
  <c r="E59" i="74"/>
  <c r="E80" i="74" s="1"/>
  <c r="C59" i="74"/>
  <c r="F59" i="74"/>
  <c r="D59" i="74"/>
  <c r="D70" i="74" s="1"/>
  <c r="E21" i="73"/>
  <c r="E16" i="73"/>
  <c r="D16" i="73"/>
  <c r="C16" i="73"/>
  <c r="G16" i="73" s="1"/>
  <c r="E70" i="24"/>
  <c r="D70" i="24"/>
  <c r="C70" i="24"/>
  <c r="F70" i="24" s="1"/>
  <c r="E68" i="24"/>
  <c r="D68" i="24"/>
  <c r="H68" i="24" s="1"/>
  <c r="C68" i="24"/>
  <c r="F68" i="24" s="1"/>
  <c r="E66" i="24"/>
  <c r="C7" i="155"/>
  <c r="C10" i="155"/>
  <c r="D66" i="24"/>
  <c r="C66" i="24"/>
  <c r="E7" i="155" s="1"/>
  <c r="E10" i="155" s="1"/>
  <c r="E65" i="24"/>
  <c r="C11" i="155" s="1"/>
  <c r="D65" i="24"/>
  <c r="D11" i="155" s="1"/>
  <c r="C65" i="24"/>
  <c r="E64" i="24"/>
  <c r="E86" i="24"/>
  <c r="D64" i="24"/>
  <c r="D86" i="24" s="1"/>
  <c r="C64" i="24"/>
  <c r="E61" i="24"/>
  <c r="C38" i="155"/>
  <c r="D61" i="24"/>
  <c r="C43" i="69" s="1"/>
  <c r="C61" i="24"/>
  <c r="E60" i="24"/>
  <c r="E62" i="24" s="1"/>
  <c r="D60" i="24"/>
  <c r="D34" i="155" s="1"/>
  <c r="C60" i="24"/>
  <c r="E59" i="24"/>
  <c r="D41" i="69" s="1"/>
  <c r="D59" i="24"/>
  <c r="C59" i="24"/>
  <c r="F59" i="24"/>
  <c r="E57" i="24"/>
  <c r="C39" i="155"/>
  <c r="D57" i="24"/>
  <c r="D39" i="155"/>
  <c r="C57" i="24"/>
  <c r="G57" i="24" s="1"/>
  <c r="E56" i="24"/>
  <c r="C56" i="155" s="1"/>
  <c r="D56" i="24"/>
  <c r="D56" i="155" s="1"/>
  <c r="C56" i="24"/>
  <c r="E55" i="24"/>
  <c r="D55" i="24"/>
  <c r="D47" i="155"/>
  <c r="D49" i="155"/>
  <c r="D60" i="155" s="1"/>
  <c r="C55" i="24"/>
  <c r="F55" i="24" s="1"/>
  <c r="E54" i="24"/>
  <c r="D36" i="69" s="1"/>
  <c r="D54" i="24"/>
  <c r="C54" i="24"/>
  <c r="E50" i="24"/>
  <c r="C120" i="155"/>
  <c r="D50" i="24"/>
  <c r="C50" i="24"/>
  <c r="E49" i="24"/>
  <c r="D49" i="24"/>
  <c r="C49" i="24"/>
  <c r="F49" i="24" s="1"/>
  <c r="E47" i="24"/>
  <c r="C72" i="155"/>
  <c r="D47" i="24"/>
  <c r="D72" i="155" s="1"/>
  <c r="C47" i="24"/>
  <c r="E46" i="24"/>
  <c r="C78" i="155" s="1"/>
  <c r="D46" i="24"/>
  <c r="H46" i="24" s="1"/>
  <c r="C46" i="24"/>
  <c r="E45" i="24"/>
  <c r="D45" i="24"/>
  <c r="H45" i="24" s="1"/>
  <c r="C45" i="24"/>
  <c r="E43" i="24"/>
  <c r="D43" i="24"/>
  <c r="D84" i="24"/>
  <c r="C43" i="24"/>
  <c r="G43" i="24" s="1"/>
  <c r="E41" i="24"/>
  <c r="C106" i="155"/>
  <c r="C108" i="155"/>
  <c r="C110" i="155" s="1"/>
  <c r="D41" i="24"/>
  <c r="D106" i="155" s="1"/>
  <c r="D108" i="155" s="1"/>
  <c r="D110" i="155" s="1"/>
  <c r="C41" i="24"/>
  <c r="E106" i="155" s="1"/>
  <c r="E108" i="155" s="1"/>
  <c r="E110" i="155" s="1"/>
  <c r="E40" i="24"/>
  <c r="D24" i="69" s="1"/>
  <c r="D40" i="24"/>
  <c r="C40" i="24"/>
  <c r="F40" i="24" s="1"/>
  <c r="E68" i="76"/>
  <c r="E74" i="76"/>
  <c r="D68" i="76"/>
  <c r="C68" i="76"/>
  <c r="E63" i="76"/>
  <c r="D63" i="76"/>
  <c r="C63" i="76"/>
  <c r="F63" i="76"/>
  <c r="E16" i="76"/>
  <c r="D16" i="76"/>
  <c r="F64" i="24"/>
  <c r="C74" i="76"/>
  <c r="F68" i="76"/>
  <c r="E72" i="155"/>
  <c r="F47" i="24"/>
  <c r="E39" i="155"/>
  <c r="F57" i="24"/>
  <c r="F41" i="24"/>
  <c r="F66" i="24"/>
  <c r="D130" i="155"/>
  <c r="E38" i="155"/>
  <c r="C117" i="155"/>
  <c r="D103" i="141"/>
  <c r="E47" i="155"/>
  <c r="E49" i="155" s="1"/>
  <c r="G70" i="24"/>
  <c r="C78" i="76"/>
  <c r="C76" i="76"/>
  <c r="C80" i="76"/>
  <c r="C75" i="76"/>
  <c r="C77" i="76"/>
  <c r="D75" i="76"/>
  <c r="D77" i="76"/>
  <c r="E78" i="76"/>
  <c r="C11" i="96"/>
  <c r="E11" i="96" s="1"/>
  <c r="G55" i="24"/>
  <c r="C13" i="96"/>
  <c r="C10" i="96"/>
  <c r="E10" i="96" s="1"/>
  <c r="E12" i="96"/>
  <c r="H70" i="24"/>
  <c r="H41" i="24"/>
  <c r="H43" i="24"/>
  <c r="H49" i="24"/>
  <c r="D21" i="76"/>
  <c r="H20" i="76"/>
  <c r="H63" i="76"/>
  <c r="H68" i="76"/>
  <c r="H65" i="24"/>
  <c r="H16" i="73"/>
  <c r="G59" i="76"/>
  <c r="G49" i="73"/>
  <c r="G59" i="73"/>
  <c r="C52" i="76"/>
  <c r="E58" i="24"/>
  <c r="C114" i="155" s="1"/>
  <c r="D52" i="76"/>
  <c r="D84" i="76" s="1"/>
  <c r="D70" i="76"/>
  <c r="G70" i="76" s="1"/>
  <c r="E52" i="76"/>
  <c r="L57" i="55"/>
  <c r="E29" i="73"/>
  <c r="E32" i="73" s="1"/>
  <c r="E30" i="73"/>
  <c r="E26" i="73"/>
  <c r="D29" i="76"/>
  <c r="D26" i="76"/>
  <c r="D32" i="76"/>
  <c r="D82" i="76"/>
  <c r="E82" i="73"/>
  <c r="D30" i="76"/>
  <c r="C75" i="69"/>
  <c r="E68" i="74"/>
  <c r="E78" i="74" s="1"/>
  <c r="D68" i="74"/>
  <c r="H68" i="74" s="1"/>
  <c r="C68" i="74"/>
  <c r="E63" i="74"/>
  <c r="D63" i="74"/>
  <c r="C63" i="74"/>
  <c r="C52" i="74"/>
  <c r="F52" i="74" s="1"/>
  <c r="A4" i="74"/>
  <c r="A1" i="74"/>
  <c r="E68" i="73"/>
  <c r="D68" i="73"/>
  <c r="C68" i="73"/>
  <c r="C74" i="73" s="1"/>
  <c r="E63" i="73"/>
  <c r="D63" i="73"/>
  <c r="C63" i="73"/>
  <c r="F63" i="73"/>
  <c r="D52" i="73"/>
  <c r="D84" i="73"/>
  <c r="C52" i="73"/>
  <c r="C6" i="62"/>
  <c r="C7" i="54"/>
  <c r="C6" i="61"/>
  <c r="C6" i="52"/>
  <c r="D34" i="76"/>
  <c r="F52" i="73"/>
  <c r="D78" i="73"/>
  <c r="C80" i="73"/>
  <c r="D74" i="73"/>
  <c r="H74" i="73" s="1"/>
  <c r="E37" i="73"/>
  <c r="H87" i="74"/>
  <c r="H63" i="74"/>
  <c r="G63" i="73"/>
  <c r="G63" i="74"/>
  <c r="E52" i="74"/>
  <c r="E72" i="74" s="1"/>
  <c r="C75" i="74"/>
  <c r="F75" i="74" s="1"/>
  <c r="E70" i="74"/>
  <c r="C62" i="24"/>
  <c r="C73" i="69"/>
  <c r="D64" i="69"/>
  <c r="C64" i="69"/>
  <c r="B64" i="69"/>
  <c r="B63" i="69"/>
  <c r="B62" i="69"/>
  <c r="B61" i="69"/>
  <c r="B60" i="69"/>
  <c r="B59" i="69"/>
  <c r="B58" i="69"/>
  <c r="B57" i="69"/>
  <c r="B56" i="69"/>
  <c r="B55" i="69"/>
  <c r="B54" i="69"/>
  <c r="D53" i="69"/>
  <c r="C53" i="69"/>
  <c r="B53" i="69"/>
  <c r="D52" i="69"/>
  <c r="C52" i="69"/>
  <c r="B52" i="69"/>
  <c r="B51" i="69"/>
  <c r="D50" i="69"/>
  <c r="C50" i="69"/>
  <c r="B50" i="69"/>
  <c r="B49" i="69"/>
  <c r="D48" i="69"/>
  <c r="B48" i="69"/>
  <c r="D47" i="69"/>
  <c r="B47" i="69"/>
  <c r="D46" i="69"/>
  <c r="B46" i="69"/>
  <c r="D45" i="69"/>
  <c r="C45" i="69"/>
  <c r="B45" i="69"/>
  <c r="B44" i="69"/>
  <c r="D43" i="69"/>
  <c r="B43" i="69"/>
  <c r="B42" i="69"/>
  <c r="C41" i="69"/>
  <c r="B41" i="69"/>
  <c r="B40" i="69"/>
  <c r="C39" i="69"/>
  <c r="B39" i="69"/>
  <c r="C38" i="69"/>
  <c r="B38" i="69"/>
  <c r="D37" i="69"/>
  <c r="C37" i="69"/>
  <c r="B37" i="69"/>
  <c r="C36" i="69"/>
  <c r="B36" i="69"/>
  <c r="B35" i="69"/>
  <c r="D34" i="69"/>
  <c r="C34" i="69"/>
  <c r="B34" i="69"/>
  <c r="D33" i="69"/>
  <c r="B33" i="69"/>
  <c r="B32" i="69"/>
  <c r="D31" i="69"/>
  <c r="B31" i="69"/>
  <c r="D30" i="69"/>
  <c r="B30" i="69"/>
  <c r="D29" i="69"/>
  <c r="C29" i="69"/>
  <c r="B29" i="69"/>
  <c r="C28" i="69"/>
  <c r="B28" i="69"/>
  <c r="D27" i="69"/>
  <c r="C27" i="69"/>
  <c r="B27" i="69"/>
  <c r="D26" i="69"/>
  <c r="C26" i="69"/>
  <c r="B26" i="69"/>
  <c r="D25" i="69"/>
  <c r="C25" i="69"/>
  <c r="B25" i="69"/>
  <c r="B24" i="69"/>
  <c r="B23" i="69"/>
  <c r="B21" i="69"/>
  <c r="B20" i="69"/>
  <c r="B19" i="69"/>
  <c r="B18" i="69"/>
  <c r="B17" i="69"/>
  <c r="B16" i="69"/>
  <c r="B15" i="69"/>
  <c r="B14" i="69"/>
  <c r="B13" i="69"/>
  <c r="B12" i="69"/>
  <c r="B11" i="69"/>
  <c r="B10" i="69"/>
  <c r="B9" i="69"/>
  <c r="B8" i="69"/>
  <c r="B7" i="69"/>
  <c r="B6" i="69"/>
  <c r="B5" i="69"/>
  <c r="B4" i="69"/>
  <c r="B3" i="69"/>
  <c r="B2" i="69"/>
  <c r="B22" i="69"/>
  <c r="D21" i="69"/>
  <c r="D18" i="69"/>
  <c r="C18" i="69"/>
  <c r="D15" i="69"/>
  <c r="C15" i="69"/>
  <c r="D14" i="69"/>
  <c r="C14" i="69"/>
  <c r="D11" i="69"/>
  <c r="C11" i="69"/>
  <c r="D10" i="69"/>
  <c r="D9" i="69"/>
  <c r="C9" i="69"/>
  <c r="C6" i="69"/>
  <c r="D4" i="69"/>
  <c r="C4" i="69"/>
  <c r="C3" i="69"/>
  <c r="D1" i="69"/>
  <c r="B1" i="66"/>
  <c r="B2" i="67"/>
  <c r="C10" i="61"/>
  <c r="C10" i="69"/>
  <c r="C24" i="60"/>
  <c r="C27" i="60" s="1"/>
  <c r="B1" i="60"/>
  <c r="C18" i="62"/>
  <c r="C19" i="62" s="1"/>
  <c r="C11" i="62"/>
  <c r="C10" i="62"/>
  <c r="B6" i="62"/>
  <c r="B1" i="62"/>
  <c r="C15" i="61"/>
  <c r="C16" i="61"/>
  <c r="B6" i="61"/>
  <c r="B1" i="61"/>
  <c r="E25" i="37"/>
  <c r="D25" i="37"/>
  <c r="E24" i="37"/>
  <c r="D24" i="37"/>
  <c r="E23" i="37"/>
  <c r="D23" i="37"/>
  <c r="E22" i="37"/>
  <c r="D22" i="37"/>
  <c r="E21" i="37"/>
  <c r="E26" i="37" s="1"/>
  <c r="D21" i="37"/>
  <c r="B20" i="37"/>
  <c r="C2" i="55"/>
  <c r="B7" i="54"/>
  <c r="B6" i="52"/>
  <c r="A4" i="24"/>
  <c r="F59" i="55"/>
  <c r="F60" i="55"/>
  <c r="F61" i="55" s="1"/>
  <c r="F62" i="55" s="1"/>
  <c r="N32" i="55" s="1"/>
  <c r="P32" i="55" s="1"/>
  <c r="Q32" i="55" s="1"/>
  <c r="E59" i="55"/>
  <c r="E60" i="55" s="1"/>
  <c r="E61" i="55" s="1"/>
  <c r="E62" i="55" s="1"/>
  <c r="I32" i="55" s="1"/>
  <c r="K32" i="55" s="1"/>
  <c r="L32" i="55" s="1"/>
  <c r="L58" i="55"/>
  <c r="D60" i="55"/>
  <c r="G43" i="55"/>
  <c r="P38" i="55"/>
  <c r="Q38" i="55" s="1"/>
  <c r="K38" i="55"/>
  <c r="L38" i="55" s="1"/>
  <c r="F38" i="55"/>
  <c r="G38" i="55" s="1"/>
  <c r="P37" i="55"/>
  <c r="Q37" i="55"/>
  <c r="K37" i="55"/>
  <c r="L37" i="55" s="1"/>
  <c r="F37" i="55"/>
  <c r="G37" i="55"/>
  <c r="P36" i="55"/>
  <c r="Q36" i="55" s="1"/>
  <c r="K36" i="55"/>
  <c r="L36" i="55" s="1"/>
  <c r="F36" i="55"/>
  <c r="G36" i="55" s="1"/>
  <c r="P35" i="55"/>
  <c r="Q35" i="55" s="1"/>
  <c r="K35" i="55"/>
  <c r="L35" i="55" s="1"/>
  <c r="F35" i="55"/>
  <c r="G35" i="55"/>
  <c r="P34" i="55"/>
  <c r="Q34" i="55" s="1"/>
  <c r="K34" i="55"/>
  <c r="L34" i="55"/>
  <c r="F34" i="55"/>
  <c r="G34" i="55" s="1"/>
  <c r="P33" i="55"/>
  <c r="Q33" i="55" s="1"/>
  <c r="K33" i="55"/>
  <c r="L33" i="55" s="1"/>
  <c r="F33" i="55"/>
  <c r="G33" i="55" s="1"/>
  <c r="P31" i="55"/>
  <c r="Q31" i="55" s="1"/>
  <c r="K31" i="55"/>
  <c r="L31" i="55"/>
  <c r="F31" i="55"/>
  <c r="G31" i="55" s="1"/>
  <c r="P30" i="55"/>
  <c r="Q30" i="55"/>
  <c r="K30" i="55"/>
  <c r="L30" i="55" s="1"/>
  <c r="F30" i="55"/>
  <c r="G30" i="55" s="1"/>
  <c r="P29" i="55"/>
  <c r="Q29" i="55" s="1"/>
  <c r="K29" i="55"/>
  <c r="L29" i="55" s="1"/>
  <c r="F29" i="55"/>
  <c r="G29" i="55" s="1"/>
  <c r="P28" i="55"/>
  <c r="Q28" i="55"/>
  <c r="K28" i="55"/>
  <c r="L28" i="55" s="1"/>
  <c r="F28" i="55"/>
  <c r="G28" i="55"/>
  <c r="P27" i="55"/>
  <c r="Q27" i="55" s="1"/>
  <c r="K27" i="55"/>
  <c r="L27" i="55" s="1"/>
  <c r="F27" i="55"/>
  <c r="G27" i="55" s="1"/>
  <c r="P26" i="55"/>
  <c r="Q26" i="55" s="1"/>
  <c r="K26" i="55"/>
  <c r="L26" i="55" s="1"/>
  <c r="F26" i="55"/>
  <c r="G26" i="55"/>
  <c r="P25" i="55"/>
  <c r="Q25" i="55" s="1"/>
  <c r="K25" i="55"/>
  <c r="L25" i="55"/>
  <c r="F25" i="55"/>
  <c r="G25" i="55" s="1"/>
  <c r="P24" i="55"/>
  <c r="Q24" i="55" s="1"/>
  <c r="K24" i="55"/>
  <c r="L24" i="55" s="1"/>
  <c r="F24" i="55"/>
  <c r="G24" i="55" s="1"/>
  <c r="P23" i="55"/>
  <c r="Q23" i="55" s="1"/>
  <c r="K23" i="55"/>
  <c r="L23" i="55"/>
  <c r="F23" i="55"/>
  <c r="G23" i="55" s="1"/>
  <c r="P22" i="55"/>
  <c r="Q22" i="55"/>
  <c r="K22" i="55"/>
  <c r="L22" i="55" s="1"/>
  <c r="F22" i="55"/>
  <c r="G22" i="55" s="1"/>
  <c r="P21" i="55"/>
  <c r="Q21" i="55" s="1"/>
  <c r="K21" i="55"/>
  <c r="L21" i="55" s="1"/>
  <c r="F21" i="55"/>
  <c r="G21" i="55" s="1"/>
  <c r="P20" i="55"/>
  <c r="Q20" i="55"/>
  <c r="K20" i="55"/>
  <c r="L20" i="55" s="1"/>
  <c r="F20" i="55"/>
  <c r="G20" i="55"/>
  <c r="P19" i="55"/>
  <c r="Q19" i="55" s="1"/>
  <c r="K19" i="55"/>
  <c r="L19" i="55" s="1"/>
  <c r="F19" i="55"/>
  <c r="G19" i="55" s="1"/>
  <c r="E16" i="54"/>
  <c r="F16" i="54" s="1"/>
  <c r="C30" i="54"/>
  <c r="B2" i="54"/>
  <c r="B1" i="52"/>
  <c r="C29" i="52"/>
  <c r="C21" i="52"/>
  <c r="A1" i="24"/>
  <c r="D61" i="55"/>
  <c r="D62" i="55" s="1"/>
  <c r="D32" i="55" s="1"/>
  <c r="F32" i="55" s="1"/>
  <c r="G32" i="55" s="1"/>
  <c r="AQ4" i="37"/>
  <c r="B21" i="37"/>
  <c r="E67" i="24"/>
  <c r="AR4" i="37"/>
  <c r="G25" i="37"/>
  <c r="F10" i="93" s="1"/>
  <c r="G24" i="37"/>
  <c r="F9" i="93" s="1"/>
  <c r="G23" i="37"/>
  <c r="F8" i="93" s="1"/>
  <c r="G22" i="37"/>
  <c r="E10" i="93" s="1"/>
  <c r="G21" i="37"/>
  <c r="E9" i="93" s="1"/>
  <c r="D20" i="37"/>
  <c r="B22" i="37"/>
  <c r="AS4" i="37"/>
  <c r="B23" i="37"/>
  <c r="AT4" i="37"/>
  <c r="B24" i="37"/>
  <c r="AU4" i="37"/>
  <c r="B25" i="37"/>
  <c r="C4" i="24"/>
  <c r="J32" i="87"/>
  <c r="I34" i="87" s="1"/>
  <c r="H25" i="73" l="1"/>
  <c r="D26" i="73"/>
  <c r="H26" i="73" s="1"/>
  <c r="D29" i="73"/>
  <c r="C16" i="74"/>
  <c r="G11" i="74"/>
  <c r="C20" i="74"/>
  <c r="C86" i="74"/>
  <c r="D44" i="69"/>
  <c r="E74" i="24"/>
  <c r="D55" i="69" s="1"/>
  <c r="C70" i="73"/>
  <c r="C72" i="73" s="1"/>
  <c r="C76" i="73"/>
  <c r="C84" i="73"/>
  <c r="G84" i="73" s="1"/>
  <c r="G52" i="73"/>
  <c r="C77" i="73"/>
  <c r="C75" i="73"/>
  <c r="C48" i="24"/>
  <c r="B101" i="141" s="1"/>
  <c r="C14" i="96"/>
  <c r="G41" i="24"/>
  <c r="D76" i="76"/>
  <c r="G76" i="76" s="1"/>
  <c r="D81" i="76"/>
  <c r="D80" i="76"/>
  <c r="G80" i="76" s="1"/>
  <c r="D79" i="76"/>
  <c r="G59" i="24"/>
  <c r="H59" i="24"/>
  <c r="D6" i="60"/>
  <c r="H44" i="24"/>
  <c r="F49" i="76"/>
  <c r="G49" i="76"/>
  <c r="F22" i="24"/>
  <c r="F26" i="37"/>
  <c r="C12" i="93" s="1"/>
  <c r="E7" i="73"/>
  <c r="C1" i="150" s="1"/>
  <c r="D1" i="150"/>
  <c r="D24" i="154"/>
  <c r="D9" i="60"/>
  <c r="H18" i="24"/>
  <c r="F114" i="155"/>
  <c r="E44" i="151"/>
  <c r="E61" i="151"/>
  <c r="E75" i="24"/>
  <c r="D56" i="69" s="1"/>
  <c r="G49" i="74"/>
  <c r="H49" i="74"/>
  <c r="E17" i="154"/>
  <c r="E29" i="154" s="1"/>
  <c r="E32" i="154" s="1"/>
  <c r="E35" i="154" s="1"/>
  <c r="E37" i="154" s="1"/>
  <c r="I10" i="114"/>
  <c r="C86" i="24"/>
  <c r="Q49" i="116"/>
  <c r="F11" i="93"/>
  <c r="C16" i="93" s="1"/>
  <c r="C42" i="69"/>
  <c r="E76" i="74"/>
  <c r="C70" i="74"/>
  <c r="F70" i="74" s="1"/>
  <c r="G68" i="74"/>
  <c r="G47" i="24"/>
  <c r="H75" i="76"/>
  <c r="D48" i="24"/>
  <c r="D40" i="69"/>
  <c r="D26" i="37"/>
  <c r="D28" i="69"/>
  <c r="C31" i="69"/>
  <c r="D38" i="69"/>
  <c r="C84" i="74"/>
  <c r="G63" i="76"/>
  <c r="H47" i="24"/>
  <c r="G46" i="24"/>
  <c r="E77" i="76"/>
  <c r="H77" i="76" s="1"/>
  <c r="G68" i="24"/>
  <c r="D117" i="155"/>
  <c r="H16" i="76"/>
  <c r="C47" i="155"/>
  <c r="C49" i="155" s="1"/>
  <c r="C60" i="155" s="1"/>
  <c r="C130" i="155" s="1"/>
  <c r="H55" i="24"/>
  <c r="D39" i="69"/>
  <c r="H57" i="24"/>
  <c r="G17" i="24"/>
  <c r="C17" i="154"/>
  <c r="C29" i="154" s="1"/>
  <c r="C32" i="154" s="1"/>
  <c r="C35" i="154" s="1"/>
  <c r="C37" i="154" s="1"/>
  <c r="D6" i="69"/>
  <c r="C90" i="154"/>
  <c r="F31" i="24"/>
  <c r="B100" i="141"/>
  <c r="G31" i="24"/>
  <c r="E41" i="154"/>
  <c r="E46" i="154" s="1"/>
  <c r="C41" i="154"/>
  <c r="C46" i="154" s="1"/>
  <c r="C26" i="37"/>
  <c r="C13" i="93" s="1"/>
  <c r="C15" i="93" s="1"/>
  <c r="E25" i="76"/>
  <c r="H12" i="24"/>
  <c r="C6" i="154"/>
  <c r="F18" i="24"/>
  <c r="C9" i="60"/>
  <c r="G18" i="24"/>
  <c r="E24" i="154"/>
  <c r="F36" i="154"/>
  <c r="D7" i="148"/>
  <c r="D9" i="148" s="1"/>
  <c r="D14" i="148" s="1"/>
  <c r="D38" i="148" s="1"/>
  <c r="D47" i="148" s="1"/>
  <c r="D73" i="148" s="1"/>
  <c r="D79" i="148" s="1"/>
  <c r="D84" i="148" s="1"/>
  <c r="D91" i="148" s="1"/>
  <c r="E60" i="151"/>
  <c r="E130" i="151" s="1"/>
  <c r="E129" i="151"/>
  <c r="Q39" i="55"/>
  <c r="C78" i="73"/>
  <c r="F68" i="73"/>
  <c r="G68" i="73"/>
  <c r="D33" i="76"/>
  <c r="D37" i="76"/>
  <c r="D38" i="76" s="1"/>
  <c r="H84" i="24"/>
  <c r="G59" i="74"/>
  <c r="H59" i="74"/>
  <c r="D77" i="74"/>
  <c r="F15" i="24"/>
  <c r="E10" i="154"/>
  <c r="D1" i="155"/>
  <c r="C1" i="69"/>
  <c r="D7" i="52"/>
  <c r="C44" i="153"/>
  <c r="C61" i="153"/>
  <c r="F13" i="74"/>
  <c r="E5" i="148"/>
  <c r="E7" i="148" s="1"/>
  <c r="E9" i="148" s="1"/>
  <c r="E14" i="148" s="1"/>
  <c r="C13" i="24"/>
  <c r="G13" i="74"/>
  <c r="C63" i="69"/>
  <c r="D62" i="24"/>
  <c r="H62" i="24" s="1"/>
  <c r="D67" i="24"/>
  <c r="C30" i="69"/>
  <c r="C47" i="69"/>
  <c r="D52" i="74"/>
  <c r="E52" i="73"/>
  <c r="H52" i="73" s="1"/>
  <c r="E117" i="155"/>
  <c r="F45" i="24"/>
  <c r="G45" i="24"/>
  <c r="D78" i="155"/>
  <c r="E120" i="155"/>
  <c r="F50" i="24"/>
  <c r="G50" i="24"/>
  <c r="F54" i="24"/>
  <c r="D102" i="141"/>
  <c r="G54" i="24"/>
  <c r="C58" i="24"/>
  <c r="E56" i="155"/>
  <c r="E60" i="155" s="1"/>
  <c r="E130" i="155" s="1"/>
  <c r="G56" i="24"/>
  <c r="G60" i="24"/>
  <c r="H86" i="24"/>
  <c r="D7" i="155"/>
  <c r="D10" i="155" s="1"/>
  <c r="C48" i="69"/>
  <c r="H66" i="24"/>
  <c r="F16" i="73"/>
  <c r="H59" i="73"/>
  <c r="E76" i="73"/>
  <c r="E70" i="73"/>
  <c r="E77" i="73"/>
  <c r="F17" i="24"/>
  <c r="H15" i="24"/>
  <c r="C10" i="154"/>
  <c r="C14" i="154" s="1"/>
  <c r="C38" i="154" s="1"/>
  <c r="C47" i="154" s="1"/>
  <c r="B13" i="113"/>
  <c r="E89" i="154"/>
  <c r="G22" i="24"/>
  <c r="F9" i="61"/>
  <c r="C12" i="52"/>
  <c r="D4" i="97"/>
  <c r="C65" i="69"/>
  <c r="C24" i="93"/>
  <c r="D21" i="73"/>
  <c r="H21" i="73" s="1"/>
  <c r="H20" i="73"/>
  <c r="I11" i="114"/>
  <c r="F19" i="24"/>
  <c r="C56" i="154"/>
  <c r="C59" i="154" s="1"/>
  <c r="C71" i="154" s="1"/>
  <c r="D3" i="69"/>
  <c r="B20" i="74"/>
  <c r="B16" i="74"/>
  <c r="B70" i="73"/>
  <c r="B72" i="73" s="1"/>
  <c r="B75" i="73"/>
  <c r="B80" i="73"/>
  <c r="F80" i="73" s="1"/>
  <c r="B76" i="73"/>
  <c r="F76" i="73" s="1"/>
  <c r="B77" i="73"/>
  <c r="F77" i="73" s="1"/>
  <c r="B77" i="76"/>
  <c r="B80" i="76"/>
  <c r="F80" i="76" s="1"/>
  <c r="F82" i="155"/>
  <c r="F90" i="155" s="1"/>
  <c r="B48" i="24"/>
  <c r="F56" i="24"/>
  <c r="F38" i="155"/>
  <c r="F61" i="24"/>
  <c r="F50" i="74"/>
  <c r="E120" i="149"/>
  <c r="E56" i="148"/>
  <c r="E59" i="148" s="1"/>
  <c r="E71" i="148" s="1"/>
  <c r="C14" i="24"/>
  <c r="E56" i="154" s="1"/>
  <c r="E59" i="154" s="1"/>
  <c r="E71" i="154" s="1"/>
  <c r="F14" i="74"/>
  <c r="D76" i="73"/>
  <c r="H76" i="73" s="1"/>
  <c r="E25" i="154"/>
  <c r="F35" i="24"/>
  <c r="H25" i="52"/>
  <c r="G85" i="76"/>
  <c r="E88" i="74"/>
  <c r="F87" i="73"/>
  <c r="R49" i="116"/>
  <c r="B1" i="129"/>
  <c r="A1" i="94"/>
  <c r="B2" i="93"/>
  <c r="A1" i="113"/>
  <c r="B1" i="98"/>
  <c r="B2" i="87"/>
  <c r="B2" i="96"/>
  <c r="B76" i="76"/>
  <c r="B62" i="24"/>
  <c r="E28" i="136"/>
  <c r="C129" i="149"/>
  <c r="E130" i="149"/>
  <c r="F38" i="150"/>
  <c r="F47" i="150" s="1"/>
  <c r="F73" i="150" s="1"/>
  <c r="F79" i="150" s="1"/>
  <c r="F84" i="150" s="1"/>
  <c r="F91" i="150" s="1"/>
  <c r="F1" i="148"/>
  <c r="B7" i="24"/>
  <c r="F1" i="149"/>
  <c r="B7" i="73"/>
  <c r="G12" i="74"/>
  <c r="D11" i="74"/>
  <c r="D6" i="148"/>
  <c r="C12" i="62"/>
  <c r="C13" i="62" s="1"/>
  <c r="C14" i="62" s="1"/>
  <c r="E75" i="73"/>
  <c r="H68" i="73"/>
  <c r="E77" i="74"/>
  <c r="C84" i="76"/>
  <c r="F84" i="76" s="1"/>
  <c r="D78" i="76"/>
  <c r="G78" i="76" s="1"/>
  <c r="E84" i="24"/>
  <c r="D63" i="69" s="1"/>
  <c r="C8" i="54"/>
  <c r="I3" i="114"/>
  <c r="H49" i="73"/>
  <c r="C13" i="52"/>
  <c r="C10" i="54"/>
  <c r="C11" i="52"/>
  <c r="G23" i="24"/>
  <c r="E92" i="154"/>
  <c r="H22" i="24"/>
  <c r="D7" i="76"/>
  <c r="G86" i="73"/>
  <c r="G11" i="73"/>
  <c r="H11" i="73"/>
  <c r="A1" i="95"/>
  <c r="B2" i="131"/>
  <c r="F60" i="155"/>
  <c r="F130" i="155" s="1"/>
  <c r="B90" i="73"/>
  <c r="B89" i="73"/>
  <c r="B92" i="73" s="1"/>
  <c r="F7" i="154"/>
  <c r="F9" i="154" s="1"/>
  <c r="B84" i="24"/>
  <c r="B7" i="76"/>
  <c r="F30" i="153"/>
  <c r="F61" i="153" s="1"/>
  <c r="F131" i="153" s="1"/>
  <c r="E60" i="153"/>
  <c r="E130" i="153" s="1"/>
  <c r="C129" i="153"/>
  <c r="X36" i="162"/>
  <c r="S36" i="162"/>
  <c r="S31" i="162"/>
  <c r="U36" i="162" s="1"/>
  <c r="C87" i="74"/>
  <c r="E24" i="148"/>
  <c r="E29" i="148" s="1"/>
  <c r="E32" i="148" s="1"/>
  <c r="E35" i="148" s="1"/>
  <c r="E37" i="148" s="1"/>
  <c r="E38" i="148" s="1"/>
  <c r="E47" i="148" s="1"/>
  <c r="B78" i="73"/>
  <c r="B86" i="24"/>
  <c r="E38" i="150"/>
  <c r="E47" i="150" s="1"/>
  <c r="E73" i="150" s="1"/>
  <c r="E79" i="150" s="1"/>
  <c r="E84" i="150" s="1"/>
  <c r="E91" i="150" s="1"/>
  <c r="D71" i="148"/>
  <c r="F71" i="148"/>
  <c r="C29" i="149"/>
  <c r="C30" i="149" s="1"/>
  <c r="C99" i="149"/>
  <c r="E30" i="149"/>
  <c r="E61" i="149" s="1"/>
  <c r="E43" i="149"/>
  <c r="C85" i="74"/>
  <c r="C129" i="151"/>
  <c r="D30" i="153"/>
  <c r="D44" i="153" s="1"/>
  <c r="D29" i="148"/>
  <c r="D32" i="148" s="1"/>
  <c r="D35" i="148" s="1"/>
  <c r="D37" i="148" s="1"/>
  <c r="D124" i="149"/>
  <c r="C29" i="151"/>
  <c r="C30" i="151" s="1"/>
  <c r="E71" i="152"/>
  <c r="P45" i="162"/>
  <c r="C7" i="154"/>
  <c r="C9" i="154" s="1"/>
  <c r="F7" i="73"/>
  <c r="B77" i="74"/>
  <c r="B84" i="73"/>
  <c r="B84" i="76"/>
  <c r="F19" i="141"/>
  <c r="C7" i="148"/>
  <c r="C9" i="148" s="1"/>
  <c r="C14" i="148" s="1"/>
  <c r="C38" i="148" s="1"/>
  <c r="C47" i="148" s="1"/>
  <c r="E10" i="148"/>
  <c r="D99" i="149"/>
  <c r="E124" i="149"/>
  <c r="F29" i="149"/>
  <c r="F30" i="149" s="1"/>
  <c r="F44" i="149" s="1"/>
  <c r="F43" i="149"/>
  <c r="F99" i="149"/>
  <c r="D30" i="151"/>
  <c r="D61" i="151" s="1"/>
  <c r="D131" i="151" s="1"/>
  <c r="D85" i="74"/>
  <c r="M49" i="116"/>
  <c r="C72" i="74"/>
  <c r="G39" i="55"/>
  <c r="F76" i="76"/>
  <c r="F61" i="151"/>
  <c r="F44" i="151"/>
  <c r="AH10" i="169"/>
  <c r="L39" i="55"/>
  <c r="G78" i="73"/>
  <c r="D72" i="74"/>
  <c r="H70" i="74"/>
  <c r="P18" i="90"/>
  <c r="C10" i="156"/>
  <c r="C20" i="76"/>
  <c r="G11" i="76"/>
  <c r="C16" i="76"/>
  <c r="G16" i="76" s="1"/>
  <c r="F11" i="76"/>
  <c r="F26" i="52"/>
  <c r="H26" i="52" s="1"/>
  <c r="C86" i="76"/>
  <c r="G12" i="24"/>
  <c r="E6" i="154"/>
  <c r="F12" i="24"/>
  <c r="I5" i="114"/>
  <c r="C71" i="148"/>
  <c r="C41" i="155"/>
  <c r="E79" i="24"/>
  <c r="E77" i="24"/>
  <c r="E76" i="24"/>
  <c r="D57" i="69" s="1"/>
  <c r="E69" i="24"/>
  <c r="C44" i="69"/>
  <c r="C9" i="93"/>
  <c r="C82" i="69"/>
  <c r="E41" i="155"/>
  <c r="C79" i="24"/>
  <c r="B107" i="141"/>
  <c r="B108" i="141" s="1"/>
  <c r="B102" i="141"/>
  <c r="G62" i="24"/>
  <c r="G40" i="24"/>
  <c r="H40" i="24"/>
  <c r="C24" i="69"/>
  <c r="C23" i="155"/>
  <c r="C29" i="155" s="1"/>
  <c r="C30" i="155" s="1"/>
  <c r="D49" i="69"/>
  <c r="H67" i="24"/>
  <c r="E38" i="73"/>
  <c r="E83" i="73"/>
  <c r="F68" i="74"/>
  <c r="C74" i="74"/>
  <c r="C78" i="74"/>
  <c r="H84" i="76"/>
  <c r="E14" i="96"/>
  <c r="G26" i="37"/>
  <c r="F74" i="73"/>
  <c r="G74" i="73"/>
  <c r="F63" i="74"/>
  <c r="C80" i="74"/>
  <c r="C76" i="74"/>
  <c r="C77" i="74"/>
  <c r="E13" i="96"/>
  <c r="H64" i="24"/>
  <c r="G75" i="76"/>
  <c r="G66" i="24"/>
  <c r="E76" i="76"/>
  <c r="E80" i="76"/>
  <c r="H80" i="76" s="1"/>
  <c r="D38" i="155"/>
  <c r="G61" i="24"/>
  <c r="H61" i="24"/>
  <c r="F65" i="24"/>
  <c r="G65" i="24"/>
  <c r="E11" i="155"/>
  <c r="C67" i="24"/>
  <c r="C77" i="24" s="1"/>
  <c r="G28" i="24"/>
  <c r="H28" i="24"/>
  <c r="D10" i="54"/>
  <c r="D80" i="73"/>
  <c r="G80" i="73" s="1"/>
  <c r="D75" i="73"/>
  <c r="D70" i="73"/>
  <c r="G70" i="73" s="1"/>
  <c r="D77" i="73"/>
  <c r="D81" i="73"/>
  <c r="H63" i="73"/>
  <c r="D80" i="74"/>
  <c r="H80" i="74" s="1"/>
  <c r="D75" i="74"/>
  <c r="D78" i="74"/>
  <c r="H78" i="74" s="1"/>
  <c r="D76" i="74"/>
  <c r="H76" i="74" s="1"/>
  <c r="D30" i="73"/>
  <c r="H30" i="73" s="1"/>
  <c r="D32" i="73"/>
  <c r="G84" i="76"/>
  <c r="H52" i="76"/>
  <c r="G48" i="24"/>
  <c r="G86" i="24"/>
  <c r="F86" i="24"/>
  <c r="D120" i="155"/>
  <c r="H50" i="24"/>
  <c r="H54" i="24"/>
  <c r="D58" i="24"/>
  <c r="D76" i="24" s="1"/>
  <c r="C34" i="155"/>
  <c r="H60" i="24"/>
  <c r="D42" i="69"/>
  <c r="G64" i="24"/>
  <c r="C46" i="69"/>
  <c r="E84" i="74"/>
  <c r="E75" i="74"/>
  <c r="H59" i="76"/>
  <c r="E84" i="76"/>
  <c r="E70" i="76"/>
  <c r="C1" i="151"/>
  <c r="E89" i="73"/>
  <c r="E92" i="73" s="1"/>
  <c r="E90" i="73"/>
  <c r="B88" i="76"/>
  <c r="B20" i="24"/>
  <c r="B90" i="74"/>
  <c r="B89" i="74"/>
  <c r="F70" i="73"/>
  <c r="G76" i="73"/>
  <c r="D79" i="73"/>
  <c r="D83" i="76"/>
  <c r="E78" i="73"/>
  <c r="H78" i="73" s="1"/>
  <c r="E79" i="73"/>
  <c r="E80" i="73"/>
  <c r="E81" i="73"/>
  <c r="D72" i="76"/>
  <c r="E33" i="73"/>
  <c r="E34" i="73"/>
  <c r="F52" i="76"/>
  <c r="C72" i="76"/>
  <c r="G52" i="76"/>
  <c r="F77" i="76"/>
  <c r="G77" i="76"/>
  <c r="H78" i="76"/>
  <c r="G49" i="24"/>
  <c r="C33" i="69"/>
  <c r="I45" i="55"/>
  <c r="N44" i="55"/>
  <c r="D74" i="76"/>
  <c r="H49" i="76"/>
  <c r="C1" i="155"/>
  <c r="C1" i="154"/>
  <c r="H88" i="73"/>
  <c r="E78" i="155"/>
  <c r="F46" i="24"/>
  <c r="E34" i="155"/>
  <c r="F60" i="24"/>
  <c r="E16" i="74"/>
  <c r="D36" i="154"/>
  <c r="G24" i="24"/>
  <c r="H24" i="24"/>
  <c r="D11" i="52"/>
  <c r="D25" i="154"/>
  <c r="H27" i="24"/>
  <c r="A9" i="113"/>
  <c r="F11" i="113" s="1"/>
  <c r="B16" i="113" s="1"/>
  <c r="C20" i="60"/>
  <c r="F16" i="61"/>
  <c r="C25" i="52"/>
  <c r="D28" i="96"/>
  <c r="D29" i="96" s="1"/>
  <c r="D48" i="55"/>
  <c r="E13" i="98"/>
  <c r="E14" i="98" s="1"/>
  <c r="F86" i="73"/>
  <c r="C88" i="73"/>
  <c r="C21" i="74"/>
  <c r="C25" i="74"/>
  <c r="F20" i="74"/>
  <c r="F30" i="23"/>
  <c r="F32" i="23" s="1"/>
  <c r="S27" i="23"/>
  <c r="F11" i="73"/>
  <c r="C20" i="73"/>
  <c r="H86" i="76"/>
  <c r="D88" i="76"/>
  <c r="G14" i="24"/>
  <c r="D46" i="129"/>
  <c r="B40" i="129"/>
  <c r="C14" i="129"/>
  <c r="C13" i="129"/>
  <c r="F37" i="154"/>
  <c r="E48" i="24"/>
  <c r="H56" i="24"/>
  <c r="G68" i="76"/>
  <c r="F43" i="24"/>
  <c r="C84" i="24"/>
  <c r="F44" i="24"/>
  <c r="G44" i="24"/>
  <c r="F11" i="74"/>
  <c r="F24" i="52"/>
  <c r="C11" i="24"/>
  <c r="H86" i="73"/>
  <c r="B15" i="114"/>
  <c r="F18" i="114"/>
  <c r="F19" i="113"/>
  <c r="E8" i="97"/>
  <c r="F8" i="97" s="1"/>
  <c r="B12" i="141"/>
  <c r="K29" i="87"/>
  <c r="C66" i="69"/>
  <c r="H7" i="74"/>
  <c r="H7" i="24" s="1"/>
  <c r="C1" i="149"/>
  <c r="C1" i="148"/>
  <c r="O19" i="114"/>
  <c r="N17" i="114" s="1"/>
  <c r="D89" i="73"/>
  <c r="D90" i="73"/>
  <c r="E20" i="74"/>
  <c r="H11" i="74"/>
  <c r="E11" i="24"/>
  <c r="D23" i="154"/>
  <c r="H19" i="24"/>
  <c r="G19" i="24"/>
  <c r="B79" i="73"/>
  <c r="B26" i="73"/>
  <c r="B81" i="73"/>
  <c r="B29" i="73"/>
  <c r="B21" i="74"/>
  <c r="B25" i="74"/>
  <c r="E16" i="145"/>
  <c r="F16" i="145"/>
  <c r="K16" i="145"/>
  <c r="J16" i="145"/>
  <c r="M16" i="145"/>
  <c r="I16" i="145"/>
  <c r="G16" i="145"/>
  <c r="N15" i="145"/>
  <c r="D16" i="145"/>
  <c r="T16" i="145"/>
  <c r="H16" i="145"/>
  <c r="L16" i="145"/>
  <c r="X16" i="145"/>
  <c r="E131" i="151"/>
  <c r="D44" i="149"/>
  <c r="D61" i="149"/>
  <c r="D131" i="149" s="1"/>
  <c r="D12" i="54"/>
  <c r="F10" i="61"/>
  <c r="G15" i="24"/>
  <c r="G7" i="73"/>
  <c r="G13" i="24"/>
  <c r="E1" i="153"/>
  <c r="A2" i="37"/>
  <c r="B70" i="76"/>
  <c r="B85" i="24"/>
  <c r="B84" i="74"/>
  <c r="F84" i="74" s="1"/>
  <c r="B78" i="74"/>
  <c r="F78" i="74" s="1"/>
  <c r="B80" i="74"/>
  <c r="B16" i="76"/>
  <c r="B20" i="76"/>
  <c r="F10" i="154"/>
  <c r="F14" i="154" s="1"/>
  <c r="F38" i="154" s="1"/>
  <c r="F47" i="154" s="1"/>
  <c r="B16" i="24"/>
  <c r="F41" i="155"/>
  <c r="B74" i="24"/>
  <c r="D61" i="153"/>
  <c r="B75" i="76"/>
  <c r="F75" i="76" s="1"/>
  <c r="F117" i="155"/>
  <c r="D38" i="150"/>
  <c r="D47" i="150" s="1"/>
  <c r="D73" i="150" s="1"/>
  <c r="D79" i="150" s="1"/>
  <c r="D84" i="150" s="1"/>
  <c r="D91" i="150" s="1"/>
  <c r="F38" i="152"/>
  <c r="F47" i="152" s="1"/>
  <c r="F73" i="152" s="1"/>
  <c r="F79" i="152" s="1"/>
  <c r="F84" i="152" s="1"/>
  <c r="F91" i="152" s="1"/>
  <c r="C38" i="150"/>
  <c r="C47" i="150" s="1"/>
  <c r="C73" i="150" s="1"/>
  <c r="C79" i="150" s="1"/>
  <c r="C84" i="150" s="1"/>
  <c r="C91" i="150" s="1"/>
  <c r="E44" i="149"/>
  <c r="F72" i="152"/>
  <c r="B76" i="74"/>
  <c r="B78" i="76"/>
  <c r="F78" i="76" s="1"/>
  <c r="B67" i="24"/>
  <c r="B74" i="76"/>
  <c r="F74" i="76" s="1"/>
  <c r="N25" i="145"/>
  <c r="N26" i="145" s="1"/>
  <c r="C38" i="152"/>
  <c r="C47" i="152" s="1"/>
  <c r="C72" i="150"/>
  <c r="F72" i="150"/>
  <c r="F99" i="151"/>
  <c r="F129" i="151" s="1"/>
  <c r="F90" i="151"/>
  <c r="F38" i="148"/>
  <c r="F47" i="148" s="1"/>
  <c r="E38" i="152"/>
  <c r="E47" i="152" s="1"/>
  <c r="E73" i="152" s="1"/>
  <c r="E79" i="152" s="1"/>
  <c r="E84" i="152" s="1"/>
  <c r="E91" i="152" s="1"/>
  <c r="D129" i="149"/>
  <c r="F129" i="149"/>
  <c r="P47" i="162"/>
  <c r="Q45" i="162"/>
  <c r="Q47" i="162" s="1"/>
  <c r="F29" i="148"/>
  <c r="F32" i="148" s="1"/>
  <c r="F35" i="148" s="1"/>
  <c r="F37" i="148" s="1"/>
  <c r="C43" i="149"/>
  <c r="E99" i="149"/>
  <c r="E129" i="149" s="1"/>
  <c r="D72" i="150"/>
  <c r="F7" i="74"/>
  <c r="F7" i="24" s="1"/>
  <c r="D38" i="152"/>
  <c r="D47" i="152" s="1"/>
  <c r="F60" i="149"/>
  <c r="F130" i="149" s="1"/>
  <c r="D129" i="151"/>
  <c r="E30" i="153"/>
  <c r="AE10" i="162"/>
  <c r="F41" i="74"/>
  <c r="E106" i="149"/>
  <c r="E108" i="149" s="1"/>
  <c r="E110" i="149" s="1"/>
  <c r="C29" i="148"/>
  <c r="C32" i="148" s="1"/>
  <c r="C35" i="148" s="1"/>
  <c r="C37" i="148" s="1"/>
  <c r="D129" i="153"/>
  <c r="D71" i="150"/>
  <c r="D90" i="153"/>
  <c r="C44" i="151" l="1"/>
  <c r="C61" i="151"/>
  <c r="C131" i="151" s="1"/>
  <c r="C11" i="93"/>
  <c r="D41" i="55"/>
  <c r="F98" i="155"/>
  <c r="F99" i="155" s="1"/>
  <c r="B51" i="24"/>
  <c r="F13" i="24"/>
  <c r="I6" i="114"/>
  <c r="E5" i="154"/>
  <c r="F74" i="24"/>
  <c r="E99" i="155"/>
  <c r="E129" i="155" s="1"/>
  <c r="F13" i="93"/>
  <c r="F87" i="74"/>
  <c r="G87" i="74"/>
  <c r="F1" i="152"/>
  <c r="F1" i="153"/>
  <c r="F1" i="151"/>
  <c r="F1" i="150"/>
  <c r="E72" i="150"/>
  <c r="E89" i="74"/>
  <c r="E92" i="74" s="1"/>
  <c r="E90" i="74"/>
  <c r="E72" i="73"/>
  <c r="F106" i="141"/>
  <c r="E114" i="155"/>
  <c r="C74" i="24"/>
  <c r="F58" i="24"/>
  <c r="H52" i="74"/>
  <c r="G52" i="74"/>
  <c r="D98" i="155"/>
  <c r="D99" i="155" s="1"/>
  <c r="D51" i="24"/>
  <c r="C32" i="69"/>
  <c r="F16" i="74"/>
  <c r="D73" i="24"/>
  <c r="C54" i="69" s="1"/>
  <c r="D23" i="155"/>
  <c r="D29" i="155" s="1"/>
  <c r="D30" i="155" s="1"/>
  <c r="E26" i="76"/>
  <c r="H26" i="76" s="1"/>
  <c r="E29" i="76"/>
  <c r="H25" i="76"/>
  <c r="E98" i="155"/>
  <c r="G76" i="74"/>
  <c r="F44" i="153"/>
  <c r="H7" i="73"/>
  <c r="D29" i="154"/>
  <c r="D32" i="154" s="1"/>
  <c r="D35" i="154" s="1"/>
  <c r="D37" i="154" s="1"/>
  <c r="D38" i="154" s="1"/>
  <c r="D47" i="154" s="1"/>
  <c r="D73" i="154" s="1"/>
  <c r="D79" i="154" s="1"/>
  <c r="D84" i="154" s="1"/>
  <c r="D91" i="154" s="1"/>
  <c r="H90" i="73"/>
  <c r="F14" i="24"/>
  <c r="F48" i="24"/>
  <c r="E81" i="76"/>
  <c r="H81" i="76" s="1"/>
  <c r="C49" i="69"/>
  <c r="C76" i="24"/>
  <c r="K23" i="87" s="1"/>
  <c r="D41" i="155"/>
  <c r="D44" i="151"/>
  <c r="G70" i="74"/>
  <c r="F85" i="74"/>
  <c r="C88" i="74"/>
  <c r="G85" i="74"/>
  <c r="B79" i="24"/>
  <c r="F79" i="24" s="1"/>
  <c r="B76" i="24"/>
  <c r="F76" i="24" s="1"/>
  <c r="F62" i="24"/>
  <c r="H77" i="74"/>
  <c r="F78" i="73"/>
  <c r="G86" i="74"/>
  <c r="F86" i="74"/>
  <c r="D82" i="73"/>
  <c r="H82" i="73" s="1"/>
  <c r="H29" i="73"/>
  <c r="E84" i="73"/>
  <c r="H84" i="73" s="1"/>
  <c r="E7" i="154"/>
  <c r="E9" i="154" s="1"/>
  <c r="E14" i="154" s="1"/>
  <c r="E38" i="154" s="1"/>
  <c r="E47" i="154" s="1"/>
  <c r="H85" i="74"/>
  <c r="E7" i="76"/>
  <c r="D1" i="153"/>
  <c r="D1" i="152"/>
  <c r="G7" i="76"/>
  <c r="H76" i="76"/>
  <c r="C44" i="149"/>
  <c r="F16" i="76"/>
  <c r="F7" i="76"/>
  <c r="F21" i="74"/>
  <c r="D84" i="74"/>
  <c r="I7" i="114"/>
  <c r="C51" i="24"/>
  <c r="H75" i="74"/>
  <c r="E79" i="76"/>
  <c r="H79" i="76" s="1"/>
  <c r="F84" i="73"/>
  <c r="D20" i="74"/>
  <c r="D11" i="24"/>
  <c r="D86" i="74"/>
  <c r="H86" i="74" s="1"/>
  <c r="D16" i="74"/>
  <c r="H16" i="74" s="1"/>
  <c r="F1" i="154"/>
  <c r="F1" i="155"/>
  <c r="F75" i="73"/>
  <c r="C131" i="153"/>
  <c r="C10" i="93"/>
  <c r="C81" i="69"/>
  <c r="G20" i="74"/>
  <c r="F73" i="154"/>
  <c r="F79" i="154" s="1"/>
  <c r="F84" i="154" s="1"/>
  <c r="F91" i="154" s="1"/>
  <c r="F72" i="154"/>
  <c r="D131" i="153"/>
  <c r="B25" i="76"/>
  <c r="F20" i="76"/>
  <c r="B21" i="76"/>
  <c r="B87" i="24"/>
  <c r="S16" i="145"/>
  <c r="G41" i="145"/>
  <c r="G45" i="145" s="1"/>
  <c r="G24" i="145"/>
  <c r="G25" i="145"/>
  <c r="W16" i="145"/>
  <c r="K41" i="145"/>
  <c r="K45" i="145" s="1"/>
  <c r="K24" i="145"/>
  <c r="K25" i="145"/>
  <c r="B79" i="74"/>
  <c r="B26" i="74"/>
  <c r="B29" i="74"/>
  <c r="B81" i="74"/>
  <c r="F25" i="74"/>
  <c r="E21" i="74"/>
  <c r="H20" i="74"/>
  <c r="E25" i="74"/>
  <c r="H27" i="37"/>
  <c r="H28" i="37" s="1"/>
  <c r="C20" i="24"/>
  <c r="F10" i="97"/>
  <c r="F24" i="113"/>
  <c r="C8" i="61"/>
  <c r="C11" i="61" s="1"/>
  <c r="G11" i="24"/>
  <c r="H15" i="113" s="1"/>
  <c r="H19" i="113"/>
  <c r="C7" i="60"/>
  <c r="B99" i="141"/>
  <c r="K17" i="87"/>
  <c r="E10" i="97"/>
  <c r="C18" i="61"/>
  <c r="I4" i="114"/>
  <c r="I13" i="114" s="1"/>
  <c r="I14" i="114" s="1"/>
  <c r="F22" i="114"/>
  <c r="F23" i="113"/>
  <c r="C8" i="52"/>
  <c r="D14" i="114"/>
  <c r="F14" i="114" s="1"/>
  <c r="D15" i="114" s="1"/>
  <c r="F22" i="113"/>
  <c r="B20" i="95"/>
  <c r="N16" i="114"/>
  <c r="D16" i="114" s="1"/>
  <c r="F23" i="114"/>
  <c r="F15" i="93"/>
  <c r="C85" i="24"/>
  <c r="C16" i="24"/>
  <c r="F16" i="24" s="1"/>
  <c r="D90" i="76"/>
  <c r="H90" i="76" s="1"/>
  <c r="H88" i="76"/>
  <c r="D89" i="76"/>
  <c r="C29" i="74"/>
  <c r="C26" i="74"/>
  <c r="C79" i="74"/>
  <c r="C81" i="74"/>
  <c r="D72" i="154"/>
  <c r="H79" i="73"/>
  <c r="B89" i="76"/>
  <c r="B90" i="76"/>
  <c r="F51" i="24"/>
  <c r="D109" i="141"/>
  <c r="E123" i="155"/>
  <c r="E124" i="155" s="1"/>
  <c r="C37" i="96"/>
  <c r="C83" i="24"/>
  <c r="D37" i="96"/>
  <c r="E37" i="96" s="1"/>
  <c r="G77" i="73"/>
  <c r="H77" i="73"/>
  <c r="D34" i="96"/>
  <c r="E34" i="96" s="1"/>
  <c r="D35" i="96"/>
  <c r="E35" i="96" s="1"/>
  <c r="F74" i="74"/>
  <c r="G74" i="74"/>
  <c r="B17" i="95"/>
  <c r="E73" i="154"/>
  <c r="E79" i="154" s="1"/>
  <c r="E84" i="154" s="1"/>
  <c r="E91" i="154" s="1"/>
  <c r="E72" i="154"/>
  <c r="G75" i="74"/>
  <c r="F61" i="149"/>
  <c r="F131" i="149" s="1"/>
  <c r="H76" i="24"/>
  <c r="C57" i="69"/>
  <c r="F14" i="93"/>
  <c r="F16" i="93"/>
  <c r="D73" i="152"/>
  <c r="D79" i="152" s="1"/>
  <c r="D84" i="152" s="1"/>
  <c r="D91" i="152" s="1"/>
  <c r="D72" i="152"/>
  <c r="F73" i="148"/>
  <c r="F79" i="148" s="1"/>
  <c r="F84" i="148" s="1"/>
  <c r="F91" i="148" s="1"/>
  <c r="F72" i="148"/>
  <c r="C72" i="152"/>
  <c r="C73" i="152"/>
  <c r="C79" i="152" s="1"/>
  <c r="C84" i="152" s="1"/>
  <c r="C91" i="152" s="1"/>
  <c r="F23" i="155"/>
  <c r="F29" i="155" s="1"/>
  <c r="F30" i="155" s="1"/>
  <c r="B69" i="24"/>
  <c r="B73" i="24"/>
  <c r="F67" i="24"/>
  <c r="E72" i="152"/>
  <c r="E73" i="148"/>
  <c r="E79" i="148" s="1"/>
  <c r="E84" i="148" s="1"/>
  <c r="E91" i="148" s="1"/>
  <c r="E72" i="148"/>
  <c r="B75" i="24"/>
  <c r="B72" i="76"/>
  <c r="F70" i="76"/>
  <c r="D41" i="145"/>
  <c r="D45" i="145" s="1"/>
  <c r="N45" i="145" s="1"/>
  <c r="D24" i="145"/>
  <c r="D25" i="145"/>
  <c r="N16" i="145"/>
  <c r="I41" i="145"/>
  <c r="I45" i="145" s="1"/>
  <c r="I25" i="145"/>
  <c r="U16" i="145"/>
  <c r="I24" i="145"/>
  <c r="R16" i="145"/>
  <c r="F41" i="145"/>
  <c r="F45" i="145" s="1"/>
  <c r="F24" i="145"/>
  <c r="F25" i="145"/>
  <c r="N15" i="114"/>
  <c r="F27" i="52"/>
  <c r="H24" i="52"/>
  <c r="H27" i="52" s="1"/>
  <c r="G84" i="24"/>
  <c r="F84" i="24"/>
  <c r="C87" i="24"/>
  <c r="C98" i="155"/>
  <c r="C99" i="155" s="1"/>
  <c r="D32" i="69"/>
  <c r="E51" i="24"/>
  <c r="E73" i="24"/>
  <c r="D52" i="55"/>
  <c r="D53" i="55" s="1"/>
  <c r="N59" i="55"/>
  <c r="N45" i="55"/>
  <c r="I46" i="55"/>
  <c r="B25" i="24"/>
  <c r="B21" i="24"/>
  <c r="F20" i="24"/>
  <c r="D114" i="155"/>
  <c r="H58" i="24"/>
  <c r="C40" i="69"/>
  <c r="D69" i="24"/>
  <c r="D83" i="24"/>
  <c r="G58" i="24"/>
  <c r="D79" i="24"/>
  <c r="D75" i="24"/>
  <c r="H70" i="73"/>
  <c r="D72" i="73"/>
  <c r="G67" i="24"/>
  <c r="B6" i="133"/>
  <c r="C73" i="24"/>
  <c r="E23" i="155"/>
  <c r="E29" i="155" s="1"/>
  <c r="E30" i="155" s="1"/>
  <c r="D101" i="141"/>
  <c r="G80" i="74"/>
  <c r="C73" i="148"/>
  <c r="C79" i="148" s="1"/>
  <c r="C84" i="148" s="1"/>
  <c r="C91" i="148" s="1"/>
  <c r="C72" i="148"/>
  <c r="E44" i="153"/>
  <c r="E61" i="153"/>
  <c r="E131" i="153" s="1"/>
  <c r="F80" i="74"/>
  <c r="C61" i="149"/>
  <c r="C131" i="149" s="1"/>
  <c r="L25" i="145"/>
  <c r="L41" i="145"/>
  <c r="L45" i="145" s="1"/>
  <c r="L24" i="145"/>
  <c r="P16" i="145"/>
  <c r="M25" i="145"/>
  <c r="M41" i="145"/>
  <c r="M45" i="145" s="1"/>
  <c r="M24" i="145"/>
  <c r="Y16" i="145"/>
  <c r="E41" i="145"/>
  <c r="E45" i="145" s="1"/>
  <c r="Q16" i="145"/>
  <c r="E24" i="145"/>
  <c r="E25" i="145"/>
  <c r="E20" i="24"/>
  <c r="D2" i="69"/>
  <c r="E16" i="24"/>
  <c r="E85" i="24"/>
  <c r="E87" i="24" s="1"/>
  <c r="E88" i="24" s="1"/>
  <c r="H89" i="73"/>
  <c r="D92" i="73"/>
  <c r="H92" i="73" s="1"/>
  <c r="F20" i="73"/>
  <c r="C25" i="73"/>
  <c r="C21" i="73"/>
  <c r="G20" i="73"/>
  <c r="C73" i="154"/>
  <c r="C79" i="154" s="1"/>
  <c r="C84" i="154" s="1"/>
  <c r="C91" i="154" s="1"/>
  <c r="C72" i="154"/>
  <c r="F88" i="73"/>
  <c r="C89" i="73"/>
  <c r="G88" i="73"/>
  <c r="C90" i="73"/>
  <c r="F11" i="24"/>
  <c r="E72" i="76"/>
  <c r="H70" i="76"/>
  <c r="H75" i="73"/>
  <c r="G75" i="73"/>
  <c r="C75" i="24"/>
  <c r="D74" i="24"/>
  <c r="C42" i="155"/>
  <c r="C43" i="155" s="1"/>
  <c r="E71" i="24"/>
  <c r="C69" i="155" s="1"/>
  <c r="D51" i="69"/>
  <c r="D58" i="69"/>
  <c r="M21" i="87"/>
  <c r="G86" i="76"/>
  <c r="C88" i="76"/>
  <c r="F88" i="76" s="1"/>
  <c r="L59" i="55"/>
  <c r="L60" i="55" s="1"/>
  <c r="D42" i="55" s="1"/>
  <c r="D43" i="55" s="1"/>
  <c r="D46" i="55" s="1"/>
  <c r="D47" i="55" s="1"/>
  <c r="D49" i="55" s="1"/>
  <c r="D50" i="55" s="1"/>
  <c r="F76" i="74"/>
  <c r="E131" i="149"/>
  <c r="B77" i="24"/>
  <c r="F77" i="24" s="1"/>
  <c r="H41" i="145"/>
  <c r="H45" i="145" s="1"/>
  <c r="H25" i="145"/>
  <c r="H24" i="145"/>
  <c r="J25" i="145"/>
  <c r="J24" i="145"/>
  <c r="V16" i="145"/>
  <c r="J41" i="145"/>
  <c r="J45" i="145" s="1"/>
  <c r="B32" i="73"/>
  <c r="B30" i="73"/>
  <c r="B82" i="73"/>
  <c r="H74" i="76"/>
  <c r="G74" i="76"/>
  <c r="B92" i="74"/>
  <c r="F86" i="76"/>
  <c r="H48" i="24"/>
  <c r="D34" i="73"/>
  <c r="H34" i="73" s="1"/>
  <c r="D37" i="73"/>
  <c r="H32" i="73"/>
  <c r="D33" i="73"/>
  <c r="H33" i="73" s="1"/>
  <c r="H81" i="73"/>
  <c r="H80" i="73"/>
  <c r="F21" i="114"/>
  <c r="F77" i="74"/>
  <c r="G77" i="74"/>
  <c r="G78" i="74"/>
  <c r="C69" i="24"/>
  <c r="K21" i="87"/>
  <c r="G79" i="24"/>
  <c r="D77" i="24"/>
  <c r="H77" i="24" s="1"/>
  <c r="D72" i="148"/>
  <c r="C25" i="76"/>
  <c r="C21" i="76"/>
  <c r="G21" i="76" s="1"/>
  <c r="G20" i="76"/>
  <c r="F131" i="151"/>
  <c r="C44" i="155" l="1"/>
  <c r="C61" i="155"/>
  <c r="C1" i="153"/>
  <c r="C1" i="152"/>
  <c r="F75" i="24"/>
  <c r="G76" i="24"/>
  <c r="D88" i="74"/>
  <c r="H29" i="37"/>
  <c r="C80" i="69" s="1"/>
  <c r="F73" i="24"/>
  <c r="D16" i="24"/>
  <c r="C5" i="69" s="1"/>
  <c r="C2" i="69"/>
  <c r="D8" i="52"/>
  <c r="D20" i="24"/>
  <c r="D85" i="24"/>
  <c r="D7" i="60"/>
  <c r="D10" i="60" s="1"/>
  <c r="D11" i="60" s="1"/>
  <c r="H11" i="24"/>
  <c r="H7" i="76"/>
  <c r="E32" i="76"/>
  <c r="H29" i="76"/>
  <c r="E30" i="76"/>
  <c r="H30" i="76" s="1"/>
  <c r="E82" i="76"/>
  <c r="H82" i="76" s="1"/>
  <c r="G16" i="74"/>
  <c r="B4" i="133"/>
  <c r="K24" i="87"/>
  <c r="B15" i="95"/>
  <c r="C34" i="96"/>
  <c r="H84" i="74"/>
  <c r="G84" i="74"/>
  <c r="D123" i="155"/>
  <c r="D124" i="155" s="1"/>
  <c r="D129" i="155" s="1"/>
  <c r="C35" i="69"/>
  <c r="F123" i="155"/>
  <c r="F124" i="155" s="1"/>
  <c r="F129" i="155" s="1"/>
  <c r="B83" i="24"/>
  <c r="G51" i="24"/>
  <c r="H21" i="74"/>
  <c r="F26" i="74"/>
  <c r="D25" i="74"/>
  <c r="D21" i="74"/>
  <c r="G21" i="74" s="1"/>
  <c r="C89" i="74"/>
  <c r="F88" i="74"/>
  <c r="G88" i="74"/>
  <c r="C90" i="74"/>
  <c r="F25" i="114"/>
  <c r="F26" i="114"/>
  <c r="J28" i="145"/>
  <c r="J29" i="145" s="1"/>
  <c r="J27" i="145"/>
  <c r="J26" i="145"/>
  <c r="C92" i="73"/>
  <c r="F89" i="73"/>
  <c r="G89" i="73"/>
  <c r="D5" i="69"/>
  <c r="H16" i="24"/>
  <c r="H75" i="24"/>
  <c r="C56" i="69"/>
  <c r="H69" i="24"/>
  <c r="D42" i="155"/>
  <c r="D43" i="155" s="1"/>
  <c r="D71" i="24"/>
  <c r="D69" i="155" s="1"/>
  <c r="C51" i="69"/>
  <c r="D54" i="69"/>
  <c r="H73" i="24"/>
  <c r="B30" i="74"/>
  <c r="F30" i="74" s="1"/>
  <c r="B32" i="74"/>
  <c r="F29" i="74"/>
  <c r="B82" i="74"/>
  <c r="I17" i="145"/>
  <c r="I42" i="145" s="1"/>
  <c r="D92" i="76"/>
  <c r="H92" i="76" s="1"/>
  <c r="H89" i="76"/>
  <c r="F8" i="52"/>
  <c r="C18" i="52" s="1"/>
  <c r="C23" i="52" s="1"/>
  <c r="E8" i="52"/>
  <c r="C10" i="60"/>
  <c r="C11" i="60" s="1"/>
  <c r="C13" i="60"/>
  <c r="F85" i="24"/>
  <c r="B29" i="76"/>
  <c r="B79" i="76"/>
  <c r="B26" i="76"/>
  <c r="F25" i="76"/>
  <c r="B81" i="76"/>
  <c r="H27" i="145"/>
  <c r="H28" i="145"/>
  <c r="H26" i="145"/>
  <c r="C55" i="69"/>
  <c r="H74" i="24"/>
  <c r="G74" i="24"/>
  <c r="G90" i="73"/>
  <c r="F90" i="73"/>
  <c r="G25" i="73"/>
  <c r="C26" i="73"/>
  <c r="C29" i="73"/>
  <c r="C79" i="73"/>
  <c r="C81" i="73"/>
  <c r="F25" i="73"/>
  <c r="D7" i="69"/>
  <c r="E21" i="24"/>
  <c r="E25" i="24"/>
  <c r="F107" i="141"/>
  <c r="K22" i="87"/>
  <c r="F108" i="141"/>
  <c r="G73" i="24"/>
  <c r="B29" i="24"/>
  <c r="B78" i="24"/>
  <c r="B26" i="24"/>
  <c r="B80" i="24"/>
  <c r="G47" i="55"/>
  <c r="I27" i="145"/>
  <c r="I28" i="145"/>
  <c r="I29" i="145" s="1"/>
  <c r="I26" i="145"/>
  <c r="B71" i="24"/>
  <c r="F69" i="155" s="1"/>
  <c r="F42" i="155"/>
  <c r="F43" i="155" s="1"/>
  <c r="F69" i="24"/>
  <c r="G77" i="24"/>
  <c r="E29" i="74"/>
  <c r="E81" i="74"/>
  <c r="H25" i="74"/>
  <c r="E79" i="74"/>
  <c r="E26" i="74"/>
  <c r="F79" i="74"/>
  <c r="B89" i="24"/>
  <c r="B88" i="24"/>
  <c r="F87" i="24"/>
  <c r="B37" i="73"/>
  <c r="B34" i="73"/>
  <c r="B33" i="73"/>
  <c r="F16" i="114"/>
  <c r="E27" i="145"/>
  <c r="E26" i="145"/>
  <c r="E28" i="145"/>
  <c r="O17" i="145"/>
  <c r="E17" i="145" s="1"/>
  <c r="E42" i="145" s="1"/>
  <c r="D17" i="145"/>
  <c r="P17" i="145" s="1"/>
  <c r="C89" i="24"/>
  <c r="C88" i="24"/>
  <c r="F26" i="145"/>
  <c r="F27" i="145"/>
  <c r="F28" i="145"/>
  <c r="B92" i="76"/>
  <c r="C32" i="74"/>
  <c r="C30" i="74"/>
  <c r="C82" i="74"/>
  <c r="I9" i="114"/>
  <c r="B106" i="141"/>
  <c r="G25" i="76"/>
  <c r="C79" i="76"/>
  <c r="G79" i="76" s="1"/>
  <c r="C81" i="76"/>
  <c r="G81" i="76" s="1"/>
  <c r="C29" i="76"/>
  <c r="C26" i="76"/>
  <c r="G26" i="76" s="1"/>
  <c r="H37" i="73"/>
  <c r="D38" i="73"/>
  <c r="H38" i="73" s="1"/>
  <c r="D83" i="73"/>
  <c r="H83" i="73" s="1"/>
  <c r="F21" i="73"/>
  <c r="G21" i="73"/>
  <c r="L21" i="87"/>
  <c r="C58" i="69"/>
  <c r="H79" i="24"/>
  <c r="C123" i="155"/>
  <c r="C124" i="155" s="1"/>
  <c r="C129" i="155" s="1"/>
  <c r="C131" i="155" s="1"/>
  <c r="D35" i="69"/>
  <c r="E83" i="24"/>
  <c r="D62" i="69" s="1"/>
  <c r="H51" i="24"/>
  <c r="D28" i="145"/>
  <c r="D26" i="145"/>
  <c r="D27" i="145"/>
  <c r="N27" i="145" s="1"/>
  <c r="E42" i="155"/>
  <c r="E43" i="155" s="1"/>
  <c r="E44" i="155" s="1"/>
  <c r="C71" i="24"/>
  <c r="E69" i="155" s="1"/>
  <c r="G69" i="24"/>
  <c r="C90" i="76"/>
  <c r="G90" i="76" s="1"/>
  <c r="C89" i="76"/>
  <c r="F89" i="76" s="1"/>
  <c r="G88" i="76"/>
  <c r="B16" i="95"/>
  <c r="K25" i="87"/>
  <c r="C35" i="96"/>
  <c r="G75" i="24"/>
  <c r="E91" i="24"/>
  <c r="E89" i="24"/>
  <c r="M26" i="145"/>
  <c r="M27" i="145"/>
  <c r="M28" i="145"/>
  <c r="L28" i="145"/>
  <c r="L27" i="145"/>
  <c r="L26" i="145"/>
  <c r="C62" i="69"/>
  <c r="H83" i="24"/>
  <c r="N60" i="55"/>
  <c r="I47" i="55"/>
  <c r="N46" i="55"/>
  <c r="G28" i="52"/>
  <c r="C17" i="52" s="1"/>
  <c r="C79" i="69" s="1"/>
  <c r="F17" i="145"/>
  <c r="F42" i="145" s="1"/>
  <c r="F44" i="155"/>
  <c r="F61" i="155"/>
  <c r="F131" i="155" s="1"/>
  <c r="G83" i="24"/>
  <c r="F83" i="24"/>
  <c r="F90" i="76"/>
  <c r="G20" i="24"/>
  <c r="C25" i="24"/>
  <c r="C21" i="24"/>
  <c r="F81" i="74"/>
  <c r="K28" i="145"/>
  <c r="K27" i="145"/>
  <c r="K26" i="145"/>
  <c r="G26" i="145"/>
  <c r="G27" i="145"/>
  <c r="G28" i="145"/>
  <c r="F21" i="76"/>
  <c r="C92" i="74" l="1"/>
  <c r="F89" i="74"/>
  <c r="E61" i="155"/>
  <c r="E131" i="155" s="1"/>
  <c r="G90" i="74"/>
  <c r="F90" i="74"/>
  <c r="E37" i="76"/>
  <c r="H32" i="76"/>
  <c r="E34" i="76"/>
  <c r="H34" i="76" s="1"/>
  <c r="E33" i="76"/>
  <c r="H33" i="76" s="1"/>
  <c r="H85" i="24"/>
  <c r="D87" i="24"/>
  <c r="K17" i="145"/>
  <c r="G29" i="145"/>
  <c r="G16" i="24"/>
  <c r="J17" i="145"/>
  <c r="C12" i="60"/>
  <c r="C14" i="60" s="1"/>
  <c r="D29" i="74"/>
  <c r="D26" i="74"/>
  <c r="G26" i="74" s="1"/>
  <c r="D81" i="74"/>
  <c r="G81" i="74" s="1"/>
  <c r="D79" i="74"/>
  <c r="G79" i="74" s="1"/>
  <c r="G25" i="74"/>
  <c r="H20" i="24"/>
  <c r="D25" i="24"/>
  <c r="C7" i="69"/>
  <c r="D21" i="24"/>
  <c r="G85" i="24"/>
  <c r="M29" i="145"/>
  <c r="U17" i="145"/>
  <c r="U18" i="145" s="1"/>
  <c r="D89" i="74"/>
  <c r="G89" i="74" s="1"/>
  <c r="H88" i="74"/>
  <c r="D90" i="74"/>
  <c r="H90" i="74" s="1"/>
  <c r="D99" i="141"/>
  <c r="D107" i="141"/>
  <c r="C33" i="96"/>
  <c r="D33" i="96"/>
  <c r="E33" i="96" s="1"/>
  <c r="C26" i="24"/>
  <c r="F26" i="24" s="1"/>
  <c r="C29" i="24"/>
  <c r="C36" i="96"/>
  <c r="C80" i="24"/>
  <c r="C78" i="24"/>
  <c r="D36" i="96"/>
  <c r="E36" i="96" s="1"/>
  <c r="M19" i="87"/>
  <c r="D8" i="69"/>
  <c r="G79" i="73"/>
  <c r="F79" i="73"/>
  <c r="B33" i="74"/>
  <c r="B37" i="74"/>
  <c r="B34" i="74"/>
  <c r="F32" i="74"/>
  <c r="K29" i="145"/>
  <c r="C30" i="76"/>
  <c r="G30" i="76" s="1"/>
  <c r="G29" i="76"/>
  <c r="C32" i="76"/>
  <c r="C82" i="76"/>
  <c r="G82" i="76" s="1"/>
  <c r="D42" i="145"/>
  <c r="N17" i="145"/>
  <c r="F26" i="76"/>
  <c r="C15" i="60"/>
  <c r="C18" i="60" s="1"/>
  <c r="R17" i="145"/>
  <c r="N47" i="55"/>
  <c r="N61" i="55"/>
  <c r="I48" i="55"/>
  <c r="G89" i="76"/>
  <c r="C92" i="76"/>
  <c r="G92" i="76" s="1"/>
  <c r="D29" i="145"/>
  <c r="N28" i="145"/>
  <c r="C91" i="24"/>
  <c r="H17" i="145"/>
  <c r="L17" i="145"/>
  <c r="B38" i="73"/>
  <c r="B83" i="73"/>
  <c r="F78" i="24"/>
  <c r="Q17" i="145"/>
  <c r="G26" i="73"/>
  <c r="F26" i="73"/>
  <c r="H29" i="145"/>
  <c r="F79" i="76"/>
  <c r="F82" i="74"/>
  <c r="D44" i="155"/>
  <c r="D61" i="155"/>
  <c r="D131" i="155" s="1"/>
  <c r="O18" i="145"/>
  <c r="D18" i="145" s="1"/>
  <c r="P18" i="145" s="1"/>
  <c r="B91" i="24"/>
  <c r="F91" i="24" s="1"/>
  <c r="F88" i="24"/>
  <c r="B81" i="24"/>
  <c r="B32" i="24"/>
  <c r="B30" i="24"/>
  <c r="F29" i="24"/>
  <c r="I18" i="145"/>
  <c r="I43" i="145" s="1"/>
  <c r="G92" i="73"/>
  <c r="F92" i="73"/>
  <c r="F89" i="24"/>
  <c r="C30" i="73"/>
  <c r="C32" i="73"/>
  <c r="G29" i="73"/>
  <c r="C82" i="73"/>
  <c r="F29" i="73"/>
  <c r="C24" i="52"/>
  <c r="C26" i="52" s="1"/>
  <c r="C27" i="52" s="1"/>
  <c r="C30" i="52"/>
  <c r="C9" i="52"/>
  <c r="G8" i="114"/>
  <c r="K19" i="87"/>
  <c r="G21" i="24"/>
  <c r="L29" i="145"/>
  <c r="F21" i="24"/>
  <c r="C33" i="74"/>
  <c r="C37" i="74"/>
  <c r="C34" i="74"/>
  <c r="F29" i="145"/>
  <c r="E29" i="145"/>
  <c r="G17" i="145"/>
  <c r="E32" i="74"/>
  <c r="E82" i="74"/>
  <c r="H29" i="74"/>
  <c r="E30" i="74"/>
  <c r="F25" i="24"/>
  <c r="H21" i="24"/>
  <c r="E29" i="24"/>
  <c r="D12" i="69"/>
  <c r="E80" i="24"/>
  <c r="D59" i="69" s="1"/>
  <c r="E26" i="24"/>
  <c r="E78" i="24"/>
  <c r="G81" i="73"/>
  <c r="F81" i="73"/>
  <c r="F81" i="76"/>
  <c r="B32" i="76"/>
  <c r="B30" i="76"/>
  <c r="F30" i="76" s="1"/>
  <c r="B82" i="76"/>
  <c r="F82" i="76" s="1"/>
  <c r="F29" i="76"/>
  <c r="M17" i="145"/>
  <c r="D26" i="24" l="1"/>
  <c r="D80" i="24"/>
  <c r="C12" i="69"/>
  <c r="D78" i="24"/>
  <c r="G78" i="24" s="1"/>
  <c r="H25" i="24"/>
  <c r="D29" i="24"/>
  <c r="J42" i="145"/>
  <c r="V17" i="145"/>
  <c r="J18" i="145" s="1"/>
  <c r="J43" i="145" s="1"/>
  <c r="K42" i="145"/>
  <c r="W17" i="145"/>
  <c r="K18" i="145" s="1"/>
  <c r="K43" i="145" s="1"/>
  <c r="F92" i="74"/>
  <c r="H82" i="74"/>
  <c r="G80" i="24"/>
  <c r="G25" i="24"/>
  <c r="H81" i="74"/>
  <c r="F92" i="76"/>
  <c r="H26" i="74"/>
  <c r="D9" i="52"/>
  <c r="L19" i="87"/>
  <c r="C8" i="69"/>
  <c r="D82" i="74"/>
  <c r="G82" i="74" s="1"/>
  <c r="D32" i="74"/>
  <c r="D30" i="74"/>
  <c r="G30" i="74" s="1"/>
  <c r="G29" i="74"/>
  <c r="G87" i="24"/>
  <c r="D88" i="24"/>
  <c r="H87" i="24"/>
  <c r="D89" i="24"/>
  <c r="H79" i="74"/>
  <c r="H78" i="24"/>
  <c r="D92" i="74"/>
  <c r="H92" i="74" s="1"/>
  <c r="H89" i="74"/>
  <c r="H30" i="74"/>
  <c r="F80" i="24"/>
  <c r="E38" i="76"/>
  <c r="H38" i="76" s="1"/>
  <c r="E83" i="76"/>
  <c r="H83" i="76" s="1"/>
  <c r="H37" i="76"/>
  <c r="O19" i="145"/>
  <c r="D19" i="145" s="1"/>
  <c r="M42" i="145"/>
  <c r="Y17" i="145"/>
  <c r="B34" i="76"/>
  <c r="B33" i="76"/>
  <c r="B37" i="76"/>
  <c r="F32" i="76"/>
  <c r="E81" i="24"/>
  <c r="D60" i="69" s="1"/>
  <c r="E32" i="24"/>
  <c r="E30" i="24"/>
  <c r="D17" i="69" s="1"/>
  <c r="D16" i="69"/>
  <c r="C34" i="73"/>
  <c r="G32" i="73"/>
  <c r="C37" i="73"/>
  <c r="C33" i="73"/>
  <c r="F32" i="73"/>
  <c r="V18" i="145"/>
  <c r="J19" i="145" s="1"/>
  <c r="J44" i="145" s="1"/>
  <c r="B33" i="24"/>
  <c r="B34" i="24"/>
  <c r="B36" i="24"/>
  <c r="H42" i="145"/>
  <c r="T17" i="145"/>
  <c r="N62" i="55"/>
  <c r="I49" i="55"/>
  <c r="N48" i="55"/>
  <c r="C19" i="60"/>
  <c r="C21" i="60" s="1"/>
  <c r="C25" i="60" s="1"/>
  <c r="C28" i="60"/>
  <c r="F33" i="74"/>
  <c r="C30" i="24"/>
  <c r="C81" i="24"/>
  <c r="C32" i="24"/>
  <c r="G29" i="24"/>
  <c r="D108" i="141"/>
  <c r="B5" i="133"/>
  <c r="B38" i="74"/>
  <c r="B83" i="74"/>
  <c r="F37" i="74"/>
  <c r="F81" i="24"/>
  <c r="N18" i="145"/>
  <c r="D43" i="145"/>
  <c r="C34" i="76"/>
  <c r="G34" i="76" s="1"/>
  <c r="G32" i="76"/>
  <c r="C33" i="76"/>
  <c r="G33" i="76" s="1"/>
  <c r="C37" i="76"/>
  <c r="H29" i="24"/>
  <c r="K18" i="87"/>
  <c r="G26" i="24"/>
  <c r="Q153" i="52"/>
  <c r="G42" i="145"/>
  <c r="S17" i="145"/>
  <c r="I19" i="145"/>
  <c r="I44" i="145" s="1"/>
  <c r="L42" i="145"/>
  <c r="X17" i="145"/>
  <c r="F18" i="145"/>
  <c r="F43" i="145" s="1"/>
  <c r="M18" i="87"/>
  <c r="D13" i="69"/>
  <c r="H26" i="24"/>
  <c r="G30" i="73"/>
  <c r="F30" i="73"/>
  <c r="E37" i="74"/>
  <c r="E34" i="74"/>
  <c r="E33" i="74"/>
  <c r="H32" i="74"/>
  <c r="C83" i="74"/>
  <c r="C38" i="74"/>
  <c r="G82" i="73"/>
  <c r="F82" i="73"/>
  <c r="E18" i="145"/>
  <c r="E43" i="145" s="1"/>
  <c r="F34" i="74"/>
  <c r="W18" i="145"/>
  <c r="K19" i="145" s="1"/>
  <c r="K44" i="145" s="1"/>
  <c r="H89" i="24" l="1"/>
  <c r="G89" i="24"/>
  <c r="D32" i="24"/>
  <c r="D81" i="24"/>
  <c r="C16" i="69"/>
  <c r="D30" i="24"/>
  <c r="C59" i="69"/>
  <c r="H80" i="24"/>
  <c r="G92" i="74"/>
  <c r="H88" i="24"/>
  <c r="G88" i="24"/>
  <c r="D91" i="24"/>
  <c r="D34" i="74"/>
  <c r="G34" i="74" s="1"/>
  <c r="D37" i="74"/>
  <c r="D33" i="74"/>
  <c r="G33" i="74" s="1"/>
  <c r="G32" i="74"/>
  <c r="C13" i="69"/>
  <c r="L18" i="87"/>
  <c r="G30" i="24"/>
  <c r="Q18" i="145"/>
  <c r="E19" i="145" s="1"/>
  <c r="E44" i="145" s="1"/>
  <c r="H33" i="74"/>
  <c r="R18" i="145"/>
  <c r="F19" i="145" s="1"/>
  <c r="F44" i="145" s="1"/>
  <c r="F30" i="24"/>
  <c r="G81" i="24"/>
  <c r="F34" i="76"/>
  <c r="D44" i="145"/>
  <c r="N19" i="145"/>
  <c r="L18" i="145"/>
  <c r="L43" i="145" s="1"/>
  <c r="X18" i="145"/>
  <c r="L19" i="145" s="1"/>
  <c r="L44" i="145" s="1"/>
  <c r="C83" i="76"/>
  <c r="G83" i="76" s="1"/>
  <c r="C38" i="76"/>
  <c r="G38" i="76" s="1"/>
  <c r="G37" i="76"/>
  <c r="F83" i="74"/>
  <c r="T18" i="145"/>
  <c r="H19" i="145" s="1"/>
  <c r="H44" i="145" s="1"/>
  <c r="H18" i="145"/>
  <c r="H43" i="145" s="1"/>
  <c r="B82" i="24"/>
  <c r="F92" i="154"/>
  <c r="B37" i="24"/>
  <c r="G34" i="73"/>
  <c r="F34" i="73"/>
  <c r="F38" i="74"/>
  <c r="C34" i="24"/>
  <c r="C33" i="24"/>
  <c r="C10" i="52"/>
  <c r="C14" i="52" s="1"/>
  <c r="C9" i="54"/>
  <c r="F7" i="61"/>
  <c r="F11" i="61" s="1"/>
  <c r="F15" i="61" s="1"/>
  <c r="F17" i="61" s="1"/>
  <c r="C36" i="24"/>
  <c r="G32" i="24"/>
  <c r="F13" i="113"/>
  <c r="H16" i="113" s="1"/>
  <c r="F34" i="24"/>
  <c r="G33" i="73"/>
  <c r="F33" i="73"/>
  <c r="M18" i="145"/>
  <c r="M43" i="145" s="1"/>
  <c r="Y18" i="145"/>
  <c r="M19" i="145" s="1"/>
  <c r="M44" i="145" s="1"/>
  <c r="N63" i="55"/>
  <c r="I50" i="55"/>
  <c r="N49" i="55"/>
  <c r="F33" i="24"/>
  <c r="C38" i="73"/>
  <c r="G37" i="73"/>
  <c r="C83" i="73"/>
  <c r="F37" i="73"/>
  <c r="B83" i="76"/>
  <c r="B38" i="76"/>
  <c r="F38" i="76" s="1"/>
  <c r="F37" i="76"/>
  <c r="E38" i="74"/>
  <c r="E83" i="74"/>
  <c r="G18" i="145"/>
  <c r="G43" i="145" s="1"/>
  <c r="F32" i="24"/>
  <c r="E33" i="24"/>
  <c r="D20" i="69" s="1"/>
  <c r="D19" i="69"/>
  <c r="E36" i="24"/>
  <c r="E34" i="24"/>
  <c r="F33" i="76"/>
  <c r="D38" i="74" l="1"/>
  <c r="G38" i="74" s="1"/>
  <c r="D83" i="74"/>
  <c r="G83" i="74" s="1"/>
  <c r="G37" i="74"/>
  <c r="H32" i="24"/>
  <c r="D36" i="24"/>
  <c r="D33" i="24"/>
  <c r="C20" i="69" s="1"/>
  <c r="D10" i="52"/>
  <c r="D14" i="52" s="1"/>
  <c r="E14" i="52" s="1"/>
  <c r="D9" i="54"/>
  <c r="D34" i="24"/>
  <c r="H34" i="24" s="1"/>
  <c r="C19" i="69"/>
  <c r="S18" i="145"/>
  <c r="G19" i="145" s="1"/>
  <c r="G44" i="145" s="1"/>
  <c r="G33" i="24"/>
  <c r="H30" i="24"/>
  <c r="C17" i="69"/>
  <c r="H38" i="74"/>
  <c r="H37" i="74"/>
  <c r="G34" i="24"/>
  <c r="H91" i="24"/>
  <c r="G91" i="24"/>
  <c r="H34" i="74"/>
  <c r="H83" i="74"/>
  <c r="C60" i="69"/>
  <c r="H81" i="24"/>
  <c r="C82" i="24"/>
  <c r="C37" i="24"/>
  <c r="D106" i="141"/>
  <c r="G36" i="24"/>
  <c r="N50" i="55"/>
  <c r="N64" i="55"/>
  <c r="F14" i="52"/>
  <c r="C16" i="52"/>
  <c r="G83" i="73"/>
  <c r="F83" i="73"/>
  <c r="H33" i="24"/>
  <c r="C92" i="154"/>
  <c r="E82" i="24"/>
  <c r="D61" i="69" s="1"/>
  <c r="D22" i="69"/>
  <c r="E37" i="24"/>
  <c r="F83" i="76"/>
  <c r="G38" i="73"/>
  <c r="F38" i="73"/>
  <c r="H21" i="113"/>
  <c r="H17" i="113" s="1"/>
  <c r="D15" i="113"/>
  <c r="F15" i="113" s="1"/>
  <c r="D16" i="113" s="1"/>
  <c r="C11" i="54"/>
  <c r="C14" i="54" s="1"/>
  <c r="F36" i="24"/>
  <c r="D11" i="54" l="1"/>
  <c r="D14" i="54" s="1"/>
  <c r="F82" i="24"/>
  <c r="D82" i="24"/>
  <c r="C61" i="69" s="1"/>
  <c r="D37" i="24"/>
  <c r="D92" i="154"/>
  <c r="H36" i="24"/>
  <c r="C22" i="69"/>
  <c r="H82" i="24"/>
  <c r="F18" i="54"/>
  <c r="F17" i="113"/>
  <c r="F27" i="113"/>
  <c r="F26" i="113"/>
  <c r="K20" i="87"/>
  <c r="M20" i="87"/>
  <c r="D23" i="69"/>
  <c r="F37" i="24"/>
  <c r="F14" i="54" l="1"/>
  <c r="E14" i="54"/>
  <c r="C19" i="54"/>
  <c r="C24" i="54" s="1"/>
  <c r="C25" i="54" s="1"/>
  <c r="C27" i="54" s="1"/>
  <c r="C28" i="54" s="1"/>
  <c r="G82" i="24"/>
  <c r="L20" i="87"/>
  <c r="H37" i="24"/>
  <c r="C23" i="69"/>
  <c r="G37" i="24"/>
  <c r="C3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Neeraj Saraf</author>
  </authors>
  <commentList>
    <comment ref="A18" authorId="0" shapeId="0" xr:uid="{00000000-0006-0000-1200-000001000000}">
      <text>
        <r>
          <rPr>
            <b/>
            <sz val="8"/>
            <color indexed="81"/>
            <rFont val="Tahoma"/>
            <family val="2"/>
          </rPr>
          <t>Neeraj Saraf:</t>
        </r>
        <r>
          <rPr>
            <sz val="8"/>
            <color indexed="81"/>
            <rFont val="Tahoma"/>
            <family val="2"/>
          </rPr>
          <t xml:space="preserve">
Pls share a detailed information</t>
        </r>
      </text>
    </comment>
    <comment ref="A31" authorId="0" shapeId="0" xr:uid="{00000000-0006-0000-1200-000002000000}">
      <text>
        <r>
          <rPr>
            <b/>
            <sz val="8"/>
            <color indexed="81"/>
            <rFont val="Tahoma"/>
            <family val="2"/>
          </rPr>
          <t>Neeraj Saraf:</t>
        </r>
        <r>
          <rPr>
            <sz val="8"/>
            <color indexed="81"/>
            <rFont val="Tahoma"/>
            <family val="2"/>
          </rPr>
          <t xml:space="preserve">
Select whichever is applicable</t>
        </r>
      </text>
    </comment>
    <comment ref="D31" authorId="0" shapeId="0" xr:uid="{00000000-0006-0000-1200-000003000000}">
      <text>
        <r>
          <rPr>
            <b/>
            <sz val="8"/>
            <color indexed="81"/>
            <rFont val="Tahoma"/>
            <family val="2"/>
          </rPr>
          <t>Neeraj Saraf:</t>
        </r>
        <r>
          <rPr>
            <sz val="8"/>
            <color indexed="81"/>
            <rFont val="Tahoma"/>
            <family val="2"/>
          </rPr>
          <t xml:space="preserve">
For atleast 51% shareholding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Saurabh-B Jain</author>
    <author>Satender Prasad</author>
  </authors>
  <commentList>
    <comment ref="D7" authorId="0" shapeId="0" xr:uid="{00000000-0006-0000-1300-000001000000}">
      <text>
        <r>
          <rPr>
            <b/>
            <sz val="10"/>
            <color indexed="81"/>
            <rFont val="Arial"/>
            <family val="2"/>
          </rPr>
          <t>Saurabh-B Jain:</t>
        </r>
        <r>
          <rPr>
            <sz val="10"/>
            <color indexed="81"/>
            <rFont val="Arial"/>
            <family val="2"/>
          </rPr>
          <t xml:space="preserve">
Please mention INR equivalent amount for all facilities with rate as per today's exchange rate</t>
        </r>
      </text>
    </comment>
    <comment ref="B13" authorId="1" shapeId="0" xr:uid="{00000000-0006-0000-1300-000002000000}">
      <text>
        <r>
          <rPr>
            <sz val="9"/>
            <color indexed="81"/>
            <rFont val="Tahoma"/>
            <family val="2"/>
          </rPr>
          <t xml:space="preserve">
&lt;&lt;max 180 days&gt;&gt;</t>
        </r>
      </text>
    </comment>
    <comment ref="B14" authorId="1" shapeId="0" xr:uid="{00000000-0006-0000-1300-000003000000}">
      <text>
        <r>
          <rPr>
            <b/>
            <sz val="9"/>
            <color indexed="81"/>
            <rFont val="Tahoma"/>
            <family val="2"/>
          </rPr>
          <t>&lt;&lt;max 180 days&gt;&gt;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7B2132CB-8484-47C1-BD7C-252A184824EC}">
      <text>
        <r>
          <rPr>
            <b/>
            <sz val="9"/>
            <color indexed="81"/>
            <rFont val="Tahoma"/>
            <family val="2"/>
          </rPr>
          <t xml:space="preserve">Only for Projection/Provisional
</t>
        </r>
      </text>
    </comment>
    <comment ref="B7" authorId="0" shapeId="0" xr:uid="{00000000-0006-0000-1500-000001000000}">
      <text>
        <r>
          <rPr>
            <b/>
            <sz val="9"/>
            <color indexed="81"/>
            <rFont val="Tahoma"/>
            <family val="2"/>
          </rPr>
          <t xml:space="preserve">Only for Projection/Provisional
</t>
        </r>
      </text>
    </comment>
    <comment ref="A17" authorId="1" shapeId="0" xr:uid="{00000000-0006-0000-15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5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49EF7EFC-2191-498E-BB04-3E1744FBE82E}">
      <text>
        <r>
          <rPr>
            <b/>
            <sz val="9"/>
            <color indexed="81"/>
            <rFont val="Tahoma"/>
            <family val="2"/>
          </rPr>
          <t xml:space="preserve">Only for Projection/Provisional
</t>
        </r>
      </text>
    </comment>
    <comment ref="B7" authorId="0" shapeId="0" xr:uid="{00000000-0006-0000-1800-000001000000}">
      <text>
        <r>
          <rPr>
            <b/>
            <sz val="9"/>
            <color indexed="81"/>
            <rFont val="Tahoma"/>
            <family val="2"/>
          </rPr>
          <t xml:space="preserve">Only for Projection/Provisional
</t>
        </r>
      </text>
    </comment>
    <comment ref="A17" authorId="1" shapeId="0" xr:uid="{00000000-0006-0000-18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8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4DD0F45E-62EC-401C-8FC8-AFF0D0ABEC8B}">
      <text>
        <r>
          <rPr>
            <b/>
            <sz val="9"/>
            <color indexed="81"/>
            <rFont val="Tahoma"/>
            <family val="2"/>
          </rPr>
          <t xml:space="preserve">Only for Projection/Provisional
</t>
        </r>
      </text>
    </comment>
    <comment ref="B7" authorId="0" shapeId="0" xr:uid="{00000000-0006-0000-1B00-000001000000}">
      <text>
        <r>
          <rPr>
            <b/>
            <sz val="9"/>
            <color indexed="81"/>
            <rFont val="Tahoma"/>
            <family val="2"/>
          </rPr>
          <t xml:space="preserve">Only for Projection/Provisional
</t>
        </r>
      </text>
    </comment>
    <comment ref="A17" authorId="1" shapeId="0" xr:uid="{00000000-0006-0000-1B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B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s>
  <commentList>
    <comment ref="B6" authorId="0" shapeId="0" xr:uid="{785C99C2-9B5E-4234-A7F9-8E925BC8716E}">
      <text>
        <r>
          <rPr>
            <b/>
            <sz val="9"/>
            <color indexed="81"/>
            <rFont val="Tahoma"/>
            <family val="2"/>
          </rPr>
          <t xml:space="preserve">Only for Projection/Provisional
</t>
        </r>
      </text>
    </comment>
    <comment ref="B7" authorId="0" shapeId="0" xr:uid="{00000000-0006-0000-1E00-000001000000}">
      <text>
        <r>
          <rPr>
            <b/>
            <sz val="9"/>
            <color indexed="81"/>
            <rFont val="Tahoma"/>
            <family val="2"/>
          </rPr>
          <t xml:space="preserve">Only for Projection/Provisional
</t>
        </r>
      </text>
    </comment>
    <comment ref="A17" authorId="1" shapeId="0" xr:uid="{00000000-0006-0000-1E00-000002000000}">
      <text>
        <r>
          <rPr>
            <b/>
            <sz val="8"/>
            <color indexed="81"/>
            <rFont val="Tahoma"/>
            <family val="2"/>
          </rPr>
          <t>Saurabh-B Jain:</t>
        </r>
        <r>
          <rPr>
            <sz val="8"/>
            <color indexed="81"/>
            <rFont val="Tahoma"/>
            <family val="2"/>
          </rPr>
          <t xml:space="preserve">
COGS = Opening Stock +Purchases + Other Trading Charges - Closing Stock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Preeti Parameshwaran</author>
  </authors>
  <commentList>
    <comment ref="A8" authorId="0" shapeId="0" xr:uid="{00000000-0006-0000-2700-000001000000}">
      <text>
        <r>
          <rPr>
            <sz val="8"/>
            <color indexed="81"/>
            <rFont val="Tahoma"/>
            <family val="2"/>
          </rPr>
          <t xml:space="preserve">Monthly calculation
</t>
        </r>
      </text>
    </comment>
    <comment ref="A12" authorId="0" shapeId="0" xr:uid="{00000000-0006-0000-2700-000002000000}">
      <text>
        <r>
          <rPr>
            <sz val="8"/>
            <color indexed="81"/>
            <rFont val="Tahoma"/>
            <family val="2"/>
          </rPr>
          <t xml:space="preserve">Monthly calculation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Karan Murthachalam</author>
    <author>Preeti Parameshwaran</author>
  </authors>
  <commentList>
    <comment ref="F8" authorId="0" shapeId="0" xr:uid="{00000000-0006-0000-2800-000001000000}">
      <text>
        <r>
          <rPr>
            <sz val="9"/>
            <color indexed="81"/>
            <rFont val="Tahoma"/>
            <family val="2"/>
          </rPr>
          <t xml:space="preserve">
</t>
        </r>
        <r>
          <rPr>
            <sz val="11"/>
            <color indexed="81"/>
            <rFont val="Tahoma"/>
            <family val="2"/>
          </rPr>
          <t>Restricted to actual GP% of the applicant</t>
        </r>
      </text>
    </comment>
    <comment ref="A9" authorId="1" shapeId="0" xr:uid="{00000000-0006-0000-2800-000002000000}">
      <text>
        <r>
          <rPr>
            <sz val="8"/>
            <color indexed="81"/>
            <rFont val="Tahoma"/>
            <family val="2"/>
          </rPr>
          <t xml:space="preserve">Monthly calculation
</t>
        </r>
      </text>
    </comment>
    <comment ref="A13" authorId="1" shapeId="0" xr:uid="{00000000-0006-0000-2800-000003000000}">
      <text>
        <r>
          <rPr>
            <sz val="8"/>
            <color indexed="81"/>
            <rFont val="Tahoma"/>
            <family val="2"/>
          </rPr>
          <t xml:space="preserve">Monthly calculation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Akshay Jani</author>
  </authors>
  <commentList>
    <comment ref="D5" authorId="0" shapeId="0" xr:uid="{00000000-0006-0000-3400-000001000000}">
      <text>
        <r>
          <rPr>
            <b/>
            <sz val="9"/>
            <color indexed="81"/>
            <rFont val="Tahoma"/>
            <family val="2"/>
          </rPr>
          <t>Deselect "No","NA" and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Neeraj Saraf</author>
  </authors>
  <commentList>
    <comment ref="C18" authorId="0" shapeId="0" xr:uid="{00000000-0006-0000-3500-000001000000}">
      <text>
        <r>
          <rPr>
            <b/>
            <sz val="12"/>
            <color indexed="81"/>
            <rFont val="Tahoma"/>
            <family val="2"/>
          </rPr>
          <t>100% on self occupied residential property and 95% on non self occupied residential property
In case of change in LTV - new LTVs to apply and to be changed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A99" authorId="0" shapeId="0" xr:uid="{00000000-0006-0000-3D00-000001000000}">
      <text>
        <r>
          <rPr>
            <sz val="9"/>
            <color indexed="81"/>
            <rFont val="Tahoma"/>
            <family val="2"/>
          </rPr>
          <t>Value in Lakhs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B17" authorId="0" shapeId="0" xr:uid="{72DDFF14-2DA9-42A5-B9C1-4917708AEF6E}">
      <text>
        <r>
          <rPr>
            <sz val="12"/>
            <color indexed="81"/>
            <rFont val="Tahoma"/>
            <family val="2"/>
          </rPr>
          <t>Low- due to presence of legal heir/more than one active partners/wife or other family members involved running the business
Medium- on account of legal heir with limited experience/interest in business and only one active partner/stakeholders involved in running the business
High (no legal heir/partner/shareholder involved, business is entirely dependent on one person)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I14" authorId="0" shapeId="0" xr:uid="{E45D32D0-ECAB-4251-ACAF-CCCF17CEBC67}">
      <text>
        <r>
          <rPr>
            <sz val="12"/>
            <color indexed="81"/>
            <rFont val="Tahoma"/>
            <family val="2"/>
          </rPr>
          <t>Low- due to presence of legal heir/more than one active partners/wife or other family members involved running the business
Medium- on account of legal heir with limited experience/interest in business and only one active partner/stakeholders involved in running the business
High (no legal heir/partner/shareholder involved, business is entirely dependent on one person)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jayashr</author>
  </authors>
  <commentList>
    <comment ref="B19" authorId="0" shapeId="0" xr:uid="{00000000-0006-0000-4300-000001000000}">
      <text>
        <r>
          <rPr>
            <sz val="9"/>
            <color indexed="81"/>
            <rFont val="Tahoma"/>
            <family val="2"/>
          </rPr>
          <t>Include facilities being taken over only. DO NOT add loans closed to reduce obligations.</t>
        </r>
      </text>
    </comment>
    <comment ref="B24" authorId="0" shapeId="0" xr:uid="{00000000-0006-0000-4300-000002000000}">
      <text>
        <r>
          <rPr>
            <sz val="9"/>
            <color indexed="81"/>
            <rFont val="Tahoma"/>
            <family val="2"/>
          </rPr>
          <t>Include facilities being taken over only. DO NOT add loans closed to reduce obligations.</t>
        </r>
      </text>
    </comment>
    <comment ref="C25" authorId="0" shapeId="0" xr:uid="{00000000-0006-0000-4300-000003000000}">
      <text>
        <r>
          <rPr>
            <sz val="9"/>
            <color indexed="81"/>
            <rFont val="Tahoma"/>
            <family val="2"/>
          </rPr>
          <t>Enter amounts in descending order</t>
        </r>
      </text>
    </comment>
    <comment ref="B32" authorId="0" shapeId="0" xr:uid="{00000000-0006-0000-4300-000004000000}">
      <text>
        <r>
          <rPr>
            <sz val="9"/>
            <color indexed="81"/>
            <rFont val="Tahoma"/>
            <family val="2"/>
          </rPr>
          <t>Includes all sums disbursed towards the applicant and joint applicants</t>
        </r>
      </text>
    </comment>
    <comment ref="C34" authorId="0" shapeId="0" xr:uid="{00000000-0006-0000-4300-000005000000}">
      <text>
        <r>
          <rPr>
            <sz val="9"/>
            <color indexed="81"/>
            <rFont val="Tahoma"/>
            <family val="2"/>
          </rPr>
          <t>Enter amounts in descending order</t>
        </r>
      </text>
    </comment>
    <comment ref="B41" authorId="0" shapeId="0" xr:uid="{00000000-0006-0000-4300-000006000000}">
      <text>
        <r>
          <rPr>
            <sz val="9"/>
            <color indexed="81"/>
            <rFont val="Tahoma"/>
            <family val="2"/>
          </rPr>
          <t>Includes all sums disbursed towards the applicant and joint applicants</t>
        </r>
      </text>
    </comment>
  </commentList>
</comments>
</file>

<file path=xl/sharedStrings.xml><?xml version="1.0" encoding="utf-8"?>
<sst xmlns="http://schemas.openxmlformats.org/spreadsheetml/2006/main" count="8887" uniqueCount="3708">
  <si>
    <t>Business / Industry type</t>
  </si>
  <si>
    <t>Borrower related information</t>
  </si>
  <si>
    <t>Name</t>
  </si>
  <si>
    <t xml:space="preserve">Deutsche Bank </t>
  </si>
  <si>
    <t>Sales / Turnover</t>
  </si>
  <si>
    <t>Unsecured Loans</t>
  </si>
  <si>
    <t>Total Income</t>
  </si>
  <si>
    <t>EBIDTA</t>
  </si>
  <si>
    <t>Interest on Loans</t>
  </si>
  <si>
    <t>Depreciation</t>
  </si>
  <si>
    <t>Profit before Taxation (PBT)</t>
  </si>
  <si>
    <t>Profit after Taxation (PAT)</t>
  </si>
  <si>
    <t>Other long term Debt</t>
  </si>
  <si>
    <t>Total Long term Debt</t>
  </si>
  <si>
    <t>Reserves &amp; Surplus</t>
  </si>
  <si>
    <t>Networth</t>
  </si>
  <si>
    <t>Gearing</t>
  </si>
  <si>
    <t>Leveraging</t>
  </si>
  <si>
    <t>Paid up Capital</t>
  </si>
  <si>
    <t>Long term Debt / EBIDTA</t>
  </si>
  <si>
    <t>Particulars</t>
  </si>
  <si>
    <t>% Holding</t>
  </si>
  <si>
    <t>Amortisation</t>
  </si>
  <si>
    <t>Tax</t>
  </si>
  <si>
    <t>Collateral Details</t>
  </si>
  <si>
    <t>Collateral Type</t>
  </si>
  <si>
    <t>Total</t>
  </si>
  <si>
    <t>Cost of Goods sold</t>
  </si>
  <si>
    <t>Gross Profit</t>
  </si>
  <si>
    <t>ICOR</t>
  </si>
  <si>
    <t>Gross Profit Margins (%)</t>
  </si>
  <si>
    <t>Stock Turn period (days)</t>
  </si>
  <si>
    <t>Trade Debtors period (days)</t>
  </si>
  <si>
    <t>Trade Creditors period (days)</t>
  </si>
  <si>
    <t>Net Working Capital Cycle ( days)</t>
  </si>
  <si>
    <t xml:space="preserve">Date of incorporation </t>
  </si>
  <si>
    <t>Locations operational in</t>
  </si>
  <si>
    <t>Number of offices</t>
  </si>
  <si>
    <t>Group company information</t>
  </si>
  <si>
    <t>EBIT</t>
  </si>
  <si>
    <t>PBT</t>
  </si>
  <si>
    <t>Constitution of entity</t>
  </si>
  <si>
    <t>PAN # of entity</t>
  </si>
  <si>
    <t>Website of entity</t>
  </si>
  <si>
    <t>A</t>
  </si>
  <si>
    <t>B</t>
  </si>
  <si>
    <t xml:space="preserve">Office Address </t>
  </si>
  <si>
    <t>Entity Resident of India</t>
  </si>
  <si>
    <t>CIN No</t>
  </si>
  <si>
    <t>Credit Assessment Template</t>
  </si>
  <si>
    <t xml:space="preserve">Products dealt in/primary line of business </t>
  </si>
  <si>
    <t>Borrower Background</t>
  </si>
  <si>
    <t>Gender</t>
  </si>
  <si>
    <t>Comment on Bank statements</t>
  </si>
  <si>
    <t>Borrower's Details - Description on business background, model.</t>
  </si>
  <si>
    <t>Amount (INR)</t>
  </si>
  <si>
    <t>Facility Details</t>
  </si>
  <si>
    <t>Lendable Value</t>
  </si>
  <si>
    <t>Financials in INR</t>
  </si>
  <si>
    <t>Other Current Assets</t>
  </si>
  <si>
    <t>Total Current Assets</t>
  </si>
  <si>
    <t>Other Current Liabilities</t>
  </si>
  <si>
    <t>Total Current Liabilities</t>
  </si>
  <si>
    <t>Current Ratio</t>
  </si>
  <si>
    <t>Contingent Liabilities</t>
  </si>
  <si>
    <t>Debtors (more than 180 days)</t>
  </si>
  <si>
    <t>Fixed Assets</t>
  </si>
  <si>
    <t>Networth / Total Assets</t>
  </si>
  <si>
    <t>Investments</t>
  </si>
  <si>
    <t>Profit &amp; Loss Account</t>
  </si>
  <si>
    <t>Balance Sheet</t>
  </si>
  <si>
    <t>Closing Stock</t>
  </si>
  <si>
    <t>Current Assets</t>
  </si>
  <si>
    <t>Loans &amp; Advances</t>
  </si>
  <si>
    <t>Total Assets</t>
  </si>
  <si>
    <t>Current Liabilities</t>
  </si>
  <si>
    <t>Total Liabilities</t>
  </si>
  <si>
    <t>Assets</t>
  </si>
  <si>
    <t>Liabilities</t>
  </si>
  <si>
    <t>Assessment Ratios</t>
  </si>
  <si>
    <t>PAT Margin</t>
  </si>
  <si>
    <t>Interest to Partners / Directors</t>
  </si>
  <si>
    <t>Remuneration to Partners / Directors</t>
  </si>
  <si>
    <t>Other Operating / Admn exp excl Interest, Depreciation</t>
  </si>
  <si>
    <t>Advertising &amp; Marketing</t>
  </si>
  <si>
    <t>Agriculture</t>
  </si>
  <si>
    <t>Airlines</t>
  </si>
  <si>
    <t>Armed Forces</t>
  </si>
  <si>
    <t>Automobiles</t>
  </si>
  <si>
    <t>Banking &amp; Insurance</t>
  </si>
  <si>
    <t>CA-Law-Engg-ArchFirm</t>
  </si>
  <si>
    <t>Call Center &amp; BPO</t>
  </si>
  <si>
    <t>Loan Amount</t>
  </si>
  <si>
    <t>Chemicals</t>
  </si>
  <si>
    <t>Commodities</t>
  </si>
  <si>
    <t>Construction &amp; Real Estate</t>
  </si>
  <si>
    <t>Consulting &amp; CA</t>
  </si>
  <si>
    <t>Consumer Goods</t>
  </si>
  <si>
    <t>Courier &amp; Cargo</t>
  </si>
  <si>
    <t>Doctors-Diagnostics</t>
  </si>
  <si>
    <t>Education</t>
  </si>
  <si>
    <t>Educational Institute</t>
  </si>
  <si>
    <t>Electrical-Electronic Goods</t>
  </si>
  <si>
    <t>Engg Goods</t>
  </si>
  <si>
    <t>Export &amp; Import</t>
  </si>
  <si>
    <t>Financial Services</t>
  </si>
  <si>
    <t>Food Products</t>
  </si>
  <si>
    <t>Gems-Jewellers</t>
  </si>
  <si>
    <t>General Retailing</t>
  </si>
  <si>
    <t>Government Bodies</t>
  </si>
  <si>
    <t>Hotels &amp; Restaurants</t>
  </si>
  <si>
    <t>Human Resources</t>
  </si>
  <si>
    <t>Infrastructure</t>
  </si>
  <si>
    <t>IT / Telecom</t>
  </si>
  <si>
    <t>IT Software &amp; Hardware</t>
  </si>
  <si>
    <t>Jute</t>
  </si>
  <si>
    <t>Law</t>
  </si>
  <si>
    <t>Leather</t>
  </si>
  <si>
    <t>Lifestyle Outlet</t>
  </si>
  <si>
    <t>Medical &amp; Healthcare</t>
  </si>
  <si>
    <t>Ministry &amp; State Govt.</t>
  </si>
  <si>
    <t>Others</t>
  </si>
  <si>
    <t>Pharma &amp; Biotech</t>
  </si>
  <si>
    <t>Pharmacuetical</t>
  </si>
  <si>
    <t>Police &amp; Paramilitary</t>
  </si>
  <si>
    <t>Post &amp; Telegraph</t>
  </si>
  <si>
    <t>Power &amp; Electricity</t>
  </si>
  <si>
    <t>Railways</t>
  </si>
  <si>
    <t>Recruitment Firm</t>
  </si>
  <si>
    <t>Retailing</t>
  </si>
  <si>
    <t>Shipping</t>
  </si>
  <si>
    <t>Textile</t>
  </si>
  <si>
    <t>Timber-Furniture</t>
  </si>
  <si>
    <t>Transport/ Logistics/ Cargo</t>
  </si>
  <si>
    <t>Transportation</t>
  </si>
  <si>
    <t>Travel &amp; Tourism</t>
  </si>
  <si>
    <t>Account Number</t>
  </si>
  <si>
    <t>Miscellaneous Assets</t>
  </si>
  <si>
    <t>Marital Status</t>
  </si>
  <si>
    <t>Miscellaneous Liabilities</t>
  </si>
  <si>
    <t>Type of Loan</t>
  </si>
  <si>
    <t>Registered Address</t>
  </si>
  <si>
    <t>Defence equipment</t>
  </si>
  <si>
    <t>Pornography (“red light area”)</t>
  </si>
  <si>
    <t>Betting and gambling</t>
  </si>
  <si>
    <t>Environmental Issues</t>
  </si>
  <si>
    <t>Embargoes and related restrictions</t>
  </si>
  <si>
    <t xml:space="preserve">Politicians / any applicant with Political Links </t>
  </si>
  <si>
    <t>Film Personalities TV and Film industry (actors / artists / producers /directors) / Film Distributors</t>
  </si>
  <si>
    <t>Subscriber’s Trunk Dialling ( STD)/ Public call office ( PCO ) outlets</t>
  </si>
  <si>
    <t>Finance companies / Private Money Lenders / Chit Funds / Nidhis</t>
  </si>
  <si>
    <t xml:space="preserve">Lawyers </t>
  </si>
  <si>
    <t xml:space="preserve">Journalists </t>
  </si>
  <si>
    <t>Security / Police personnel / Security Firms</t>
  </si>
  <si>
    <t xml:space="preserve">Bar / Discos and night clubs </t>
  </si>
  <si>
    <t>DSA's / Verification Agencies / Collection Agencies / Repossession Agencies</t>
  </si>
  <si>
    <t xml:space="preserve">Courier Companies </t>
  </si>
  <si>
    <t>Cybercafes</t>
  </si>
  <si>
    <t xml:space="preserve">Lottery Business / any gambling business </t>
  </si>
  <si>
    <t xml:space="preserve">Cable Operators / Video library owners / Video Parlours </t>
  </si>
  <si>
    <t xml:space="preserve">Interior designers (Non architects/ non qualified) </t>
  </si>
  <si>
    <t xml:space="preserve">Multi level / Network marketing business </t>
  </si>
  <si>
    <t>Motor training schools</t>
  </si>
  <si>
    <t xml:space="preserve">Astrologers </t>
  </si>
  <si>
    <t xml:space="preserve">Hatcheries </t>
  </si>
  <si>
    <t xml:space="preserve">Antique dealers </t>
  </si>
  <si>
    <t xml:space="preserve">Money exchangers </t>
  </si>
  <si>
    <t xml:space="preserve">Real Estate Agents/Brokers </t>
  </si>
  <si>
    <t xml:space="preserve">Houses of worship, religious organisation &amp; charities </t>
  </si>
  <si>
    <t>Trading in endangered species or ivory products</t>
  </si>
  <si>
    <t>Stock Brokers</t>
  </si>
  <si>
    <t xml:space="preserve">Small Travel agencies (non IATA approved) </t>
  </si>
  <si>
    <t xml:space="preserve">Building contractors </t>
  </si>
  <si>
    <t xml:space="preserve">Life Insurance Corporation ( LIC) agents </t>
  </si>
  <si>
    <t xml:space="preserve">Vehicle dealers, car sale/purchase/brokers, Road Transport Office (RTO) agents, vehicle garage owners </t>
  </si>
  <si>
    <t xml:space="preserve">Dairy business Ayurvedic clinics / Alternative medicines </t>
  </si>
  <si>
    <t>IT Return Filing Date</t>
  </si>
  <si>
    <t>Cash and Bank Balance</t>
  </si>
  <si>
    <t>Facility Type (OD / CC / TL / LC / BG…. )</t>
  </si>
  <si>
    <t>Unsecured loans from partners / directors</t>
  </si>
  <si>
    <t>Lacs</t>
  </si>
  <si>
    <t>Sr No</t>
  </si>
  <si>
    <t>Customer Name</t>
  </si>
  <si>
    <t>EBIDTA Margin</t>
  </si>
  <si>
    <t>Bank Overdraft</t>
  </si>
  <si>
    <t>Secured Loans (Other than Bank Overdraft)</t>
  </si>
  <si>
    <t>Do refer the below comments</t>
  </si>
  <si>
    <t>Existing limits with other Banks</t>
  </si>
  <si>
    <t>Loan Outstanding</t>
  </si>
  <si>
    <t>Borrower Name (Loan 1)</t>
  </si>
  <si>
    <t>Borrower Name (Loan 2)</t>
  </si>
  <si>
    <t>Borrower Name (Loan 3)</t>
  </si>
  <si>
    <t>Existing Loans with DB for the borrower &amp; group companies</t>
  </si>
  <si>
    <t>List of Indistries (highlighted in red are neg industries)</t>
  </si>
  <si>
    <t>Business category</t>
  </si>
  <si>
    <t>Collateral Value (lower of 2 values in case of properties)</t>
  </si>
  <si>
    <t>Yes / No</t>
  </si>
  <si>
    <t>Sales</t>
  </si>
  <si>
    <t>PBT Margins</t>
  </si>
  <si>
    <t>EBIDT Margin</t>
  </si>
  <si>
    <t>Directors / Partners / Proprietor (select from drop down)</t>
  </si>
  <si>
    <t>Sector</t>
  </si>
  <si>
    <t>Tenor</t>
  </si>
  <si>
    <t>Loans given (whether related / unrelated parties)</t>
  </si>
  <si>
    <t>Summary</t>
  </si>
  <si>
    <t>Debtors Others (net of advances received)</t>
  </si>
  <si>
    <t>Sundry Creditors  (net of advances paid)</t>
  </si>
  <si>
    <t>If there is any advance received from the debtors, it should be deducted from gross debtors and net amount to be shown here</t>
  </si>
  <si>
    <t>If there is any advance paid to the creditors, it should be deducted from gross creditors and net amount to be shown here</t>
  </si>
  <si>
    <t>Home Loan</t>
  </si>
  <si>
    <t>Gross Profit %</t>
  </si>
  <si>
    <t>S. No.</t>
  </si>
  <si>
    <t>Financier Name</t>
  </si>
  <si>
    <t>MONTHLY Instalment Amt</t>
  </si>
  <si>
    <t>Total Tenor (months)</t>
  </si>
  <si>
    <t>Balance Tenor (months)</t>
  </si>
  <si>
    <t>Is the obligation to be considered - Yes / No</t>
  </si>
  <si>
    <t>EMIs considered as Obligations ( monthly figure )</t>
  </si>
  <si>
    <t>CMIE %</t>
  </si>
  <si>
    <t>Annual income considered as per CMIE</t>
  </si>
  <si>
    <t>Rate</t>
  </si>
  <si>
    <t>EMI per lac</t>
  </si>
  <si>
    <t>DBR applicable ( pl enter as per product )</t>
  </si>
  <si>
    <t>Monthly Income considered</t>
  </si>
  <si>
    <t>Post DBR</t>
  </si>
  <si>
    <t>External Obligations</t>
  </si>
  <si>
    <t>Post obligations</t>
  </si>
  <si>
    <t>Max loan eligibility - lacs</t>
  </si>
  <si>
    <t>Final Loan Amt ( Pl check for loan cap )</t>
  </si>
  <si>
    <t>Final EMI</t>
  </si>
  <si>
    <t>Final DBR</t>
  </si>
  <si>
    <t>Latest Audited Years</t>
  </si>
  <si>
    <t>Considered</t>
  </si>
  <si>
    <t>Cash Profit</t>
  </si>
  <si>
    <t>Interest to Partners</t>
  </si>
  <si>
    <t>Calculation under Cash Profits</t>
  </si>
  <si>
    <t>Other Income Heads</t>
  </si>
  <si>
    <t>Gross Rental - Annual</t>
  </si>
  <si>
    <t>Average</t>
  </si>
  <si>
    <t>Final Loan Amt</t>
  </si>
  <si>
    <t xml:space="preserve"> ** Pls check for loan cap</t>
  </si>
  <si>
    <t xml:space="preserve"> ** If Cash Profit dip is &gt;50% , then case to be declined</t>
  </si>
  <si>
    <t xml:space="preserve">  ** where the EMI is considered as an obligation - Annual</t>
  </si>
  <si>
    <t xml:space="preserve">DBR applicable </t>
  </si>
  <si>
    <t xml:space="preserve">  ** Pls enter as per product</t>
  </si>
  <si>
    <t>Cash Profit (A)</t>
  </si>
  <si>
    <t>Income from other sources (B)</t>
  </si>
  <si>
    <t>Interest on loans added back  (C)</t>
  </si>
  <si>
    <t>Total Income to be considered (A+B+C+D)</t>
  </si>
  <si>
    <t>ELIG CALC SHEET ( Salaried )_2012 - v1</t>
  </si>
  <si>
    <t xml:space="preserve">As per documents </t>
  </si>
  <si>
    <t>As per Policy</t>
  </si>
  <si>
    <t xml:space="preserve">Figure considered as per policy </t>
  </si>
  <si>
    <t xml:space="preserve">Figure as considered by underwriter </t>
  </si>
  <si>
    <t>Monthly   figures</t>
  </si>
  <si>
    <t>Monthly Basic (p.m.)</t>
  </si>
  <si>
    <t>Guaranteed Flexible Benefit Plan  (p.m.)</t>
  </si>
  <si>
    <t>HRA / Company leased acco (p.m.)</t>
  </si>
  <si>
    <t>Regular allowance 1  (p.m.)</t>
  </si>
  <si>
    <t>Regular allowance 2  (p.m.)</t>
  </si>
  <si>
    <t>Regular allowance 3  (p.m.)</t>
  </si>
  <si>
    <t>Regular allowance 4  (p.m.)</t>
  </si>
  <si>
    <t>Regular allowance 5  (p.m.)</t>
  </si>
  <si>
    <t>Interst subsidy (p.m.)</t>
  </si>
  <si>
    <t>Pension Income ( p.m. )</t>
  </si>
  <si>
    <t>Any other monthly component</t>
  </si>
  <si>
    <t>Annual</t>
  </si>
  <si>
    <t>LTA ( annual )</t>
  </si>
  <si>
    <t>Medical ( annual )</t>
  </si>
  <si>
    <t>Other Income considered1(annual)</t>
  </si>
  <si>
    <t>Monthly Salary Income Considered</t>
  </si>
  <si>
    <t>Gross Monthly combined salary income</t>
  </si>
  <si>
    <t>Rental Income monthly (as per calc attached)</t>
  </si>
  <si>
    <t>FINAL Monthly Income considered</t>
  </si>
  <si>
    <t xml:space="preserve">Final Loan Amt </t>
  </si>
  <si>
    <t>Bonus Figure Calculation</t>
  </si>
  <si>
    <t>App 1</t>
  </si>
  <si>
    <t>App 2</t>
  </si>
  <si>
    <t>App 3</t>
  </si>
  <si>
    <t>Previous Year - Annual</t>
  </si>
  <si>
    <t>Latest Year - Annual</t>
  </si>
  <si>
    <t>Figure to consider</t>
  </si>
  <si>
    <t>50% of above</t>
  </si>
  <si>
    <t>Monthly Bonus</t>
  </si>
  <si>
    <t>Rental Income Calculation</t>
  </si>
  <si>
    <t>Monthly Rental Income</t>
  </si>
  <si>
    <t>Monthly Bonus as per below calculation</t>
  </si>
  <si>
    <t>Consolidated Salary Income (Monthly)</t>
  </si>
  <si>
    <t>Rental income considered</t>
  </si>
  <si>
    <t xml:space="preserve">** restricted to 100% of main income </t>
  </si>
  <si>
    <t>Jump in bonus number</t>
  </si>
  <si>
    <t>For Salaried applicants including other income</t>
  </si>
  <si>
    <t>Reimbursement (pm) after applying policy norm</t>
  </si>
  <si>
    <t>Period</t>
  </si>
  <si>
    <t>Designation</t>
  </si>
  <si>
    <t>Borrower Name (Loan 4)</t>
  </si>
  <si>
    <t>Remarks, if any</t>
  </si>
  <si>
    <t>** If Cash Profit dip is &gt;50% , then case to be declined</t>
  </si>
  <si>
    <t>Name of  Main Applicant</t>
  </si>
  <si>
    <t>Credit Summation</t>
  </si>
  <si>
    <t># of IW Bounces</t>
  </si>
  <si>
    <t>Sales (Rs lacs)</t>
  </si>
  <si>
    <t>Name of the Applicant</t>
  </si>
  <si>
    <t>Applicant 1</t>
  </si>
  <si>
    <t>Employer Name</t>
  </si>
  <si>
    <t>Working Since</t>
  </si>
  <si>
    <t>Total Experience</t>
  </si>
  <si>
    <t>Previous Employers (last 5 years)</t>
  </si>
  <si>
    <t>From</t>
  </si>
  <si>
    <t>To</t>
  </si>
  <si>
    <t>TBU</t>
  </si>
  <si>
    <t>Nameof Employer 1</t>
  </si>
  <si>
    <t xml:space="preserve">Nameof Employer </t>
  </si>
  <si>
    <t>Nameof Employer 2</t>
  </si>
  <si>
    <t>Nameof Employer 3</t>
  </si>
  <si>
    <t>Applicant 2</t>
  </si>
  <si>
    <t>Applicant 3</t>
  </si>
  <si>
    <t>Industry Details</t>
  </si>
  <si>
    <t>Industry Margins (%)</t>
  </si>
  <si>
    <t>Other refractories</t>
  </si>
  <si>
    <t>Drive transmission &amp; steering parts</t>
  </si>
  <si>
    <t>Industrial valves</t>
  </si>
  <si>
    <t>Other printed matter</t>
  </si>
  <si>
    <t>Other paper, paperboard products</t>
  </si>
  <si>
    <t>Fertilisers</t>
  </si>
  <si>
    <t>Compressors</t>
  </si>
  <si>
    <t>Miscellaneous articles of base metals</t>
  </si>
  <si>
    <t>Surgical equipment</t>
  </si>
  <si>
    <t>Reclaimed rubber</t>
  </si>
  <si>
    <t>Stainless steel wires</t>
  </si>
  <si>
    <t>Hot rolled coils, strips, sheets</t>
  </si>
  <si>
    <t>Starches</t>
  </si>
  <si>
    <t>Road transport services</t>
  </si>
  <si>
    <t>Printing machinery</t>
  </si>
  <si>
    <t>Prawns</t>
  </si>
  <si>
    <t>Plantation crops</t>
  </si>
  <si>
    <t>Communication services</t>
  </si>
  <si>
    <t>LPG storage &amp; distribution</t>
  </si>
  <si>
    <t>Ferro silico manganese</t>
  </si>
  <si>
    <t>Biaxially oriented polypropylene (BOPP) film</t>
  </si>
  <si>
    <t>Truck transport services</t>
  </si>
  <si>
    <t>Limestone</t>
  </si>
  <si>
    <t>Gears</t>
  </si>
  <si>
    <t>Newsprint</t>
  </si>
  <si>
    <t>Reservoirs, tanks, etc.</t>
  </si>
  <si>
    <t>Water treatment plants</t>
  </si>
  <si>
    <t>Other aluminium products</t>
  </si>
  <si>
    <t>Storage batteries</t>
  </si>
  <si>
    <t>Computer stationery</t>
  </si>
  <si>
    <t>Switching apparatus</t>
  </si>
  <si>
    <t>Database services</t>
  </si>
  <si>
    <t>Oxygen</t>
  </si>
  <si>
    <t>Polyester film</t>
  </si>
  <si>
    <t>Plastic injection moulding items</t>
  </si>
  <si>
    <t>Tourism</t>
  </si>
  <si>
    <t>Wholesale Trade</t>
  </si>
  <si>
    <t>Salt</t>
  </si>
  <si>
    <t>Refractory bricks</t>
  </si>
  <si>
    <t>Ferro alloys</t>
  </si>
  <si>
    <t>Miscellaneous chemicals</t>
  </si>
  <si>
    <t>Automobile engine parts</t>
  </si>
  <si>
    <t>Plastic packaging goods</t>
  </si>
  <si>
    <t>Medical equipment</t>
  </si>
  <si>
    <t>Pigments</t>
  </si>
  <si>
    <t>Amino/phenolic resins &amp; polyurethanes</t>
  </si>
  <si>
    <t>Computer peripherals</t>
  </si>
  <si>
    <t>Industrial paints</t>
  </si>
  <si>
    <t>Pumps</t>
  </si>
  <si>
    <t>Jelly filled cables</t>
  </si>
  <si>
    <t>Dairy products</t>
  </si>
  <si>
    <t>Plywood</t>
  </si>
  <si>
    <t>Cargo handling</t>
  </si>
  <si>
    <t>Marble</t>
  </si>
  <si>
    <t>Transformers</t>
  </si>
  <si>
    <t>Other fabricated metal products</t>
  </si>
  <si>
    <t>Printed circuit boards</t>
  </si>
  <si>
    <t>Communication &amp; broadcasting equipment</t>
  </si>
  <si>
    <t>Machine tools</t>
  </si>
  <si>
    <t>Other sheets, films &amp; foils of plastics</t>
  </si>
  <si>
    <t>Vanaspati</t>
  </si>
  <si>
    <t>Synthetic filament yarn other than sewing threads</t>
  </si>
  <si>
    <t>Industrial machinery</t>
  </si>
  <si>
    <t>Printing and service activities related to printing</t>
  </si>
  <si>
    <t>Road freight transport services</t>
  </si>
  <si>
    <t>Travel agencies and tour operators</t>
  </si>
  <si>
    <t>Shipping services</t>
  </si>
  <si>
    <t>Transport services</t>
  </si>
  <si>
    <t>Shrimps</t>
  </si>
  <si>
    <t>Steel castings</t>
  </si>
  <si>
    <t>Newspapers, journals &amp; periodicals</t>
  </si>
  <si>
    <t>Diamonds</t>
  </si>
  <si>
    <t>Dyes</t>
  </si>
  <si>
    <t>Flat products</t>
  </si>
  <si>
    <t>Jewellery</t>
  </si>
  <si>
    <t>Paper</t>
  </si>
  <si>
    <t>Pesticides</t>
  </si>
  <si>
    <t>Advertising</t>
  </si>
  <si>
    <t>Granite</t>
  </si>
  <si>
    <t>Forgings</t>
  </si>
  <si>
    <t>Automobile ancillaries</t>
  </si>
  <si>
    <t>Renting services</t>
  </si>
  <si>
    <t>Drug formulations</t>
  </si>
  <si>
    <t>Computer software</t>
  </si>
  <si>
    <t>LRD</t>
  </si>
  <si>
    <t>Amount (in Rs.)</t>
  </si>
  <si>
    <t>Approved loan amount</t>
  </si>
  <si>
    <t>ROI</t>
  </si>
  <si>
    <t>Net Rentals</t>
  </si>
  <si>
    <t xml:space="preserve">70% of Gross Rentals (A) </t>
  </si>
  <si>
    <t>90% of Net Rentals (B)</t>
  </si>
  <si>
    <t>Minium of A &amp; B</t>
  </si>
  <si>
    <t>Calculation under Industry Margins</t>
  </si>
  <si>
    <t>Multiplier</t>
  </si>
  <si>
    <t>Gross Professional Receipts</t>
  </si>
  <si>
    <t>Profession Type</t>
  </si>
  <si>
    <t>Professional Fees as per latest audited finanical year</t>
  </si>
  <si>
    <t>Maximum Loan Amount</t>
  </si>
  <si>
    <t>Tenor (months)</t>
  </si>
  <si>
    <t>EMI per lacs</t>
  </si>
  <si>
    <t>EMI on above mentioned loan amount</t>
  </si>
  <si>
    <t>EMI Calender</t>
  </si>
  <si>
    <t xml:space="preserve"># of IW  </t>
  </si>
  <si>
    <t xml:space="preserve"># of IW </t>
  </si>
  <si>
    <t># of OW</t>
  </si>
  <si>
    <t>Bankers Name</t>
  </si>
  <si>
    <t xml:space="preserve">Emi Amt </t>
  </si>
  <si>
    <t xml:space="preserve">Emi debited Bank A/c </t>
  </si>
  <si>
    <t>Yearly obligations excluding DB obligation</t>
  </si>
  <si>
    <t>Whether Cash Profit &gt; Yearly obligations</t>
  </si>
  <si>
    <t>Check Point</t>
  </si>
  <si>
    <t>Lease Rent Discounting</t>
  </si>
  <si>
    <t>Maximum EMI (C)</t>
  </si>
  <si>
    <t>EMI on above mentioned loan amount (D)</t>
  </si>
  <si>
    <t>Check Point : C &gt; D</t>
  </si>
  <si>
    <t>Gross Turnover excluding other income (A)</t>
  </si>
  <si>
    <t>Less : Cost of Goods Sold</t>
  </si>
  <si>
    <t>Less : Direct Expenses</t>
  </si>
  <si>
    <t>Gross Profit (%)</t>
  </si>
  <si>
    <t>Avg. of 2 years Gross Profit % (B)</t>
  </si>
  <si>
    <t>20% of latest year turnover (A*20%)</t>
  </si>
  <si>
    <t>Income basis Gross Profit % (A*B)</t>
  </si>
  <si>
    <t>Gross Income to be cosidered for eligibility purposes</t>
  </si>
  <si>
    <t>Minimum Gross Profit Norms Met</t>
  </si>
  <si>
    <t>DBR applicable</t>
  </si>
  <si>
    <t>Monthly income considered</t>
  </si>
  <si>
    <t>Income post DBR @ 60%</t>
  </si>
  <si>
    <t>Post Obligations</t>
  </si>
  <si>
    <t>Rate (in%)</t>
  </si>
  <si>
    <t>Max Loan Eligibility</t>
  </si>
  <si>
    <t>Final Loan Amount</t>
  </si>
  <si>
    <t>Final DBR (in %)</t>
  </si>
  <si>
    <t>Tenor (in months)</t>
  </si>
  <si>
    <t>Gross Profit Eligibility (Only for a Manufacturing Entity)</t>
  </si>
  <si>
    <t>Click on the sheets below</t>
  </si>
  <si>
    <t>Select applicable sheets below by choosing Y/N and Click on Apply</t>
  </si>
  <si>
    <t>Y</t>
  </si>
  <si>
    <t>Information</t>
  </si>
  <si>
    <t>Applicant - Company</t>
  </si>
  <si>
    <t>Facility &amp; Collateral Details</t>
  </si>
  <si>
    <t>Professional Receipts</t>
  </si>
  <si>
    <t>Industry Margins</t>
  </si>
  <si>
    <t>Salaried</t>
  </si>
  <si>
    <t>EMI Chart</t>
  </si>
  <si>
    <t>CMIE Margins</t>
  </si>
  <si>
    <t>Banking</t>
  </si>
  <si>
    <t>Cibil</t>
  </si>
  <si>
    <t>Customer Information</t>
  </si>
  <si>
    <t>2 years financials</t>
  </si>
  <si>
    <t>Eligibility calculator</t>
  </si>
  <si>
    <t>Consolidated EMI details</t>
  </si>
  <si>
    <t>CMIE Margin Reference</t>
  </si>
  <si>
    <t>CRM PD Observations</t>
  </si>
  <si>
    <t>Apportionment calculator</t>
  </si>
  <si>
    <t>VAT / Service Tax information</t>
  </si>
  <si>
    <t>Banking analysis / EMI calender</t>
  </si>
  <si>
    <t>Cibil Details</t>
  </si>
  <si>
    <t>#</t>
  </si>
  <si>
    <t>Max Outstanding</t>
  </si>
  <si>
    <t>Bank Limit</t>
  </si>
  <si>
    <t>Income as per ITR (to be captured in LOS)</t>
  </si>
  <si>
    <t xml:space="preserve">Exception Income / Non operative income - Not to be considered </t>
  </si>
  <si>
    <t>Other Operational Income</t>
  </si>
  <si>
    <t>As per policy rolled out only the following have been considered - Opening + Purchases + Consumable Stores + Rent on Land &amp; Machinery / factory + Repair of Plant &amp; Machinery + Transportation Charges + Wages &amp; Salary - Closing Stock + Electricity Charges). This excludes  Depreciation, Taxes Paid (Central and Sales Tax, Excise Expenses, Local Body Tax &amp; Octroi Charges</t>
  </si>
  <si>
    <t>Gross Monthly Rentals</t>
  </si>
  <si>
    <t>Signature</t>
  </si>
  <si>
    <t>Min income as per policy - Criteria</t>
  </si>
  <si>
    <t>LOS Id</t>
  </si>
  <si>
    <t>PAN site check</t>
  </si>
  <si>
    <t>CA membership check</t>
  </si>
  <si>
    <t>Negative Area check</t>
  </si>
  <si>
    <t>Court Cases check</t>
  </si>
  <si>
    <t>Exsiting DB relationship (Mention exposure amount)</t>
  </si>
  <si>
    <t>CPA</t>
  </si>
  <si>
    <t>CRM</t>
  </si>
  <si>
    <t>Date:</t>
  </si>
  <si>
    <t>Name:</t>
  </si>
  <si>
    <t>Signature:</t>
  </si>
  <si>
    <t>TELEPHONE VERIFICATION- OFFICE</t>
  </si>
  <si>
    <t>LOS ID</t>
  </si>
  <si>
    <r>
      <rPr>
        <b/>
        <sz val="12"/>
        <rFont val="Arial"/>
        <family val="2"/>
      </rPr>
      <t>Turnover</t>
    </r>
    <r>
      <rPr>
        <sz val="12"/>
        <rFont val="Arial"/>
        <family val="2"/>
      </rPr>
      <t xml:space="preserve">
</t>
    </r>
    <r>
      <rPr>
        <b/>
        <sz val="12"/>
        <rFont val="Arial"/>
        <family val="2"/>
      </rPr>
      <t>Gross Margins</t>
    </r>
    <r>
      <rPr>
        <sz val="12"/>
        <rFont val="Arial"/>
        <family val="2"/>
      </rPr>
      <t xml:space="preserve">
</t>
    </r>
    <r>
      <rPr>
        <b/>
        <sz val="12"/>
        <rFont val="Arial"/>
        <family val="2"/>
      </rPr>
      <t>Net Margin</t>
    </r>
  </si>
  <si>
    <r>
      <rPr>
        <b/>
        <sz val="12"/>
        <rFont val="Arial"/>
        <family val="2"/>
      </rPr>
      <t>Comments on Ratios</t>
    </r>
    <r>
      <rPr>
        <sz val="12"/>
        <rFont val="Arial"/>
        <family val="2"/>
      </rPr>
      <t xml:space="preserve">
</t>
    </r>
  </si>
  <si>
    <t>CMIE Discreption</t>
  </si>
  <si>
    <t>LOS Dedupe Check</t>
  </si>
  <si>
    <t>Control Checklist</t>
  </si>
  <si>
    <t>Remarks</t>
  </si>
  <si>
    <t>Date</t>
  </si>
  <si>
    <t>Note: For multiple applicants with single contact number, check for all to be done with Applicant only</t>
  </si>
  <si>
    <t xml:space="preserve">Name of Person calling  </t>
  </si>
  <si>
    <t>_____________/_______________/__________</t>
  </si>
  <si>
    <t xml:space="preserve">Contact No </t>
  </si>
  <si>
    <t xml:space="preserve">Relationship with Applicant </t>
  </si>
  <si>
    <t xml:space="preserve">Date &amp; Time of call </t>
  </si>
  <si>
    <t>FINAL STATUS OF THE CALL</t>
  </si>
  <si>
    <t xml:space="preserve">Contacted   Disconnected  Does Not exist   </t>
  </si>
  <si>
    <t xml:space="preserve">Remarks (If any) </t>
  </si>
  <si>
    <t>Name of Applicant / s contacted for</t>
  </si>
  <si>
    <t>TELEPHONE VERIFICATION- RESIDENCE</t>
  </si>
  <si>
    <t>Company</t>
  </si>
  <si>
    <t>Control_Checklist</t>
  </si>
  <si>
    <t>Validation checks</t>
  </si>
  <si>
    <t>Observations</t>
  </si>
  <si>
    <t>CPA / UND observations</t>
  </si>
  <si>
    <t>TeleVRs</t>
  </si>
  <si>
    <t>Tele VRs of the applicants</t>
  </si>
  <si>
    <t>Debtors
Stock</t>
  </si>
  <si>
    <t>Capital
Loans</t>
  </si>
  <si>
    <t xml:space="preserve">Creditors
</t>
  </si>
  <si>
    <t>Ideally should be greater than 1</t>
  </si>
  <si>
    <t>Ideally should be lesser than 3</t>
  </si>
  <si>
    <t>Ideally should be lesser than 4</t>
  </si>
  <si>
    <t>Any other comment on financials</t>
  </si>
  <si>
    <t>S.No.</t>
  </si>
  <si>
    <t>I</t>
  </si>
  <si>
    <t>Pre-Disb Check</t>
  </si>
  <si>
    <t xml:space="preserve">KYC Documents matches with the details provided in APP form. </t>
  </si>
  <si>
    <t>OSV is done on KYC + Financial doxs &amp; self attested by applicant.</t>
  </si>
  <si>
    <t>RCU done (relavant stamping done and signed by RCU officer)</t>
  </si>
  <si>
    <t>All Verifications reports available for all applicants</t>
  </si>
  <si>
    <t>Latest format of Sanction letter is used and is accepted and signed by all applicants with date mentioned</t>
  </si>
  <si>
    <t>Legal Agreements are duly Franked, completely filled up and signed by Applicant/s</t>
  </si>
  <si>
    <t>Company Seal available in respective places of the loan agreements</t>
  </si>
  <si>
    <t>Yes / No / NA</t>
  </si>
  <si>
    <t>Application form mentions resident status</t>
  </si>
  <si>
    <t>Power of Attorney Available and as per DB format (in NRI Cases )</t>
  </si>
  <si>
    <t>Vernacular Declaration  ( If Signatures are in Regional Language)</t>
  </si>
  <si>
    <t>CAM is available and signed by CRM (for CPA)</t>
  </si>
  <si>
    <t xml:space="preserve">Loan Amount, Tenor and ROI mentioned in Sanction letter matched with CAM (for CPA)
</t>
  </si>
  <si>
    <t>Countersign available for any material / manual alteration found on 
CAM, Sanction Letter,Legal Kits, PBC-KYC form &amp; Application form.</t>
  </si>
  <si>
    <t>POA to be checked as per DB format for NRI Cases</t>
  </si>
  <si>
    <t xml:space="preserve">LTV Sheet Prepared by Sales </t>
  </si>
  <si>
    <t>DAM signed by CRM. (for CPA)</t>
  </si>
  <si>
    <t>All Credit related documents Signed by 2 authorised signatories to be checked. ( for CPA)</t>
  </si>
  <si>
    <t>Valid Rate Approval</t>
  </si>
  <si>
    <t xml:space="preserve">II  </t>
  </si>
  <si>
    <t>Technical Check</t>
  </si>
  <si>
    <t>Technical Report duly signed by the vendor and photos atttached ( Two Technical reports required for cases loan amount &gt; 50 lakhs and LAP)</t>
  </si>
  <si>
    <t>Property address in Technical Report matches with the Legal Reports &amp; loan agreement</t>
  </si>
  <si>
    <t>If 2 Technicals are in file both Should Match in terms of Property Details</t>
  </si>
  <si>
    <t>Applicant's Name in Technical Should Tally with App Form.</t>
  </si>
  <si>
    <t>Approved Plans / CC / OC to be Captured in Technical</t>
  </si>
  <si>
    <t>Resedual Age of the Property to be Checked. (10 Yrs should be Remaining at the time of Loan Maturity)</t>
  </si>
  <si>
    <t>LTV Sheet to be Prepared Accordingly. If LTV above Norms Deviation to be Captured</t>
  </si>
  <si>
    <t>Value arived by Valuer to be checked (Area x Rate considered)</t>
  </si>
  <si>
    <t>Mortgage Lending Value to be Ckecked as per norms</t>
  </si>
  <si>
    <t>All relavent fields to be filled by Valuers</t>
  </si>
  <si>
    <t>2 Internal Photographs,2 External Photographs and Property MAP to be checked</t>
  </si>
  <si>
    <t>Validity of Valuations to be checked</t>
  </si>
  <si>
    <t>III</t>
  </si>
  <si>
    <t>Legal Report check</t>
  </si>
  <si>
    <t>Confirmation form Sales regarding Sales Clearance</t>
  </si>
  <si>
    <t>Legal Report available and duly stamped &amp; signed by the lawyer</t>
  </si>
  <si>
    <t xml:space="preserve">Name of Applicant on Legal report to be Tallying with Technical and Copy of Draft / Registered Agreement Provided </t>
  </si>
  <si>
    <t>Address of Property as per Legal to Match with Agreement provided &amp; Technical</t>
  </si>
  <si>
    <t>All the Co-Owner as per Legal to be Co-Applicant to the loan to be checked</t>
  </si>
  <si>
    <t>DOC Cards (either collected / pending) to be Prepared accordingly</t>
  </si>
  <si>
    <t>Copies of All documents to be available</t>
  </si>
  <si>
    <t>IV</t>
  </si>
  <si>
    <t>Mode of repayment check</t>
  </si>
  <si>
    <t>a)</t>
  </si>
  <si>
    <t>ECS Cases :</t>
  </si>
  <si>
    <t>Form E-5 is completely filled in triplicate and duly signed by account holder(s)/co. seal(if appl)</t>
  </si>
  <si>
    <t>Bank branch address, MICR#, A/C# , A/c name and A/c type mentioned on Cheque matches with form E-5</t>
  </si>
  <si>
    <t>8 SPDCs (7 EMI+1 loan amt)  provided completely filled and duly signed by account holder(s)</t>
  </si>
  <si>
    <t>ECS mandate verification form is duly filled &amp; signed by account holder(s) &amp; 1 Cancelled Cheque is enclosed</t>
  </si>
  <si>
    <t>Latest Bank statements from the repayment account available in file</t>
  </si>
  <si>
    <t>b)</t>
  </si>
  <si>
    <t>SI Cases :</t>
  </si>
  <si>
    <t>SI Mandate completely filled and signed by account holder(s)</t>
  </si>
  <si>
    <t>6 SPDCs (5 EMI+1 loan amt)  completely filled and duly signed by  account holder(s)</t>
  </si>
  <si>
    <t>c)</t>
  </si>
  <si>
    <t>PDC Cases:</t>
  </si>
  <si>
    <t>36 PDCs (EMI)+1 SPDC (loan amt) completely filled and duly signed by  account holder(s)</t>
  </si>
  <si>
    <t>V</t>
  </si>
  <si>
    <t>Approvals Check</t>
  </si>
  <si>
    <t>Approval available for OTC</t>
  </si>
  <si>
    <t>Approval enclosed for no insurance</t>
  </si>
  <si>
    <t>Rate Approval available in the file</t>
  </si>
  <si>
    <t>Cersai Report to be checked</t>
  </si>
  <si>
    <t>VI</t>
  </si>
  <si>
    <t>Other Checks</t>
  </si>
  <si>
    <t>OCR required to be checked (For Home Loan Cases)</t>
  </si>
  <si>
    <t>Bank Reflection for OCR to be Checked</t>
  </si>
  <si>
    <t>All PSD conditions to be checked</t>
  </si>
  <si>
    <t>For BT Case BT Undertaking &amp; Draft &amp; General undertaking to be checked</t>
  </si>
  <si>
    <t>For BT Case Documents Required to be checked with List of Docs Held with Financer</t>
  </si>
  <si>
    <t>For OCR Refinance Cases Refinance Amount to be Paid within six months to be checked with Bank Reglections</t>
  </si>
  <si>
    <t>Signature :________________________________</t>
  </si>
  <si>
    <t>Disbursement_Checklist</t>
  </si>
  <si>
    <t>Disbursement Checklist</t>
  </si>
  <si>
    <t>NA</t>
  </si>
  <si>
    <r>
      <rPr>
        <b/>
        <sz val="12"/>
        <rFont val="Arial"/>
        <family val="2"/>
      </rPr>
      <t># of Inward Returns</t>
    </r>
    <r>
      <rPr>
        <sz val="12"/>
        <rFont val="Arial"/>
        <family val="2"/>
      </rPr>
      <t xml:space="preserve">
</t>
    </r>
    <r>
      <rPr>
        <b/>
        <sz val="12"/>
        <rFont val="Arial"/>
        <family val="2"/>
      </rPr>
      <t>BTO</t>
    </r>
    <r>
      <rPr>
        <sz val="12"/>
        <rFont val="Arial"/>
        <family val="2"/>
      </rPr>
      <t xml:space="preserve">
</t>
    </r>
    <r>
      <rPr>
        <b/>
        <sz val="12"/>
        <rFont val="Arial"/>
        <family val="2"/>
      </rPr>
      <t>Conduct</t>
    </r>
    <r>
      <rPr>
        <sz val="12"/>
        <rFont val="Arial"/>
        <family val="2"/>
      </rPr>
      <t xml:space="preserve">
</t>
    </r>
    <r>
      <rPr>
        <b/>
        <sz val="12"/>
        <rFont val="Arial"/>
        <family val="2"/>
      </rPr>
      <t>Any other remark</t>
    </r>
  </si>
  <si>
    <t>Balance Sheet Tally</t>
  </si>
  <si>
    <t>Month</t>
  </si>
  <si>
    <t>Date-Credit</t>
  </si>
  <si>
    <t>Salary (Rs)</t>
  </si>
  <si>
    <t>PERSONAL DISCUSSION SHEET-SALARIED CASES</t>
  </si>
  <si>
    <t>Photograph mandatory only if conducted by External Personal Discussion Agency</t>
  </si>
  <si>
    <t>MEETING DETAILS:</t>
  </si>
  <si>
    <t>Date of the Meeting:</t>
  </si>
  <si>
    <t>Place of the Meeting(Office/ Cst Office):</t>
  </si>
  <si>
    <t>Type of Discussion (Personal/Telephonic):</t>
  </si>
  <si>
    <t>Person Met:</t>
  </si>
  <si>
    <t>Personal Discussion Counducted by:</t>
  </si>
  <si>
    <t>APPLICANT DETAILS:</t>
  </si>
  <si>
    <t>Applicant</t>
  </si>
  <si>
    <t>Co-Applicant I</t>
  </si>
  <si>
    <t>Co-Applicant II</t>
  </si>
  <si>
    <t>Co-Applicant III</t>
  </si>
  <si>
    <t>Age of the Applicant</t>
  </si>
  <si>
    <t>Relationship with Applicant</t>
  </si>
  <si>
    <t>Owner of the proposed property (Yes/No)</t>
  </si>
  <si>
    <t>Qualification</t>
  </si>
  <si>
    <r>
      <t>Investment Details</t>
    </r>
    <r>
      <rPr>
        <i/>
        <sz val="8"/>
        <rFont val="Arial"/>
        <family val="2"/>
      </rPr>
      <t>( LIC/ Shares/Property/Cars/ Fixed Deposit/Mutual Funds)</t>
    </r>
  </si>
  <si>
    <t>Family Background</t>
  </si>
  <si>
    <t>Other Details</t>
  </si>
  <si>
    <t>LOAN DETAILS:</t>
  </si>
  <si>
    <t>Loan Type (Home Loan/LAH)</t>
  </si>
  <si>
    <t>Loan Purpose (Home Loan/Top-Up/Home Improvement/BT)</t>
  </si>
  <si>
    <t>Loan Category(Salaried)</t>
  </si>
  <si>
    <t>Loan Amount Applied</t>
  </si>
  <si>
    <t>Comfortable EMI for the loan</t>
  </si>
  <si>
    <t xml:space="preserve">Rate of Interest communicated to the customer by DSE </t>
  </si>
  <si>
    <t>Funding reqd. for SPGT (Yes/No)</t>
  </si>
  <si>
    <t>EMPLOYMENT DETAILS</t>
  </si>
  <si>
    <t>CURRENT EMPLOYMENT DETAILS OF THE APPLICANT</t>
  </si>
  <si>
    <t>Name of the company where employee is currently working</t>
  </si>
  <si>
    <t>Designation/Profile/Department &amp; No of Reportees</t>
  </si>
  <si>
    <t>Associated with the company sine how long</t>
  </si>
  <si>
    <t>Gross monthly salary of the applicant. Aplso provide the details of Basic and HRA component</t>
  </si>
  <si>
    <t xml:space="preserve">Gross:-, Basic:-, HRA:-, </t>
  </si>
  <si>
    <t>Net monthly Salary of the applicant as reflected in last three months bank statements.Also provide the details of all the major deductions from the salary slips.Please confirm whether salary slip has deduction of provident fund &amp; professional tax and they</t>
  </si>
  <si>
    <t>Mar:- , Feb:- , Jan:-</t>
  </si>
  <si>
    <r>
      <t>If Form-16 available…than whether the amount in the Form-16 is in parity with the monthly salary slip.</t>
    </r>
    <r>
      <rPr>
        <u/>
        <sz val="10"/>
        <rFont val="Arial"/>
        <family val="2"/>
      </rPr>
      <t>For Example</t>
    </r>
    <r>
      <rPr>
        <sz val="10"/>
        <rFont val="Arial"/>
        <family val="2"/>
      </rPr>
      <t xml:space="preserve">: Monthly salary slip shows gross income of Rs 1 Lacs and Fomr-16 of only Rs 6 Lacs. There is inconsistencies as ideally Form-16 should be Rs </t>
    </r>
  </si>
  <si>
    <t>Yes, Provided.</t>
  </si>
  <si>
    <t>Try and get the information about the yearly bonus last year</t>
  </si>
  <si>
    <t>In case of Pvt Ltd company please provide following details:</t>
  </si>
  <si>
    <t>(a) Business profile</t>
  </si>
  <si>
    <t>(b) No of yrs of set-up</t>
  </si>
  <si>
    <t>Other details</t>
  </si>
  <si>
    <t>DETAILS OF PREVIOUS EXPERIENCE</t>
  </si>
  <si>
    <t>Total No of previous experience</t>
  </si>
  <si>
    <t>Details of previous employers and designation</t>
  </si>
  <si>
    <t>If Applicant working for less than one year in the current company ensure we have following in the file:</t>
  </si>
  <si>
    <t>(a) Form-16 of previous employer.</t>
  </si>
  <si>
    <t>(b) Appointment letter for current employment</t>
  </si>
  <si>
    <t>DETAILS OF DB RELATIONSHIP</t>
  </si>
  <si>
    <t>II</t>
  </si>
  <si>
    <t>Type of Relationship( Loan, Card, Bank Account)</t>
  </si>
  <si>
    <t>MOB (Relationship since)</t>
  </si>
  <si>
    <t>Amount (Card Limit, Home Loan Amt, CC Limit)</t>
  </si>
  <si>
    <t>Performance</t>
  </si>
  <si>
    <t>Other</t>
  </si>
  <si>
    <t>OTHER IMPORTANT INFORMATION</t>
  </si>
  <si>
    <t>RECOMMENDED BASIS</t>
  </si>
  <si>
    <t>APPROVAL</t>
  </si>
  <si>
    <t>Decision (Recommended/Reject/Refer):</t>
  </si>
  <si>
    <t>Decision (Approved/Reject):</t>
  </si>
  <si>
    <t>PD_Salaried</t>
  </si>
  <si>
    <t>Google Check</t>
  </si>
  <si>
    <t>Debit
Count</t>
  </si>
  <si>
    <t>Debit 
Count</t>
  </si>
  <si>
    <t># of Debits</t>
  </si>
  <si>
    <t>Person Contacted</t>
  </si>
  <si>
    <t>Office Address as confirmed during call</t>
  </si>
  <si>
    <t>Residence Address as confirmed during call</t>
  </si>
  <si>
    <t>Nature of Business</t>
  </si>
  <si>
    <t>1</t>
  </si>
  <si>
    <t>Financials1</t>
  </si>
  <si>
    <t>Financials2</t>
  </si>
  <si>
    <t>Financials_Consolidated</t>
  </si>
  <si>
    <t>Document Checklist</t>
  </si>
  <si>
    <r>
      <t xml:space="preserve">Press  
</t>
    </r>
    <r>
      <rPr>
        <b/>
        <sz val="12"/>
        <color rgb="FFFF0000"/>
        <rFont val="Calibri"/>
        <family val="2"/>
        <scheme val="minor"/>
      </rPr>
      <t>Ctrl + J</t>
    </r>
    <r>
      <rPr>
        <b/>
        <sz val="12"/>
        <color theme="0"/>
        <rFont val="Calibri"/>
        <family val="2"/>
        <scheme val="minor"/>
      </rPr>
      <t xml:space="preserve"> 
to run Macro</t>
    </r>
  </si>
  <si>
    <t>Control J to be used for running macro</t>
  </si>
  <si>
    <t>75% of gross rental</t>
  </si>
  <si>
    <t>Credit
 Summation</t>
  </si>
  <si>
    <t>Credit  
Summation</t>
  </si>
  <si>
    <t>Credit 
Summation</t>
  </si>
  <si>
    <t>Turnover</t>
  </si>
  <si>
    <t>Financials3</t>
  </si>
  <si>
    <t>Annual Income</t>
  </si>
  <si>
    <t>Weighted Average CMIE</t>
  </si>
  <si>
    <t>Loans given (related parties)</t>
  </si>
  <si>
    <t>This excludes debtors &gt; 180 days</t>
  </si>
  <si>
    <t>This will be net of debtors &gt; 180 days</t>
  </si>
  <si>
    <t>Bank Name</t>
  </si>
  <si>
    <t xml:space="preserve"> </t>
  </si>
  <si>
    <t>Name of the applicant</t>
  </si>
  <si>
    <t>Whether client HRP / Non HRP</t>
  </si>
  <si>
    <t>Ratio Analysis Done</t>
  </si>
  <si>
    <t>Bank Statement analysis done</t>
  </si>
  <si>
    <t>LTV sheet prepared</t>
  </si>
  <si>
    <t>ROC (MCA) site check - including signatory details</t>
  </si>
  <si>
    <t>Individual Cibil check for additional matches</t>
  </si>
  <si>
    <t>Legal Compliance Certificate</t>
  </si>
  <si>
    <t>I / We certify that all the applicable due diligence on applicable laws, regulations, credit norms to the transaction detailed below have been complied with by me / us, to the best of my / our knowledge.</t>
  </si>
  <si>
    <t>Name of the customer</t>
  </si>
  <si>
    <t>Details of transaction</t>
  </si>
  <si>
    <t>Facility</t>
  </si>
  <si>
    <t>Balance Transfer, if yes, from which Bank</t>
  </si>
  <si>
    <t>Property</t>
  </si>
  <si>
    <t>Date of transaction</t>
  </si>
  <si>
    <t>Transaction amount</t>
  </si>
  <si>
    <t>Reason for transaction</t>
  </si>
  <si>
    <t>Name and Signature of Approving Authorities</t>
  </si>
  <si>
    <t>CRM 1</t>
  </si>
  <si>
    <t>CRM 2</t>
  </si>
  <si>
    <t xml:space="preserve">Dual name indemnity </t>
  </si>
  <si>
    <t>Indemnity for Dual DOB</t>
  </si>
  <si>
    <t>** Pls change the formula whereever required - for small cities</t>
  </si>
  <si>
    <t>Min income norm met / not met **</t>
  </si>
  <si>
    <t>BTO Achievement</t>
  </si>
  <si>
    <t>BTO Annualised</t>
  </si>
  <si>
    <t>Gross Annual Rental Income (D)</t>
  </si>
  <si>
    <t xml:space="preserve">  * Deviation in case this is more than 75%</t>
  </si>
  <si>
    <t>Annual Rental Income (D)*</t>
  </si>
  <si>
    <t>Depreciation (as per policy)</t>
  </si>
  <si>
    <t>Net Salary (median of last 3 months)</t>
  </si>
  <si>
    <t>Sum of existing obligations and proposed EMI</t>
  </si>
  <si>
    <t>Condition to be complied</t>
  </si>
  <si>
    <t>Whether 90% of Net Salary &gt;= sum of all obligations</t>
  </si>
  <si>
    <t>Name of the Borrower :</t>
  </si>
  <si>
    <t>Name of the person met at the office and his designation:</t>
  </si>
  <si>
    <t>Office Address:</t>
  </si>
  <si>
    <t>Godown Address :</t>
  </si>
  <si>
    <t>Date &amp; Time of Visit:</t>
  </si>
  <si>
    <t>DB representative making the Visit:</t>
  </si>
  <si>
    <t>BUSINESS BACKGROUND</t>
  </si>
  <si>
    <t>Constitution of Business (Self employed / prop/ part / pvt ltd)</t>
  </si>
  <si>
    <t>Number of years in business</t>
  </si>
  <si>
    <t>Number of years in the same location</t>
  </si>
  <si>
    <t>Any plans to move location of office in the next 1 year</t>
  </si>
  <si>
    <t>Does the owner frequently visits the office premises</t>
  </si>
  <si>
    <t>Business Scale ( Retailer / wholesaler / producer/ Services )</t>
  </si>
  <si>
    <t>Products Dealt in/ Primary line of business / Major Product Lines</t>
  </si>
  <si>
    <t>Target Market</t>
  </si>
  <si>
    <t>Peak Season / Lean Season / Average Season</t>
  </si>
  <si>
    <t>LOAN DETAILS</t>
  </si>
  <si>
    <t>Amount of facility applied</t>
  </si>
  <si>
    <t>Purpose of facility applied for / End use</t>
  </si>
  <si>
    <t>Group Company Information</t>
  </si>
  <si>
    <t>Firm / Company Name</t>
  </si>
  <si>
    <t xml:space="preserve">Constitution </t>
  </si>
  <si>
    <t>Any inter company transactions</t>
  </si>
  <si>
    <t>Explanation for loans and advances to group companies or related parties</t>
  </si>
  <si>
    <t>Supplier Information</t>
  </si>
  <si>
    <t>Name of the key suppliers</t>
  </si>
  <si>
    <t xml:space="preserve">% contribution </t>
  </si>
  <si>
    <t>Normal credit terms</t>
  </si>
  <si>
    <t>Current creditor cycle period</t>
  </si>
  <si>
    <t>Buyer Information</t>
  </si>
  <si>
    <t>Name of the key buyers</t>
  </si>
  <si>
    <t>Current debtor cycle period</t>
  </si>
  <si>
    <t>Explanation for debtors &gt; 180 days</t>
  </si>
  <si>
    <t xml:space="preserve">Interior / exterior appearance of the office </t>
  </si>
  <si>
    <t>Commercial / Residential / Chawl/ Factory / Warehouse / Retail Shop / Office complex / Others ______________________________</t>
  </si>
  <si>
    <t>Office name display</t>
  </si>
  <si>
    <t>Total area of the office</t>
  </si>
  <si>
    <t xml:space="preserve">Office Building location  </t>
  </si>
  <si>
    <t>Industrial / Commercial / Residential Area / Others ___________________________________________</t>
  </si>
  <si>
    <t>Office ownership</t>
  </si>
  <si>
    <t>Owned / Rented / Others __________________________________________________</t>
  </si>
  <si>
    <t>Office Interior quality / Furnishings</t>
  </si>
  <si>
    <t>Very good / Good / Average / Poor</t>
  </si>
  <si>
    <t xml:space="preserve">Is the office sharing space with another office </t>
  </si>
  <si>
    <t>Is it a residence cum office</t>
  </si>
  <si>
    <t>Equipment / Assets</t>
  </si>
  <si>
    <t>Assets / Equipment visible in the office / factory</t>
  </si>
  <si>
    <t>Conditions of the equipment / machinery</t>
  </si>
  <si>
    <t>Any idle equipment / machinery noted, etc.</t>
  </si>
  <si>
    <t>Equipment / machinery is in line with the nature of business</t>
  </si>
  <si>
    <t>Other Information</t>
  </si>
  <si>
    <t>Number of employees as per applicant</t>
  </si>
  <si>
    <t xml:space="preserve">Permanent                                         Contractual </t>
  </si>
  <si>
    <t>Number of employees observed</t>
  </si>
  <si>
    <t>Whether the applicant/ industry is falling under any Socio Economic or Environmental Risks</t>
  </si>
  <si>
    <t>Main Banker/s and banking with them since when</t>
  </si>
  <si>
    <t xml:space="preserve">Amount of working capital limit sanctioned </t>
  </si>
  <si>
    <t>Collateral provided to the main banker</t>
  </si>
  <si>
    <t>INTERVIEWER'S COMMENTS</t>
  </si>
  <si>
    <t>Overall comments</t>
  </si>
  <si>
    <t xml:space="preserve">                     Recommended                                   Not Recommended </t>
  </si>
  <si>
    <t xml:space="preserve">   Signature :</t>
  </si>
  <si>
    <t>Constitution</t>
  </si>
  <si>
    <t>Names of Directors / Partners</t>
  </si>
  <si>
    <t>Business activity</t>
  </si>
  <si>
    <t>** Main</t>
  </si>
  <si>
    <t>Allied</t>
  </si>
  <si>
    <t>Names of other financing Banks</t>
  </si>
  <si>
    <t>Net worth of Directors / Partners</t>
  </si>
  <si>
    <t>Group affiliation, if any</t>
  </si>
  <si>
    <t>Date on associate concerns, if banking with the same bank</t>
  </si>
  <si>
    <t>Changes in shareholding and management from the previous report, if any</t>
  </si>
  <si>
    <t>Internal Credit rating with narration</t>
  </si>
  <si>
    <t>External Credit rating, if any</t>
  </si>
  <si>
    <t>Latest available Annual Report of the borrower</t>
  </si>
  <si>
    <t>Extent of control over cash flow</t>
  </si>
  <si>
    <t>Defaults in term commitments / lease rentals / others</t>
  </si>
  <si>
    <t>Any other special information like court cases, statutory dues, major defaults, adverse internal / external audit observations</t>
  </si>
  <si>
    <t>Long positions</t>
  </si>
  <si>
    <t>Short positions</t>
  </si>
  <si>
    <t>Net short- term exposure (a-b)</t>
  </si>
  <si>
    <t>Long term exposures (one year and beyond)</t>
  </si>
  <si>
    <t>Net long-term exposure (a-b)</t>
  </si>
  <si>
    <t>Overall Net Position (I -II) for each currency
(Please give Overall Net Position in this format for each currency)</t>
  </si>
  <si>
    <t>Overall Net Position across all currencies</t>
  </si>
  <si>
    <t>Conduct of funded facilities (based on cash management / tendency to overdraw)</t>
  </si>
  <si>
    <t>Conduct of contingent facilities (based on payment history)</t>
  </si>
  <si>
    <t>Compliance with financial covenants</t>
  </si>
  <si>
    <t>Company's internal systems &amp; procedures</t>
  </si>
  <si>
    <t>Quality of management</t>
  </si>
  <si>
    <t>Overall Assessment</t>
  </si>
  <si>
    <t>Current Bankers (only in case where customer has limits with other banks)</t>
  </si>
  <si>
    <t>If the account is sub standard then report this field as NPA else blank</t>
  </si>
  <si>
    <t>Ops will be communicated by sales / RM in case this is happening else this will be reported as blank</t>
  </si>
  <si>
    <t>If the account is sub standard then report this field as 'Below Par' else 'Good'</t>
  </si>
  <si>
    <t>Prop 1</t>
  </si>
  <si>
    <t>Prop 2</t>
  </si>
  <si>
    <t>Prop 3</t>
  </si>
  <si>
    <t>Prop 4</t>
  </si>
  <si>
    <t>Prop 5</t>
  </si>
  <si>
    <t>Name of the customer :</t>
  </si>
  <si>
    <t>Factor</t>
  </si>
  <si>
    <t>Description</t>
  </si>
  <si>
    <t>Very Good (A)</t>
  </si>
  <si>
    <t>Good (B)</t>
  </si>
  <si>
    <t>Average ( C)</t>
  </si>
  <si>
    <t>Poor (D)</t>
  </si>
  <si>
    <t>Points (A,B,C,D)</t>
  </si>
  <si>
    <t>Qualitative criteria</t>
  </si>
  <si>
    <t>Business outlook</t>
  </si>
  <si>
    <t>Industry prospects - medium term</t>
  </si>
  <si>
    <t>Applicant's industry is growing and has zero volatility</t>
  </si>
  <si>
    <t>Applicant's industry is growing and has low volatility</t>
  </si>
  <si>
    <t>Applicant's industry is Stable/ Growing but is highly volatile</t>
  </si>
  <si>
    <t>Applicant's industry is not growing / declining</t>
  </si>
  <si>
    <t>4,3,2, 0</t>
  </si>
  <si>
    <t>Business Vintage</t>
  </si>
  <si>
    <t>No of years of existence of entity</t>
  </si>
  <si>
    <t>&gt; 10 years</t>
  </si>
  <si>
    <t>5 - 10  years</t>
  </si>
  <si>
    <t>3 - 5 years</t>
  </si>
  <si>
    <t>&lt; = 3 years</t>
  </si>
  <si>
    <t>Years of relevant mgmt experience</t>
  </si>
  <si>
    <t>Aggregate experience of the executive shareholder/ managing director</t>
  </si>
  <si>
    <t>&gt;15  years of management experience of key director</t>
  </si>
  <si>
    <t>&gt;10  years of management experience of key director</t>
  </si>
  <si>
    <t>5 - 10 years of management experience of key director</t>
  </si>
  <si>
    <t>&lt; 5 years of management experience of key director</t>
  </si>
  <si>
    <t>Professional Competence</t>
  </si>
  <si>
    <t xml:space="preserve">Professional Competence / qualification of key person/s </t>
  </si>
  <si>
    <t>Relevant qualification and experience &gt; 10 years</t>
  </si>
  <si>
    <t>Relevant qualification and experience &gt; 5 and &lt; 10 years</t>
  </si>
  <si>
    <t>No professional qualification however working in the same line of business for &gt; 10 years</t>
  </si>
  <si>
    <t>No professional qualification however working in the same line of business for &lt; 10 years</t>
  </si>
  <si>
    <t>Succession Planning / Key man risk</t>
  </si>
  <si>
    <t>Succession Planning with respect to Key man risk</t>
  </si>
  <si>
    <t>Key persons have been designated and are actively involved in the activities</t>
  </si>
  <si>
    <t>Key persons have been designated and are intermittently involved in the activities</t>
  </si>
  <si>
    <t>Key persons have been designated but have not been involved in the activities</t>
  </si>
  <si>
    <t>No succession plan in place for key persons</t>
  </si>
  <si>
    <t>Senior / key management and ownership changes</t>
  </si>
  <si>
    <t>There have been no senior / key management and ownership changes ever</t>
  </si>
  <si>
    <t>There have been no senior / key management and ownership changes &gt; 10 years back</t>
  </si>
  <si>
    <t xml:space="preserve">There have been some marginal changes in key management &gt; 5 years back </t>
  </si>
  <si>
    <t>The Key management / senior changed completely in the last 5 years</t>
  </si>
  <si>
    <t>Company’s core business position</t>
  </si>
  <si>
    <t>Company’s core business position and vintage</t>
  </si>
  <si>
    <t>The company’s core business has not changed at all since inception</t>
  </si>
  <si>
    <t>The company's core business has changed &gt; 10 years back and the company has managed the transition well</t>
  </si>
  <si>
    <t>The company's core business has changed &gt; 5 years back and the company has managed the transition well</t>
  </si>
  <si>
    <t xml:space="preserve">The company's core business has changed &lt; 5 years back </t>
  </si>
  <si>
    <t>Competitive situation</t>
  </si>
  <si>
    <t>Customers competitive standing in industry</t>
  </si>
  <si>
    <t>Niche player. Nil competition</t>
  </si>
  <si>
    <t>Very few competitors. Not much competition</t>
  </si>
  <si>
    <t>Few players and competition managed effectively</t>
  </si>
  <si>
    <t>One among many players. Fierce Competition</t>
  </si>
  <si>
    <t>Bureau performance</t>
  </si>
  <si>
    <t>Repayment history as per Bureau records</t>
  </si>
  <si>
    <t>All facilities, loans and trades are regular with no instance of overdue or default</t>
  </si>
  <si>
    <t>All facilities, loans and trades are regular, however with 1 instance of overdue in the past with adequate justifications</t>
  </si>
  <si>
    <t>All facilities, loans and trades are regular, however with &gt;1 instance of overdue in the past with adequate justifications</t>
  </si>
  <si>
    <t>All facilities, loans and trades are regular, however with &gt;1 instance of overdue in the past without adequate justifications</t>
  </si>
  <si>
    <t xml:space="preserve">Seasonality / cyclicality of demand having effect on cash flows </t>
  </si>
  <si>
    <t>No seasonality of demand having no adverse effect on company cash flows</t>
  </si>
  <si>
    <t>Seasonality exists to a small extent and has a minimal influence on the company cash flows</t>
  </si>
  <si>
    <t>Seasonality exists to a failry large extent and has a some influence on the company cash flows</t>
  </si>
  <si>
    <t>Completely seasonal business and customers cash flows' are affected greatly</t>
  </si>
  <si>
    <t>Quantitative criteria</t>
  </si>
  <si>
    <t>Turnover: 3 year trend</t>
  </si>
  <si>
    <t>Annual sales (CAGR for 3 years)</t>
  </si>
  <si>
    <t>Growing (&gt;20%)</t>
  </si>
  <si>
    <t>Growing (&gt;10%)</t>
  </si>
  <si>
    <t>Stable (0-10%)</t>
  </si>
  <si>
    <t>Declining</t>
  </si>
  <si>
    <t>EBIDTA Margins: 3 year trend</t>
  </si>
  <si>
    <t>EBIDTA = Earnings before interest, tax, depreciation and amortization</t>
  </si>
  <si>
    <t>Last 3 years growing</t>
  </si>
  <si>
    <t>Last 2 years growing</t>
  </si>
  <si>
    <t>Latest year growing</t>
  </si>
  <si>
    <t>Declining / unstable trend</t>
  </si>
  <si>
    <t>Gross Profit Margins</t>
  </si>
  <si>
    <t>GP margins - trending for the last 3 years</t>
  </si>
  <si>
    <t>Net Profit Margins</t>
  </si>
  <si>
    <t>NP margins - comparison for the last 3 years</t>
  </si>
  <si>
    <t>ICOR - trending for the last 3 years</t>
  </si>
  <si>
    <t>Current Assets / Current Liabilities</t>
  </si>
  <si>
    <t>&gt; 2 times</t>
  </si>
  <si>
    <t>&gt; 1.5 times and &lt;=2 times</t>
  </si>
  <si>
    <t xml:space="preserve">&gt;=1 and &lt;= 1.5 times </t>
  </si>
  <si>
    <t>&lt; 1 time</t>
  </si>
  <si>
    <t>Debt / EBIDTA</t>
  </si>
  <si>
    <t>&lt;=1 time</t>
  </si>
  <si>
    <t>&gt;1 and &lt;=2.5 times</t>
  </si>
  <si>
    <t xml:space="preserve">2.5 - 4 times </t>
  </si>
  <si>
    <t xml:space="preserve">&gt; 4 times </t>
  </si>
  <si>
    <t>Total Debt / Net worth</t>
  </si>
  <si>
    <t>&lt;=2 times</t>
  </si>
  <si>
    <t xml:space="preserve">&gt;2 -and &lt;=3 times </t>
  </si>
  <si>
    <t xml:space="preserve">&gt; 3 times </t>
  </si>
  <si>
    <t>Leverage ratio</t>
  </si>
  <si>
    <t>Total liabilities/ Networth (includes subordinated shareholders’/ directors’ loans)</t>
  </si>
  <si>
    <t>&lt; 2 times</t>
  </si>
  <si>
    <t>&lt; 3 times</t>
  </si>
  <si>
    <t xml:space="preserve">3 - 4 times </t>
  </si>
  <si>
    <t>Additional Parameters</t>
  </si>
  <si>
    <t>Factory ownership</t>
  </si>
  <si>
    <t>Ownership of factory</t>
  </si>
  <si>
    <t>Factory owned</t>
  </si>
  <si>
    <t>Factory rented</t>
  </si>
  <si>
    <t>4,0,2, 0</t>
  </si>
  <si>
    <t>Ownership of office</t>
  </si>
  <si>
    <t>Office owned</t>
  </si>
  <si>
    <t>Office rented</t>
  </si>
  <si>
    <t>Audit report qualification and notes to accounts</t>
  </si>
  <si>
    <t>Delay in payment of statutory dues, litigation, etc</t>
  </si>
  <si>
    <t>No adverse remark</t>
  </si>
  <si>
    <t>Adverse remark</t>
  </si>
  <si>
    <t>Legal Status</t>
  </si>
  <si>
    <t>Constitution of the borrower</t>
  </si>
  <si>
    <t>Ltd. Co</t>
  </si>
  <si>
    <t>Pvt. Ltd. Co.</t>
  </si>
  <si>
    <t>Partnership Firm</t>
  </si>
  <si>
    <t>Proprietorship Firm</t>
  </si>
  <si>
    <t>UFCE</t>
  </si>
  <si>
    <t>UFCE Exposure</t>
  </si>
  <si>
    <t>Full Hedging Done</t>
  </si>
  <si>
    <t>Hedging Not Applicable</t>
  </si>
  <si>
    <t>Partial Hedging Done</t>
  </si>
  <si>
    <t>Hedging Not Done</t>
  </si>
  <si>
    <t>4,3,2, 1</t>
  </si>
  <si>
    <t>Banking credits</t>
  </si>
  <si>
    <t>Annualised Banking to Turnover %</t>
  </si>
  <si>
    <t>&gt; 120 %</t>
  </si>
  <si>
    <t xml:space="preserve">100% to 120% </t>
  </si>
  <si>
    <t>80% to 100%</t>
  </si>
  <si>
    <t>&lt; 80%</t>
  </si>
  <si>
    <t>Total Score</t>
  </si>
  <si>
    <t>Customer Rating</t>
  </si>
  <si>
    <t>Maximum points to be scored = 100</t>
  </si>
  <si>
    <t>Customer Classification</t>
  </si>
  <si>
    <t>Category A1</t>
  </si>
  <si>
    <t>Score &gt; 95</t>
  </si>
  <si>
    <t>Category A2</t>
  </si>
  <si>
    <t>Score &gt; 90 and &lt;=95</t>
  </si>
  <si>
    <t>Category A3</t>
  </si>
  <si>
    <t>Score &gt; 85 and &lt;=90</t>
  </si>
  <si>
    <t>Category B1</t>
  </si>
  <si>
    <t>Score &gt; 75 and &lt;=85</t>
  </si>
  <si>
    <t>Category B2</t>
  </si>
  <si>
    <t>Score &gt; 65 and &lt;= 75</t>
  </si>
  <si>
    <t>Category B3</t>
  </si>
  <si>
    <t>Score &gt; 55 and &lt;= 65</t>
  </si>
  <si>
    <t>Category C1</t>
  </si>
  <si>
    <t>Score &gt; 45 and &lt;= 55</t>
  </si>
  <si>
    <t>Category C2</t>
  </si>
  <si>
    <t>Score &gt; 35 and &lt;= 45</t>
  </si>
  <si>
    <t>Category C3</t>
  </si>
  <si>
    <t>Score &lt; =35</t>
  </si>
  <si>
    <t>Value ( Option to be selected from drop down list)</t>
  </si>
  <si>
    <t>Age</t>
  </si>
  <si>
    <t>31-40</t>
  </si>
  <si>
    <t>41-50</t>
  </si>
  <si>
    <t>51-60</t>
  </si>
  <si>
    <t>&lt;31 and &gt; 60</t>
  </si>
  <si>
    <t>10, 7, 4, 0</t>
  </si>
  <si>
    <t>Residence Stability</t>
  </si>
  <si>
    <t>Education Qualification</t>
  </si>
  <si>
    <t>Professionally Qualified</t>
  </si>
  <si>
    <t>Post Graduate</t>
  </si>
  <si>
    <t>Graduate</t>
  </si>
  <si>
    <t>Under Graduate</t>
  </si>
  <si>
    <t>Total Work Experience</t>
  </si>
  <si>
    <t>Employer Profile</t>
  </si>
  <si>
    <t>MNC Category</t>
  </si>
  <si>
    <t>PSU / Other Limited Companies / Self Employed SENP / SEP</t>
  </si>
  <si>
    <t>Private Limited Companies</t>
  </si>
  <si>
    <t>Proprietorship / Partnership Firm</t>
  </si>
  <si>
    <t>Bureau Scoring</t>
  </si>
  <si>
    <t>&gt; 850</t>
  </si>
  <si>
    <t>751-850</t>
  </si>
  <si>
    <t>651-750</t>
  </si>
  <si>
    <t>&lt;= 650</t>
  </si>
  <si>
    <t>Existing Loan Repayments</t>
  </si>
  <si>
    <t>Nil bounces</t>
  </si>
  <si>
    <t>&lt; 3 bounces in last 6 months</t>
  </si>
  <si>
    <t xml:space="preserve">3-6 bounces in last 6 months </t>
  </si>
  <si>
    <t>&gt; 6 bounces in last 6 months</t>
  </si>
  <si>
    <t>Local</t>
  </si>
  <si>
    <t>Regional</t>
  </si>
  <si>
    <t>HO</t>
  </si>
  <si>
    <t>NFD/ EBITDA</t>
  </si>
  <si>
    <t>NFD/ Equity</t>
  </si>
  <si>
    <t>Ops will be communicated by sales / RM / CRM in case this is happening</t>
  </si>
  <si>
    <t>Borrowing partys name</t>
  </si>
  <si>
    <t>Cust ID</t>
  </si>
  <si>
    <t>Branches</t>
  </si>
  <si>
    <t>IRAC Classification</t>
  </si>
  <si>
    <t>Type of Facility</t>
  </si>
  <si>
    <t>Purpose of loan</t>
  </si>
  <si>
    <t>Amount sanctioned (facility wise) (in Cr)</t>
  </si>
  <si>
    <t>Balance outstanding (facility wise)</t>
  </si>
  <si>
    <t>Primary Security</t>
  </si>
  <si>
    <t>Collateral</t>
  </si>
  <si>
    <t>Personal / Corporate Guarantees</t>
  </si>
  <si>
    <t>Nature of the Derivatives Transactions</t>
  </si>
  <si>
    <t>Plain Vanilla Contracts</t>
  </si>
  <si>
    <t>Forex Forward contracts</t>
  </si>
  <si>
    <t>Interest rate Swaps</t>
  </si>
  <si>
    <t>Foreign Currency Options</t>
  </si>
  <si>
    <t>Any other contracts (Please specify)</t>
  </si>
  <si>
    <t>Complex derivatives including various types of option combinations designed as cost reduction / zero cost structures</t>
  </si>
  <si>
    <t>Contracts involving only interest rate derivatives</t>
  </si>
  <si>
    <t>Other contracts including those involving foreign currency derivatives</t>
  </si>
  <si>
    <t xml:space="preserve">Un-hedged Foreign Currency Exposures of the Borrower with Currency-wise Details </t>
  </si>
  <si>
    <t>Short term exposures (less than one year)</t>
  </si>
  <si>
    <t>Add 1</t>
  </si>
  <si>
    <t>Add 2</t>
  </si>
  <si>
    <t>City &amp; PIN</t>
  </si>
  <si>
    <t>Ops</t>
  </si>
  <si>
    <t>Header</t>
  </si>
  <si>
    <t>*</t>
  </si>
  <si>
    <t>-</t>
  </si>
  <si>
    <t>**</t>
  </si>
  <si>
    <t>In Mortgages related parties are taken as co-applicants and not guarantors and so this is to be left blank</t>
  </si>
  <si>
    <t>(a) Long positions</t>
  </si>
  <si>
    <t>(b) Short positions</t>
  </si>
  <si>
    <t>(c) Net short- term exposure (a-b)</t>
  </si>
  <si>
    <t>Overall Net Position (I -II) for each currency (Please give Overall Net Position in this format for each currency)</t>
  </si>
  <si>
    <t>Overall Net Position</t>
  </si>
  <si>
    <r>
      <t xml:space="preserve">Amount of </t>
    </r>
    <r>
      <rPr>
        <b/>
        <sz val="10"/>
        <rFont val="Arial"/>
        <family val="2"/>
      </rPr>
      <t xml:space="preserve">un-hedged foreign currency exposures </t>
    </r>
    <r>
      <rPr>
        <sz val="10"/>
        <rFont val="Arial"/>
        <family val="2"/>
      </rPr>
      <t>(please give currency-wise position in the format given below)</t>
    </r>
  </si>
  <si>
    <t>In case of multiple banking, address of other bank along with city and pin code</t>
  </si>
  <si>
    <t>***</t>
  </si>
  <si>
    <t>Cust Id</t>
  </si>
  <si>
    <t>Rating Sheet</t>
  </si>
  <si>
    <t>Rating_Individuals</t>
  </si>
  <si>
    <t>Apportionment_Calculator</t>
  </si>
  <si>
    <t>(c) No of employees in the company</t>
  </si>
  <si>
    <t>(d) Place of operations of the company</t>
  </si>
  <si>
    <t>Multiple Banking</t>
  </si>
  <si>
    <t>Multiple Banking Details</t>
  </si>
  <si>
    <t>VAT_GST</t>
  </si>
  <si>
    <t>Rating_NonIndividuals</t>
  </si>
  <si>
    <t>Legal_Compliance_Certificate</t>
  </si>
  <si>
    <t>CMIE_Margins</t>
  </si>
  <si>
    <t xml:space="preserve">  </t>
  </si>
  <si>
    <t>Personal Discussion format</t>
  </si>
  <si>
    <t>2 Signatures on CAT / DAM / CAM from either (i) 2 CRMs or (ii) 1 CRM and 1 CPA provided second CRM has approved on Email</t>
  </si>
  <si>
    <t># of Credits</t>
  </si>
  <si>
    <t>PD_Non_Individual</t>
  </si>
  <si>
    <t>Please check the linking</t>
  </si>
  <si>
    <t>Name of entity</t>
  </si>
  <si>
    <t>Entity type</t>
  </si>
  <si>
    <t>Abrasive powder or grain on a base</t>
  </si>
  <si>
    <t>Eligibility calculation</t>
  </si>
  <si>
    <t>Loan amount requested</t>
  </si>
  <si>
    <t>Tenor ( months)</t>
  </si>
  <si>
    <t>Interest rate to be charged</t>
  </si>
  <si>
    <t>Computer Systems</t>
  </si>
  <si>
    <t>Debts as per Bureau / Bank statement</t>
  </si>
  <si>
    <t>Connectors</t>
  </si>
  <si>
    <t>Contact lenses and spectacles</t>
  </si>
  <si>
    <t>Control instrumentation</t>
  </si>
  <si>
    <t>Total of all Debts</t>
  </si>
  <si>
    <t>Conveyor Belts</t>
  </si>
  <si>
    <t>Eligibility Calculation (Please recheck the entity type on the top)</t>
  </si>
  <si>
    <t>DB BIL EMI</t>
  </si>
  <si>
    <t>Income Assessed</t>
  </si>
  <si>
    <t>Cosmetic &amp; toilet preparations</t>
  </si>
  <si>
    <t>Total Debts considered</t>
  </si>
  <si>
    <t>Debt Burden Ratio</t>
  </si>
  <si>
    <t>Eligible as per MSME - Investment</t>
  </si>
  <si>
    <t>Cotton and Blended Yarn</t>
  </si>
  <si>
    <t>Eligible as per DBR</t>
  </si>
  <si>
    <t>Cotton and Cotton textiles</t>
  </si>
  <si>
    <t>Cotton and Jute Fibres</t>
  </si>
  <si>
    <t>Cotton Seed Oil</t>
  </si>
  <si>
    <t>Cycle Tyres</t>
  </si>
  <si>
    <t>Data processing systems</t>
  </si>
  <si>
    <t>Dental Hygiene preparations</t>
  </si>
  <si>
    <t>Domestic appliances</t>
  </si>
  <si>
    <t>Drugs, medicines and allied products</t>
  </si>
  <si>
    <t>Eggs</t>
  </si>
  <si>
    <t>Electrical machinery</t>
  </si>
  <si>
    <t>Electricity meters</t>
  </si>
  <si>
    <t>Electronic Components</t>
  </si>
  <si>
    <t>Electronic testing and measuring equipment</t>
  </si>
  <si>
    <t>Environmental control equipment</t>
  </si>
  <si>
    <t>ERW tubes and pipes</t>
  </si>
  <si>
    <t>Essential Oils</t>
  </si>
  <si>
    <t>Ethyl Alcohol</t>
  </si>
  <si>
    <t>Filaments and Fibres</t>
  </si>
  <si>
    <t>Finished steel - non alloy steel</t>
  </si>
  <si>
    <t>Fire extinguishing systems</t>
  </si>
  <si>
    <t>Flexible packaging materials</t>
  </si>
  <si>
    <t>Floor coverings and Mats</t>
  </si>
  <si>
    <t>Foodgrains</t>
  </si>
  <si>
    <t>Fruit and Nuts</t>
  </si>
  <si>
    <t>Fruit and vegetable products</t>
  </si>
  <si>
    <t>Furniture</t>
  </si>
  <si>
    <t>Galvanised Pipes</t>
  </si>
  <si>
    <t>Generating sets</t>
  </si>
  <si>
    <t>Glass and glass articles</t>
  </si>
  <si>
    <t>Graphite</t>
  </si>
  <si>
    <t>Hand tools, saws, blades</t>
  </si>
  <si>
    <t>HDPE bags, pipes, sacks</t>
  </si>
  <si>
    <t>Heavy structurals</t>
  </si>
  <si>
    <t>Hydrogen rare and other gases</t>
  </si>
  <si>
    <t>Industrial power &amp; electronics equipment</t>
  </si>
  <si>
    <t>Instant &amp; Semi processed foods</t>
  </si>
  <si>
    <t>Internal combustion engines</t>
  </si>
  <si>
    <t>Iron and Steel Castings and Fogings</t>
  </si>
  <si>
    <t>Jute and Jute products</t>
  </si>
  <si>
    <t>Kitchen articles of iron and steel</t>
  </si>
  <si>
    <t>Knitted / Crocheted fabrics</t>
  </si>
  <si>
    <t>Kraft paper and paperboard</t>
  </si>
  <si>
    <t>Lab instruments</t>
  </si>
  <si>
    <t>Lead</t>
  </si>
  <si>
    <t>Leather apparel and accessories</t>
  </si>
  <si>
    <t>Leather footwear</t>
  </si>
  <si>
    <t>Locks</t>
  </si>
  <si>
    <t>LPG cylinders and other gas containers</t>
  </si>
  <si>
    <t>Material handling equipment</t>
  </si>
  <si>
    <t>Meat preparations and Fish</t>
  </si>
  <si>
    <t>Menthol</t>
  </si>
  <si>
    <t>Metal furnitures and fixtures</t>
  </si>
  <si>
    <t>Meters</t>
  </si>
  <si>
    <t>Mineral Water</t>
  </si>
  <si>
    <t>Miscellaneous crops</t>
  </si>
  <si>
    <t>Miscellaneous food products</t>
  </si>
  <si>
    <t>Miscellaneous Manufactured Articles</t>
  </si>
  <si>
    <t>Mosquito repellant</t>
  </si>
  <si>
    <t>Motors and generators</t>
  </si>
  <si>
    <t>Mustard Oil</t>
  </si>
  <si>
    <t>Non electrical cooking appliances</t>
  </si>
  <si>
    <t>Office equipment</t>
  </si>
  <si>
    <t>Oilseeds</t>
  </si>
  <si>
    <t>Optical and Measuring Instrument</t>
  </si>
  <si>
    <t>Other agricultural products</t>
  </si>
  <si>
    <t>Other alloy steel</t>
  </si>
  <si>
    <t>Other articles of iron and steel</t>
  </si>
  <si>
    <t>Other edible &amp; non edible oils</t>
  </si>
  <si>
    <t>Other electrical machinery</t>
  </si>
  <si>
    <t>Other electronic components</t>
  </si>
  <si>
    <t>Other inorganic chemicals</t>
  </si>
  <si>
    <t>Other leather articles</t>
  </si>
  <si>
    <t>Other non ferrous metals</t>
  </si>
  <si>
    <t>Other non metallic minerals</t>
  </si>
  <si>
    <t>Other plastic articles</t>
  </si>
  <si>
    <t>Other plastics in primary form</t>
  </si>
  <si>
    <t>Other steel structures</t>
  </si>
  <si>
    <t>Other textiles</t>
  </si>
  <si>
    <t>Pearls,precious and semi precious stones</t>
  </si>
  <si>
    <t>Pens and Pencils</t>
  </si>
  <si>
    <t>Perfumes</t>
  </si>
  <si>
    <t>Photographic goods</t>
  </si>
  <si>
    <t>Piece embroidery</t>
  </si>
  <si>
    <t>Pistons and piston rings</t>
  </si>
  <si>
    <t>Plastic products</t>
  </si>
  <si>
    <t>Poly vinyl chloride</t>
  </si>
  <si>
    <t>Polyisobutylene</t>
  </si>
  <si>
    <t>Porcelain or china household articles</t>
  </si>
  <si>
    <t>Printed books, newspapers, brochures</t>
  </si>
  <si>
    <t>Printing Ink</t>
  </si>
  <si>
    <t>Process control equipment</t>
  </si>
  <si>
    <t>Processed Cloth</t>
  </si>
  <si>
    <t>PVC products</t>
  </si>
  <si>
    <t>Razors and Blades</t>
  </si>
  <si>
    <t>Reservoirs, tanks and other fabrications</t>
  </si>
  <si>
    <t>Resistors</t>
  </si>
  <si>
    <t>Rice Bran Oil</t>
  </si>
  <si>
    <t>Rubber and plastic products machinery</t>
  </si>
  <si>
    <t>Rubber and rubber products</t>
  </si>
  <si>
    <t>Rubberised coir and textile products</t>
  </si>
  <si>
    <t>Sacks and Bags</t>
  </si>
  <si>
    <t>Scooters, Motorcycles , 2 and 3 wheelers</t>
  </si>
  <si>
    <t>Screws, bolts, nuts, rivets, washers</t>
  </si>
  <si>
    <t>Seamless tubes and pipes</t>
  </si>
  <si>
    <t>Security electronic equipment</t>
  </si>
  <si>
    <t>Semi conductor devices</t>
  </si>
  <si>
    <t>Semi finished steel</t>
  </si>
  <si>
    <t>Sheets of vinyl chloride</t>
  </si>
  <si>
    <t>Sheets, films, etc. of plastic</t>
  </si>
  <si>
    <t>Silk and Silk textiles</t>
  </si>
  <si>
    <t>Soap and Detergents</t>
  </si>
  <si>
    <t>Soft Drinks</t>
  </si>
  <si>
    <t>Solar appliances</t>
  </si>
  <si>
    <t>Soyabean oil and cake</t>
  </si>
  <si>
    <t>Spices and Condiments</t>
  </si>
  <si>
    <t>Sponge Iron</t>
  </si>
  <si>
    <t>Sports goods, toys,games</t>
  </si>
  <si>
    <t>Springs</t>
  </si>
  <si>
    <t>Stainless steel</t>
  </si>
  <si>
    <t>Stainless steel flat rolled products</t>
  </si>
  <si>
    <t>Starches, adhesives, gelatin</t>
  </si>
  <si>
    <t>Steam boilers and turbines</t>
  </si>
  <si>
    <t>Steel ball bearings</t>
  </si>
  <si>
    <t>Steel structures</t>
  </si>
  <si>
    <t>Sulphuric Acid</t>
  </si>
  <si>
    <t>Switchgears</t>
  </si>
  <si>
    <t>Synthetic Rubber</t>
  </si>
  <si>
    <t>Syringes and thermometers</t>
  </si>
  <si>
    <t>Tableware, kitchenware, other household articles</t>
  </si>
  <si>
    <t>Telephone &amp; transmission equipment</t>
  </si>
  <si>
    <t>Terry towels</t>
  </si>
  <si>
    <t>Textile machinery</t>
  </si>
  <si>
    <t>Textured yarn of filament yarn</t>
  </si>
  <si>
    <t>Tin products</t>
  </si>
  <si>
    <t>Tobacco, Cigarettes, Pan Masala</t>
  </si>
  <si>
    <t>Tools</t>
  </si>
  <si>
    <t>Toughened and laminated glass</t>
  </si>
  <si>
    <t>Tubes and Pipes</t>
  </si>
  <si>
    <t>Tubes, pipes &amp; hoses &amp; fittings of plastics</t>
  </si>
  <si>
    <t>TV receivers</t>
  </si>
  <si>
    <t>Tyres, tyre treads and tubes</t>
  </si>
  <si>
    <t>Vegetable Oils</t>
  </si>
  <si>
    <t>Vegetables</t>
  </si>
  <si>
    <t>Voltage stabilisers</t>
  </si>
  <si>
    <t>Vulcanised Rubber - thread and cord</t>
  </si>
  <si>
    <t>Weighing machinery</t>
  </si>
  <si>
    <t>Welding electrodes</t>
  </si>
  <si>
    <t>Wheat and other milling products</t>
  </si>
  <si>
    <t>Wires and Cables</t>
  </si>
  <si>
    <t>Wires and ropes of iron and steel</t>
  </si>
  <si>
    <t>Wood products</t>
  </si>
  <si>
    <t>Wool and wollen textiles</t>
  </si>
  <si>
    <t>Wrist Watches</t>
  </si>
  <si>
    <t>Industries not classified elsewhere ( manufacturing)</t>
  </si>
  <si>
    <t>Airline services</t>
  </si>
  <si>
    <t>Amusement centres</t>
  </si>
  <si>
    <t>Building maintenance services</t>
  </si>
  <si>
    <t>Cargo handling - air transport</t>
  </si>
  <si>
    <t>Cargo handling - water transport</t>
  </si>
  <si>
    <t>Commission agent services</t>
  </si>
  <si>
    <t>Content and Animation</t>
  </si>
  <si>
    <t>Customer care</t>
  </si>
  <si>
    <t>Event Management Services</t>
  </si>
  <si>
    <t>Fitness centre</t>
  </si>
  <si>
    <t>Hospitals and Health care centers</t>
  </si>
  <si>
    <t>Hotels and restaurants</t>
  </si>
  <si>
    <t>Housekeeping Services</t>
  </si>
  <si>
    <t>Interior Design and Architecture</t>
  </si>
  <si>
    <t>ITES BPO</t>
  </si>
  <si>
    <t>Lodging, guest houses &amp; service apartments</t>
  </si>
  <si>
    <t>LPG Bottling</t>
  </si>
  <si>
    <t>Management Consultancy Services</t>
  </si>
  <si>
    <t>Market research and public opinion polling</t>
  </si>
  <si>
    <t>Medical Test centre and laboratories</t>
  </si>
  <si>
    <t>Medical Transcription</t>
  </si>
  <si>
    <t>Movers and Packers</t>
  </si>
  <si>
    <t>Other consultancy</t>
  </si>
  <si>
    <t>Other Motor transport services</t>
  </si>
  <si>
    <t>Recreational and cultural service</t>
  </si>
  <si>
    <t>Research and Development</t>
  </si>
  <si>
    <t>Software services and consultancy</t>
  </si>
  <si>
    <t>Storage and Warehousing services</t>
  </si>
  <si>
    <t>Taxi services</t>
  </si>
  <si>
    <t>Technical consultancy and engineering services</t>
  </si>
  <si>
    <t>Transport services support system</t>
  </si>
  <si>
    <t>Industries not classified elsewhere ( services)</t>
  </si>
  <si>
    <t>Credit Information Report</t>
  </si>
  <si>
    <t>Co-Applicant 1</t>
  </si>
  <si>
    <t>Co-Applicant 2</t>
  </si>
  <si>
    <t>Co-Applicant 3</t>
  </si>
  <si>
    <t>Credit Information Company</t>
  </si>
  <si>
    <t>DOB</t>
  </si>
  <si>
    <t>PAN No</t>
  </si>
  <si>
    <t>Credit Score</t>
  </si>
  <si>
    <t>Principal Outstanding (POS) as per Credit Report</t>
  </si>
  <si>
    <t>High Credit as per Credit Report</t>
  </si>
  <si>
    <t>POS to High Credit (%)</t>
  </si>
  <si>
    <t>Loan Type</t>
  </si>
  <si>
    <t>Source of information</t>
  </si>
  <si>
    <t>EMI Due Date</t>
  </si>
  <si>
    <t>EMI Debit Bank Name</t>
  </si>
  <si>
    <t>Any kind of remarks</t>
  </si>
  <si>
    <t>Total EMIs (Monthly Figure)</t>
  </si>
  <si>
    <t xml:space="preserve">&gt; 25lacs </t>
  </si>
  <si>
    <t xml:space="preserve">Remarks </t>
  </si>
  <si>
    <t>&gt; 3crores (mfg) and&gt;1.5 crores (services</t>
  </si>
  <si>
    <t>&gt; 5years</t>
  </si>
  <si>
    <t>Residence Ownership</t>
  </si>
  <si>
    <t>20 lacs Unsecured or Rs.50 Lacs Secured</t>
  </si>
  <si>
    <t>Start Date (MMM-YY)</t>
  </si>
  <si>
    <t>Goods &amp; Service Tax</t>
  </si>
  <si>
    <t>GSTIN/UIN</t>
  </si>
  <si>
    <t>Legal Name of Business</t>
  </si>
  <si>
    <t>Constitution of Business</t>
  </si>
  <si>
    <t>Taxpayer Type</t>
  </si>
  <si>
    <t>GSTIN / UIN Status</t>
  </si>
  <si>
    <t>Verified on</t>
  </si>
  <si>
    <t>Sl. No</t>
  </si>
  <si>
    <t>Return Type</t>
  </si>
  <si>
    <t>Financial Year</t>
  </si>
  <si>
    <t>Tax Period</t>
  </si>
  <si>
    <t>Date of filing</t>
  </si>
  <si>
    <t>Status</t>
  </si>
  <si>
    <t>Legal Name</t>
  </si>
  <si>
    <t xml:space="preserve">Total </t>
  </si>
  <si>
    <t>Name of the borrower</t>
  </si>
  <si>
    <t>Yes</t>
  </si>
  <si>
    <t>N</t>
  </si>
  <si>
    <t>Banking History</t>
  </si>
  <si>
    <t>Number of months statement submitted</t>
  </si>
  <si>
    <t>Credits in the last 6 months</t>
  </si>
  <si>
    <t>Number of debits</t>
  </si>
  <si>
    <t>Number of Inward cheque returns</t>
  </si>
  <si>
    <t>% of inward cheque returns</t>
  </si>
  <si>
    <t>Total Credits</t>
  </si>
  <si>
    <t>Number of credits</t>
  </si>
  <si>
    <t>Number of outward cheque returns</t>
  </si>
  <si>
    <t>Annual turnover basis bank statement credits</t>
  </si>
  <si>
    <t>Value of outward cheque returns</t>
  </si>
  <si>
    <t>Banking to turnover %</t>
  </si>
  <si>
    <t>% of outward cheque returns (#)</t>
  </si>
  <si>
    <t>% of outward cheque returns (value)</t>
  </si>
  <si>
    <t>Other information</t>
  </si>
  <si>
    <t>MMLN - 0006</t>
  </si>
  <si>
    <t>Comment on FI</t>
  </si>
  <si>
    <t>Comment on RCU</t>
  </si>
  <si>
    <t>Comment on CIBIL</t>
  </si>
  <si>
    <t>Overall comments &amp; recommendations</t>
  </si>
  <si>
    <t>MMBN - 0007</t>
  </si>
  <si>
    <t>Approved Loan amount ( INR )</t>
  </si>
  <si>
    <t>MSE - 0008</t>
  </si>
  <si>
    <t>MME - 0012</t>
  </si>
  <si>
    <t>Whether entity qualifies for PSL lending?</t>
  </si>
  <si>
    <t>Code</t>
  </si>
  <si>
    <t>SMLN - 0009</t>
  </si>
  <si>
    <t>Deviation</t>
  </si>
  <si>
    <t>SMBN - 0010</t>
  </si>
  <si>
    <t>Mitigants</t>
  </si>
  <si>
    <t>SSE - 0011</t>
  </si>
  <si>
    <t>Payment to be made in favour of</t>
  </si>
  <si>
    <t>SME - 0013</t>
  </si>
  <si>
    <t>Approval conditions</t>
  </si>
  <si>
    <t>Primary security details</t>
  </si>
  <si>
    <t>CG Pan Number</t>
  </si>
  <si>
    <t>Expiry date of CG</t>
  </si>
  <si>
    <t>List of documents enclosed ( For Ops reference)</t>
  </si>
  <si>
    <t>Document Type</t>
  </si>
  <si>
    <t>Required (Yes / No)</t>
  </si>
  <si>
    <t>EUBE - End Use Letter</t>
  </si>
  <si>
    <t>NOTH - Personal Guarantee</t>
  </si>
  <si>
    <t>CBOA - Board Resolution</t>
  </si>
  <si>
    <t>N813 - ROC ( Charge creation Regd Form 8)</t>
  </si>
  <si>
    <t>PD1 - Deed ofHypothecation</t>
  </si>
  <si>
    <t>COTH1 - Declaration from customer for BIL to Mortgage customer</t>
  </si>
  <si>
    <t>AOL - Accepted Sanction Letter</t>
  </si>
  <si>
    <t>COTH2 - Any other document as per sanctioned condition</t>
  </si>
  <si>
    <t>Name of recommending CRM officers</t>
  </si>
  <si>
    <t>crm</t>
  </si>
  <si>
    <t>Signature of CRM officers with Date</t>
  </si>
  <si>
    <t>Pre Disbursement Conditions 
(For Ops reference)</t>
  </si>
  <si>
    <t>Credit Analysis</t>
  </si>
  <si>
    <t>Annexure E</t>
  </si>
  <si>
    <t>Underwriter Reference</t>
  </si>
  <si>
    <t xml:space="preserve">Other Conditions </t>
  </si>
  <si>
    <t>Deutsche Bank to be the sole working capital banker and Deutsche Bank's NOC to be taken in case you intend to avail any other working capital facility</t>
  </si>
  <si>
    <t>Only 1 of these 2 case be Yes</t>
  </si>
  <si>
    <r>
      <t xml:space="preserve">Deutsche Bank to be the banker along with </t>
    </r>
    <r>
      <rPr>
        <b/>
        <sz val="12"/>
        <color rgb="FFFF0000"/>
        <rFont val="Arial"/>
        <family val="2"/>
      </rPr>
      <t>&lt;&lt;                   &gt;&gt;</t>
    </r>
    <r>
      <rPr>
        <sz val="12"/>
        <rFont val="Arial"/>
        <family val="2"/>
      </rPr>
      <t xml:space="preserve"> (for working capital facilities) Bank and Deutsche Bank's NOC to be taken in case you intend to avail any other working capital facility </t>
    </r>
  </si>
  <si>
    <t>Percentage of credits to be routed through DB Account</t>
  </si>
  <si>
    <t>Deutsche Bank's NOC to be taken in case you intend to open current account with other bank</t>
  </si>
  <si>
    <t>Would be always 'Yes'</t>
  </si>
  <si>
    <t>ROC charge to be created on stock and book debts within 30 days of limit set up</t>
  </si>
  <si>
    <t>Individual, Firm, Private Limited Co, Limited Co, LLP</t>
  </si>
  <si>
    <t>Exclusive ROC charge to be created on property within 30 days of limit set up</t>
  </si>
  <si>
    <t>In case property is owned by company.</t>
  </si>
  <si>
    <t>ROC charge to be created on Corporate Guarantee within 30 days of limit set up.</t>
  </si>
  <si>
    <t>ROC charge to be created on Mutual Funds within 30 days of limit set up</t>
  </si>
  <si>
    <t>In case of MF is owned by company &amp; amount is &gt; 2 Crores</t>
  </si>
  <si>
    <t>ROC charge to be created on Bonds within 30 days of limit set up</t>
  </si>
  <si>
    <t>In case of Bonds is owned by company &amp; amount is &gt; 2 Crores</t>
  </si>
  <si>
    <t>ROC charge to be created on Fixed Deposit within 30 days of limit set up</t>
  </si>
  <si>
    <t>In case of FD is owned by company &amp; amount is &gt; 3 Crores</t>
  </si>
  <si>
    <r>
      <t>Cross Collateralisation to be maintained for business banking a/c of   300033482220019, 300033482220028, 300033482220037</t>
    </r>
    <r>
      <rPr>
        <sz val="12"/>
        <color rgb="FFFF0000"/>
        <rFont val="Arial"/>
        <family val="2"/>
      </rPr>
      <t xml:space="preserve"> </t>
    </r>
    <r>
      <rPr>
        <sz val="12"/>
        <rFont val="Arial"/>
        <family val="2"/>
      </rPr>
      <t>as the collateral is same for both the facilities</t>
    </r>
  </si>
  <si>
    <t>Name of borrowers to carry name of borrowers of existing loans which need to be cross ollateralised</t>
  </si>
  <si>
    <t xml:space="preserve">Additional FD margin to be maintained @  ____________ for (LC/ BC / BG ) </t>
  </si>
  <si>
    <t>In case non funded facilities - LC, BC &amp; BG</t>
  </si>
  <si>
    <t>Security And Support Documents:</t>
  </si>
  <si>
    <t>Insurance on collateral with DB as loss payee for the construction value of the property</t>
  </si>
  <si>
    <t>Duly assigned insurance policy on stock in favour of the Deutsche Bank to be submitted within 30 days of limit set up</t>
  </si>
  <si>
    <t>Additionally cash flow statement for the previous quarter need to be shared</t>
  </si>
  <si>
    <t xml:space="preserve">In case DP is supposed to be based upon operating expenses,  </t>
  </si>
  <si>
    <r>
      <t xml:space="preserve">Personal Guarantee to be executed in our prescribed format stamped and Notarised as per the provisions of the Stamp Act by </t>
    </r>
    <r>
      <rPr>
        <b/>
        <sz val="12"/>
        <color rgb="FFFF0000"/>
        <rFont val="Arial"/>
        <family val="2"/>
      </rPr>
      <t>&lt;&lt;_______________________&gt;&gt;</t>
    </r>
    <r>
      <rPr>
        <sz val="12"/>
        <rFont val="Arial"/>
        <family val="2"/>
      </rPr>
      <t>.</t>
    </r>
  </si>
  <si>
    <r>
      <t xml:space="preserve">Corporate Guarantee to be executed in our prescribed format stamped and as per the provisions of the Stamp Act by by </t>
    </r>
    <r>
      <rPr>
        <b/>
        <sz val="12"/>
        <color rgb="FFFF0000"/>
        <rFont val="Arial"/>
        <family val="2"/>
      </rPr>
      <t>&lt;&lt;__________________________&gt;&gt;</t>
    </r>
  </si>
  <si>
    <t>Pls check for the constitution of the guarantor provider</t>
  </si>
  <si>
    <t>Credit opinion report along with other bank acknowledgement to be submitted before disbursal.</t>
  </si>
  <si>
    <r>
      <t xml:space="preserve">NOC from other bank for creating </t>
    </r>
    <r>
      <rPr>
        <b/>
        <sz val="12"/>
        <color rgb="FFFF0000"/>
        <rFont val="Arial"/>
        <family val="2"/>
      </rPr>
      <t xml:space="preserve">&lt;&lt;          &gt;&gt; </t>
    </r>
    <r>
      <rPr>
        <sz val="12"/>
        <rFont val="Arial"/>
        <family val="2"/>
      </rPr>
      <t>charge on stock and book debts / current asset</t>
    </r>
  </si>
  <si>
    <t>Second / Parripasu</t>
  </si>
  <si>
    <t>Borrower’s existing insurance copy need to be shared with Deutsche Bank.</t>
  </si>
  <si>
    <t>CA certified latest Shareholding pattern and Directors list</t>
  </si>
  <si>
    <r>
      <t xml:space="preserve">In case  of existing ROC charge  appearing and need to be removed, Existing ROC charge with </t>
    </r>
    <r>
      <rPr>
        <b/>
        <sz val="12"/>
        <color rgb="FFFF0000"/>
        <rFont val="Arial"/>
        <family val="2"/>
      </rPr>
      <t>&lt;&lt;__________&gt;&gt;</t>
    </r>
    <r>
      <rPr>
        <sz val="12"/>
        <rFont val="Arial"/>
        <family val="2"/>
      </rPr>
      <t xml:space="preserve"> Bank need to be removed  </t>
    </r>
    <r>
      <rPr>
        <b/>
        <sz val="12"/>
        <color rgb="FFFF0000"/>
        <rFont val="Arial"/>
        <family val="2"/>
      </rPr>
      <t>&lt;&lt;before disbursement / _______ months post disbursement)</t>
    </r>
  </si>
  <si>
    <t>CA certificate for nil overdue statutory dues</t>
  </si>
  <si>
    <r>
      <t xml:space="preserve">NOC from tenant </t>
    </r>
    <r>
      <rPr>
        <b/>
        <sz val="12"/>
        <color rgb="FFFF0000"/>
        <rFont val="Arial"/>
        <family val="2"/>
      </rPr>
      <t xml:space="preserve">&lt;&lt;____________&gt;&gt; </t>
    </r>
    <r>
      <rPr>
        <sz val="12"/>
        <rFont val="Arial"/>
        <family val="2"/>
      </rPr>
      <t xml:space="preserve">required </t>
    </r>
  </si>
  <si>
    <t>In case of collateral proposed is tenanted</t>
  </si>
  <si>
    <r>
      <t xml:space="preserve">Incremental bank statement required from </t>
    </r>
    <r>
      <rPr>
        <b/>
        <sz val="12"/>
        <color rgb="FFFF0000"/>
        <rFont val="Arial"/>
        <family val="2"/>
      </rPr>
      <t xml:space="preserve">&lt;&lt;_____&gt;&gt; </t>
    </r>
    <r>
      <rPr>
        <sz val="12"/>
        <rFont val="Arial"/>
        <family val="2"/>
      </rPr>
      <t>till the date of disbursement</t>
    </r>
  </si>
  <si>
    <t>Incremental bank statement required from which month</t>
  </si>
  <si>
    <t>All collateral documents as specified by Lawyer to be submitted by client along with the facility document</t>
  </si>
  <si>
    <t>Default Yes</t>
  </si>
  <si>
    <t>Any other document duly required by the Bank.</t>
  </si>
  <si>
    <r>
      <t xml:space="preserve">Other Approval Conditions </t>
    </r>
    <r>
      <rPr>
        <b/>
        <sz val="12"/>
        <color rgb="FFFF0000"/>
        <rFont val="Arial"/>
        <family val="2"/>
      </rPr>
      <t>(will be part of Santion Letter Annexure)</t>
    </r>
  </si>
  <si>
    <t>UFCE Declaration required</t>
  </si>
  <si>
    <t xml:space="preserve">Gross Block required/CA Certificate required
</t>
  </si>
  <si>
    <t>Networth Statement required for all Guarantors.</t>
  </si>
  <si>
    <t>Term Insurance to be taken for the proprietor</t>
  </si>
  <si>
    <t>In case of Special Conditions to be added (to be tracked by GTB at a transaction level) to be added / removed / modified whereever required</t>
  </si>
  <si>
    <t>For ex
In case of Bank Guarantee to be issued to be issued only for customs
In case of Bank Guarantee to be issued to M/s ABC only
In case of LC, it should be only Foreign Currency LC
In case of BC, it should be only towards import of capital goods</t>
  </si>
  <si>
    <r>
      <t xml:space="preserve">CRM Tracking Covenants </t>
    </r>
    <r>
      <rPr>
        <b/>
        <sz val="12"/>
        <color rgb="FFFF0000"/>
        <rFont val="Arial"/>
        <family val="2"/>
      </rPr>
      <t>(not be a part of SL - to be changed wherever applicable)</t>
    </r>
  </si>
  <si>
    <t>Approval Date</t>
  </si>
  <si>
    <t>Credit Manager 1</t>
  </si>
  <si>
    <t>Next Review Date</t>
  </si>
  <si>
    <t>&lt;&lt;1 year from Sanction Date&gt;&gt;</t>
  </si>
  <si>
    <t>Credit Manager 2</t>
  </si>
  <si>
    <t>To be validated by Underwriter</t>
  </si>
  <si>
    <t>CRM Assessment</t>
  </si>
  <si>
    <t>Existing Magnus Sanctioned limits</t>
  </si>
  <si>
    <t>Current Magnus O/s</t>
  </si>
  <si>
    <t>New Sanctioned limit (including current limits)</t>
  </si>
  <si>
    <t>Total Exposure (BIL / SBOD / Mortgage)</t>
  </si>
  <si>
    <r>
      <t>In case customer is exisitng property backed customer, pls check use the correct cust id to key in UPI Id (can be checked from RPC if required) in a correct format "</t>
    </r>
    <r>
      <rPr>
        <b/>
        <sz val="10"/>
        <rFont val="Arial"/>
        <family val="2"/>
      </rPr>
      <t>999999999P9</t>
    </r>
    <r>
      <rPr>
        <sz val="10"/>
        <rFont val="Arial"/>
        <family val="2"/>
      </rPr>
      <t>"</t>
    </r>
  </si>
  <si>
    <t>Property Id (UPI)</t>
  </si>
  <si>
    <t>Other Combination Collateral</t>
  </si>
  <si>
    <t>Whether Real Estate Exposure</t>
  </si>
  <si>
    <t>Whether Capital Market Exposure</t>
  </si>
  <si>
    <t>Real Estate Exposure tagging is extremely important</t>
  </si>
  <si>
    <t>Latest Audited Financials available for</t>
  </si>
  <si>
    <t>In case of a BT, favouring details</t>
  </si>
  <si>
    <t>Deviation Type</t>
  </si>
  <si>
    <t>Value</t>
  </si>
  <si>
    <t>Norm</t>
  </si>
  <si>
    <t>Whether a  deviation</t>
  </si>
  <si>
    <t>3 times</t>
  </si>
  <si>
    <t>To be re-validated by Underwriter</t>
  </si>
  <si>
    <t>4 times</t>
  </si>
  <si>
    <t>Actual LTV on Residential Property</t>
  </si>
  <si>
    <t>100% / 95%</t>
  </si>
  <si>
    <t>Actual LTV on Commercial Property</t>
  </si>
  <si>
    <t>INR 300 Crores</t>
  </si>
  <si>
    <t>Group Exposure</t>
  </si>
  <si>
    <t>INR 20 Crores</t>
  </si>
  <si>
    <t>Business Vintage (# of years)</t>
  </si>
  <si>
    <t>3 years</t>
  </si>
  <si>
    <t>Business operation in same city (# of years)</t>
  </si>
  <si>
    <t>Industry</t>
  </si>
  <si>
    <t>Not a Negative Industry</t>
  </si>
  <si>
    <t>Any other deviation</t>
  </si>
  <si>
    <t>CRM Comments</t>
  </si>
  <si>
    <t xml:space="preserve">4) </t>
  </si>
  <si>
    <t xml:space="preserve">5) </t>
  </si>
  <si>
    <t xml:space="preserve">6) </t>
  </si>
  <si>
    <t xml:space="preserve">7) </t>
  </si>
  <si>
    <t xml:space="preserve">8) </t>
  </si>
  <si>
    <t xml:space="preserve">9) </t>
  </si>
  <si>
    <t xml:space="preserve">10) </t>
  </si>
  <si>
    <t>Any CRM tracking item (not a part of Sanction Letter)</t>
  </si>
  <si>
    <t xml:space="preserve">1) </t>
  </si>
  <si>
    <t xml:space="preserve">2) </t>
  </si>
  <si>
    <t xml:space="preserve">3) </t>
  </si>
  <si>
    <t>PD Done By (Name of Underwriter)</t>
  </si>
  <si>
    <t>Case Underwritten by</t>
  </si>
  <si>
    <t>Combo LTV</t>
  </si>
  <si>
    <t>Latest Audited Financial</t>
  </si>
  <si>
    <t>Post Audited Financial</t>
  </si>
  <si>
    <t>Debt including proposed exposure</t>
  </si>
  <si>
    <t>Unsecured Loans from banks</t>
  </si>
  <si>
    <t>Unsecured Loans from other than bank</t>
  </si>
  <si>
    <t>Annualised Obligation</t>
  </si>
  <si>
    <t>Interest Amount</t>
  </si>
  <si>
    <t>Annualized Interest</t>
  </si>
  <si>
    <t>Interest on Enhanced DB facility (monthly)</t>
  </si>
  <si>
    <t>Any other interest to be obligated_monthly (eg Bill disc etc)</t>
  </si>
  <si>
    <t>Total EMI(monthly)</t>
  </si>
  <si>
    <t>Exisiting ratio</t>
  </si>
  <si>
    <t>Post Debt Ratio</t>
  </si>
  <si>
    <t>DSCR</t>
  </si>
  <si>
    <t>Net Debt/EBIDTA</t>
  </si>
  <si>
    <t>Shareholding Equity Ratio</t>
  </si>
  <si>
    <t xml:space="preserve">                 DSCR would be computed as EBIDTA / Annual obligation</t>
  </si>
  <si>
    <t xml:space="preserve">                 Annual Obligations - would be considered as on the date of assessment. It would include annualisation of all the obligation payments (from term loan, OD/ CC, DOD etc) on the data of assessment.  Interest paid on CC / OD would need to be annualized basis average interest of last 6 months.</t>
  </si>
  <si>
    <t xml:space="preserve">                 All loans with balance tenor of 6 months and below can be ignored for DSCR</t>
  </si>
  <si>
    <t>Name of Client</t>
  </si>
  <si>
    <t>DBR &gt; 60%</t>
  </si>
  <si>
    <t>Parameters</t>
  </si>
  <si>
    <t>Actual</t>
  </si>
  <si>
    <t>Met/Not Met</t>
  </si>
  <si>
    <t>Minimum CIBIL score to be 750</t>
  </si>
  <si>
    <t>Minimum business vintage is 7 years</t>
  </si>
  <si>
    <t>Minimum turnover for manufacturing is 5crs &amp;  Service 2 crs</t>
  </si>
  <si>
    <t xml:space="preserve">&gt; 40lacs </t>
  </si>
  <si>
    <t>Creteria Met -       Yes / No</t>
  </si>
  <si>
    <t>&gt;5crores and &gt; 2.5 crores ( services)</t>
  </si>
  <si>
    <t>&gt; 7 years</t>
  </si>
  <si>
    <t>25 lakhs unsecured or Rs. 1 crore secured</t>
  </si>
  <si>
    <t>Client Name :</t>
  </si>
  <si>
    <t>LOS ID :</t>
  </si>
  <si>
    <t xml:space="preserve">Loan running from : </t>
  </si>
  <si>
    <t>S No</t>
  </si>
  <si>
    <t>EMI Amount</t>
  </si>
  <si>
    <t>Pending EMIs</t>
  </si>
  <si>
    <t>Weighted Average</t>
  </si>
  <si>
    <t>Sum</t>
  </si>
  <si>
    <t>Obligation considered</t>
  </si>
  <si>
    <t>Application Details</t>
  </si>
  <si>
    <t>Application under Hybrid Security Model(the MLIs will
 be allowed to obtain collateral security for a part of the 
credit facility, whereas the remaining part, up to a maximum 
of ₹ 200 lakh, can be covered under CGTMSE)</t>
  </si>
  <si>
    <t>No</t>
  </si>
  <si>
    <t>Bank / Institution Branch Code</t>
  </si>
  <si>
    <t>State of credit facility sanctioning / Disbursing branch 
[Please note that in case the state of controlling office
and credit facility sanctioning/disbursing branch is different,please ensure to indicate the state of a later]</t>
  </si>
  <si>
    <t> GSTIN No</t>
  </si>
  <si>
    <t>Borrower Details</t>
  </si>
  <si>
    <t>Whether Borrower Covered by CGTMSE previously</t>
  </si>
  <si>
    <t>None      Borrower ID    CGPAN           View</t>
  </si>
  <si>
    <t> Balance Amount available for Guarantee</t>
  </si>
  <si>
    <t> ITPAN of Firm</t>
  </si>
  <si>
    <t> SSI 
Registration Number</t>
  </si>
  <si>
    <t>Whether the Unit is engaged in 
Training and Constitution is SHG/JLG:</t>
  </si>
  <si>
    <t>Projected 
Optimum Exports</t>
  </si>
  <si>
    <t>Promoter Details</t>
  </si>
  <si>
    <t>Chief Promoter's Information</t>
  </si>
  <si>
    <t>Middle Name</t>
  </si>
  <si>
    <t>Mr</t>
  </si>
  <si>
    <t>Name of Conducting Official</t>
  </si>
  <si>
    <t> ITPAN of 
Chief Promoter</t>
  </si>
  <si>
    <t>Whether the Chief Promoter belongs 
to Minority Community:</t>
  </si>
  <si>
    <t>Date of Birth</t>
  </si>
  <si>
    <t>Social Category</t>
  </si>
  <si>
    <t> Udyog Aadhar Number</t>
  </si>
  <si>
    <t>Other Partners / Promoter Directors</t>
  </si>
  <si>
    <t xml:space="preserve">1. Name </t>
  </si>
  <si>
    <t xml:space="preserve">2. Name </t>
  </si>
  <si>
    <t xml:space="preserve">3. Name </t>
  </si>
  <si>
    <t>Project Details- Outlay</t>
  </si>
  <si>
    <t>Whether Unit assisted is a new unit:</t>
  </si>
  <si>
    <t>Whether the Unit Assisted is Women 
Operated and/or Women Owned:</t>
  </si>
  <si>
    <t>Whether the credit facility is 
covered under NCGTC Mudra Guarantee Programme:</t>
  </si>
  <si>
    <t>Whether the Unit Assisted is an MSE as 
per the MSMED Act 2006 definition of MSE:</t>
  </si>
  <si>
    <t>Whether the Unit Assisted is a Micro 
Enterprise as per the MSMED Act 2006:</t>
  </si>
  <si>
    <t> Guarantee Cover To Credit Facilities 
Backed Solely By Personal Guarantee</t>
  </si>
  <si>
    <t>*  The scheme envisages creation of Primary Security out of the loan / credit provided to the borrower.</t>
  </si>
  <si>
    <t>*  Collateral security is any other security offered for 
the said loan. For example, hypothecation of jewellery, mortgage of house, etc.</t>
  </si>
  <si>
    <t># When the borrower furnishes the guarantee of 
any other person / corporate not connected with
 the project, it is considered as Third Party Guarantee.</t>
  </si>
  <si>
    <t>Joint Finance</t>
  </si>
  <si>
    <t> Joint Cgpan (Existing Cgpan of this borrower) </t>
  </si>
  <si>
    <t>Handicrafts</t>
  </si>
  <si>
    <t> I Card Number:</t>
  </si>
  <si>
    <t>Handlooms</t>
  </si>
  <si>
    <t>  Means Of Finance</t>
  </si>
  <si>
    <t>Working Capital Limit Sanctioned</t>
  </si>
  <si>
    <t>Fund Based</t>
  </si>
  <si>
    <t>Non Fund Based</t>
  </si>
  <si>
    <t>Whether provided 
as margin money under Term Loan</t>
  </si>
  <si>
    <t>Promoters Contribution</t>
  </si>
  <si>
    <t>  Promoters Contribution</t>
  </si>
  <si>
    <t>(in Rs.)</t>
  </si>
  <si>
    <t>  Subsidy / Equity Support</t>
  </si>
  <si>
    <t>  Project Cost</t>
  </si>
  <si>
    <t>  Working Capital Assessed</t>
  </si>
  <si>
    <t>Project Outlay</t>
  </si>
  <si>
    <t>  Market value of collateral security as accepted 
by competent authority at the time of sanction:</t>
  </si>
  <si>
    <t>FacilityDetails</t>
  </si>
  <si>
    <t>  Term Credit Details</t>
  </si>
  <si>
    <t>  Amount Sanctioned</t>
  </si>
  <si>
    <t>  Amount Disbursed</t>
  </si>
  <si>
    <t>  Date of first disbursement if already made</t>
  </si>
  <si>
    <t>  Date of last and final disbursement if already made</t>
  </si>
  <si>
    <t>Credit bureau name2</t>
  </si>
  <si>
    <t>Credit bureau Score of Promoter2</t>
  </si>
  <si>
    <t>Credit bureau name3</t>
  </si>
  <si>
    <t>Credit bureau Score of Promoter3</t>
  </si>
  <si>
    <t>Credit bureau name4</t>
  </si>
  <si>
    <t>Credit bureau Score of Promoter4</t>
  </si>
  <si>
    <t>Credit bureau name5</t>
  </si>
  <si>
    <t>Credit bureau Score of Promoter5</t>
  </si>
  <si>
    <t>contribution of all equity holders to be taken into account)</t>
  </si>
  <si>
    <t>(in Rs. Lacs)</t>
  </si>
  <si>
    <t>Existing Units       Greenfield Units</t>
  </si>
  <si>
    <t>Current Ratio(WC Accounts)</t>
  </si>
  <si>
    <t>  Interest Type</t>
  </si>
  <si>
    <t>Repayment Schedule</t>
  </si>
  <si>
    <t>Moratorium</t>
  </si>
  <si>
    <t xml:space="preserve"> First Instalment Due Date </t>
  </si>
  <si>
    <t xml:space="preserve">Periodicity </t>
  </si>
  <si>
    <t>  Outstanding Amount</t>
  </si>
  <si>
    <t>Location</t>
  </si>
  <si>
    <t>Percentage to be restricted</t>
  </si>
  <si>
    <t>Other Segment checks</t>
  </si>
  <si>
    <t>Date of credit assessment (to check business vintage)       (MM/DD/YYYY)</t>
  </si>
  <si>
    <t>Bureau Score of individuals whose details are captured in the LOS</t>
  </si>
  <si>
    <t xml:space="preserve">No CIBIL Score, for ALL individuals </t>
  </si>
  <si>
    <t>Segment 1</t>
  </si>
  <si>
    <t>Manufacturers, Turnover greater than INR 20 Cr, and Business vintage less than 7 years</t>
  </si>
  <si>
    <t>Segment 2</t>
  </si>
  <si>
    <t>Service Providers, Turnover / Gross Receipts greater than INR 20 Cr, &amp; Business vintage less than 10 years</t>
  </si>
  <si>
    <t>Segment 3</t>
  </si>
  <si>
    <t>Entities with Turnover less than 2 Cr and Business vintage of less than 7 Years (For both manufacturing and service enterprise)</t>
  </si>
  <si>
    <t>Segment 4</t>
  </si>
  <si>
    <t>No CIBIL Score, for all individuals (Incase any one of the individual applicants has a CIBIL score, then it is fine)</t>
  </si>
  <si>
    <t>Segment 5</t>
  </si>
  <si>
    <t xml:space="preserve">Entities with DBR of more than 45%, Business vintage of less than 10 Years and Average Bureau Score of individuals whose details are captured in the LOS &lt; 675 </t>
  </si>
  <si>
    <t>Segment 6</t>
  </si>
  <si>
    <t>Manufactures, with Turnover greater than INR 30 Cr and DBR of more than 45% (to be processed only basis RSM recommendation and needs to be underwritten by RCH)</t>
  </si>
  <si>
    <t>Mitigants, if any to above, if the case is still approved</t>
  </si>
  <si>
    <t>Business Profile</t>
  </si>
  <si>
    <t>NC Reference ID</t>
  </si>
  <si>
    <t>Case Name</t>
  </si>
  <si>
    <t>Name as per PAN document</t>
  </si>
  <si>
    <t>Name as per NSDL database</t>
  </si>
  <si>
    <t>PAN</t>
  </si>
  <si>
    <t>GSTIN</t>
  </si>
  <si>
    <t>Date of Incorporation</t>
  </si>
  <si>
    <t>Vintage</t>
  </si>
  <si>
    <t>CIN</t>
  </si>
  <si>
    <t>Authorised Capital</t>
  </si>
  <si>
    <t>Parent / Group Company</t>
  </si>
  <si>
    <t>Holding Company</t>
  </si>
  <si>
    <t>Business Details</t>
  </si>
  <si>
    <t>Website</t>
  </si>
  <si>
    <t>Google Search</t>
  </si>
  <si>
    <t>Source</t>
  </si>
  <si>
    <t>Address</t>
  </si>
  <si>
    <t>Credit Rating</t>
  </si>
  <si>
    <t>Agency</t>
  </si>
  <si>
    <t>Report Date:</t>
  </si>
  <si>
    <t>Credit Rating Long term:</t>
  </si>
  <si>
    <t>Credit Rating Short term:</t>
  </si>
  <si>
    <t>Rating Rationale</t>
  </si>
  <si>
    <t>CA Firms</t>
  </si>
  <si>
    <t>Name as per document</t>
  </si>
  <si>
    <t>Firm ID</t>
  </si>
  <si>
    <t>Firm Name</t>
  </si>
  <si>
    <t>Regd Location</t>
  </si>
  <si>
    <t>Other Locations</t>
  </si>
  <si>
    <t>ID</t>
  </si>
  <si>
    <t>Members Name</t>
  </si>
  <si>
    <t>Court</t>
  </si>
  <si>
    <t>Company Profile</t>
  </si>
  <si>
    <t xml:space="preserve">CIN </t>
  </si>
  <si>
    <t>Company Name</t>
  </si>
  <si>
    <t>ROC Code</t>
  </si>
  <si>
    <t>Registration Number</t>
  </si>
  <si>
    <t>Company Category</t>
  </si>
  <si>
    <t>Company SubCategory</t>
  </si>
  <si>
    <t xml:space="preserve">Class of Company </t>
  </si>
  <si>
    <t>Authorised Capital (Rs)</t>
  </si>
  <si>
    <t>Paid up Capital (Rs)</t>
  </si>
  <si>
    <t>Number of Members(If Co. w/o Share Capital)</t>
  </si>
  <si>
    <t>Vintage:</t>
  </si>
  <si>
    <t xml:space="preserve">Registered Address </t>
  </si>
  <si>
    <t>Address other than R/o where all or any books of account and papers are maintained</t>
  </si>
  <si>
    <t>Email Id</t>
  </si>
  <si>
    <t>Whether Listed or not</t>
  </si>
  <si>
    <t>ACTIVE compliance</t>
  </si>
  <si>
    <t>Suspended at stock exchange</t>
  </si>
  <si>
    <t>Date of last AGM</t>
  </si>
  <si>
    <t>Date of Balance Sheet</t>
  </si>
  <si>
    <t>Company Status(for efiling)</t>
  </si>
  <si>
    <t>Loan Details</t>
  </si>
  <si>
    <t>Active Loans</t>
  </si>
  <si>
    <t>Closed Loans</t>
  </si>
  <si>
    <t>Charges Registered</t>
  </si>
  <si>
    <t>SRN</t>
  </si>
  <si>
    <t>Charge Id</t>
  </si>
  <si>
    <t>Charge Holder Name</t>
  </si>
  <si>
    <t>Date of Creation</t>
  </si>
  <si>
    <t>Date of Modification</t>
  </si>
  <si>
    <t>Date of Satisfaction</t>
  </si>
  <si>
    <t>Amount</t>
  </si>
  <si>
    <t>Signatory / Director Details</t>
  </si>
  <si>
    <t>DIN</t>
  </si>
  <si>
    <t>Position</t>
  </si>
  <si>
    <t>Registration Date</t>
  </si>
  <si>
    <t>DSC Registered</t>
  </si>
  <si>
    <t>Expiry Date</t>
  </si>
  <si>
    <t>Individual Verification</t>
  </si>
  <si>
    <t>No. of Individuals</t>
  </si>
  <si>
    <t>Individual Name</t>
  </si>
  <si>
    <t>UIN/DIN</t>
  </si>
  <si>
    <t>DL</t>
  </si>
  <si>
    <t>Voter ID</t>
  </si>
  <si>
    <t>Document</t>
  </si>
  <si>
    <t>Name as per Document</t>
  </si>
  <si>
    <t>ID No.</t>
  </si>
  <si>
    <t>Name as per Database</t>
  </si>
  <si>
    <t>DOB / Age</t>
  </si>
  <si>
    <t>Issued Date</t>
  </si>
  <si>
    <t>Establishment Details</t>
  </si>
  <si>
    <t>Establishment Code :</t>
  </si>
  <si>
    <t>Section Applicable :</t>
  </si>
  <si>
    <t>Primary Business Activity :</t>
  </si>
  <si>
    <t>ESIC CODE :</t>
  </si>
  <si>
    <t>Ownership Type :</t>
  </si>
  <si>
    <t>Date Of Setup Of Establishment :</t>
  </si>
  <si>
    <t>Address :</t>
  </si>
  <si>
    <t>EPFO Office Name :</t>
  </si>
  <si>
    <t>Zone :</t>
  </si>
  <si>
    <t>Region :</t>
  </si>
  <si>
    <t>Exemption Status</t>
  </si>
  <si>
    <t>Working Status</t>
  </si>
  <si>
    <t>Coverage Section</t>
  </si>
  <si>
    <t>Actionable Status</t>
  </si>
  <si>
    <t>Date of Coverage</t>
  </si>
  <si>
    <t>Payment Table</t>
  </si>
  <si>
    <t>Date Of Credit</t>
  </si>
  <si>
    <t>Amount (Rs)</t>
  </si>
  <si>
    <t>Wage Month</t>
  </si>
  <si>
    <t>ECR</t>
  </si>
  <si>
    <t>Establishment Code</t>
  </si>
  <si>
    <t>IP Count</t>
  </si>
  <si>
    <t>Sales / Turnover (Exports + Domestic Sales)</t>
  </si>
  <si>
    <t>Amount of Export Sales of above</t>
  </si>
  <si>
    <t>Acetic Acid</t>
  </si>
  <si>
    <t>Actual GP( Financial)</t>
  </si>
  <si>
    <t>Amount of Domestic Sales of above</t>
  </si>
  <si>
    <t>Alcohol, Spirits, Liquor</t>
  </si>
  <si>
    <t>Industry segment considered</t>
  </si>
  <si>
    <t>Margin considered</t>
  </si>
  <si>
    <t>Exception Income (not to be considered in income)</t>
  </si>
  <si>
    <t>Aluminium</t>
  </si>
  <si>
    <t>Other Income</t>
  </si>
  <si>
    <t>Aluminium containers and foils</t>
  </si>
  <si>
    <t>Animal Products</t>
  </si>
  <si>
    <t>Refunds / Commissions (+)/ Discounts (-)</t>
  </si>
  <si>
    <t>Employee Salary</t>
  </si>
  <si>
    <t>Animal,Bird, poultry  &amp; cattle feed</t>
  </si>
  <si>
    <t>Articles of iron and steel</t>
  </si>
  <si>
    <t>Asbestos cement products</t>
  </si>
  <si>
    <t>Permissible DBR as per policy</t>
  </si>
  <si>
    <t>Asphalt, bitumen, coal, tar or pitch</t>
  </si>
  <si>
    <r>
      <t xml:space="preserve">For </t>
    </r>
    <r>
      <rPr>
        <b/>
        <sz val="14"/>
        <rFont val="Arial"/>
        <family val="2"/>
      </rPr>
      <t>Service Enterprise</t>
    </r>
    <r>
      <rPr>
        <sz val="14"/>
        <rFont val="Arial"/>
        <family val="2"/>
      </rPr>
      <t xml:space="preserve">, </t>
    </r>
    <r>
      <rPr>
        <sz val="14"/>
        <color rgb="FFFF0000"/>
        <rFont val="Arial"/>
        <family val="2"/>
      </rPr>
      <t>GP% will be computed after subtracting employee salary</t>
    </r>
    <r>
      <rPr>
        <sz val="14"/>
        <rFont val="Arial"/>
        <family val="2"/>
      </rPr>
      <t>. In such case, Maximum GP will be restricted to 15% wherever industry is not defined as per Margin List</t>
    </r>
  </si>
  <si>
    <t>Audio and Video cassettes</t>
  </si>
  <si>
    <t>Bakery products</t>
  </si>
  <si>
    <t>Ball and roller bearings</t>
  </si>
  <si>
    <t>Bars and Rods of Iron and Steel</t>
  </si>
  <si>
    <t>Bicycles and Bicycle accessories</t>
  </si>
  <si>
    <t>Bottles</t>
  </si>
  <si>
    <t>Cables and other conductors</t>
  </si>
  <si>
    <t>Capacitors</t>
  </si>
  <si>
    <t>Carpets and Coir mats</t>
  </si>
  <si>
    <t>Cartons, boxes and cases</t>
  </si>
  <si>
    <t>Cast Iron castings</t>
  </si>
  <si>
    <t>Caustic Soda</t>
  </si>
  <si>
    <t>Cellulose &amp; its chemical derivatives &amp; adhesive tapes</t>
  </si>
  <si>
    <t>Cement and cement products</t>
  </si>
  <si>
    <t>Ceramic products</t>
  </si>
  <si>
    <t>Chains and anchors of iron and steel</t>
  </si>
  <si>
    <t>Clocks and Watches</t>
  </si>
  <si>
    <t>Commercial vehicles - LMV and HMV</t>
  </si>
  <si>
    <t>Confectionery</t>
  </si>
  <si>
    <t>Product Type</t>
  </si>
  <si>
    <t>Loan Against Residential Property</t>
  </si>
  <si>
    <t>Loan Against Commercial Property</t>
  </si>
  <si>
    <t>Loan for Commercial Property Purchase</t>
  </si>
  <si>
    <t>Working Capital</t>
  </si>
  <si>
    <t>Unsecured Business Loan</t>
  </si>
  <si>
    <t>Proprietorship</t>
  </si>
  <si>
    <t>Partnership</t>
  </si>
  <si>
    <t>Limited Liablity Partnership</t>
  </si>
  <si>
    <t>Public Ltd Co</t>
  </si>
  <si>
    <t>Trust</t>
  </si>
  <si>
    <t>Society</t>
  </si>
  <si>
    <t>Private Ltd Co</t>
  </si>
  <si>
    <t>Application Received Date:</t>
  </si>
  <si>
    <t>Report type</t>
  </si>
  <si>
    <t>Auditor Name</t>
  </si>
  <si>
    <t>Industry:</t>
  </si>
  <si>
    <t>Co-Applicant 4</t>
  </si>
  <si>
    <t>Co-Applicant 5</t>
  </si>
  <si>
    <t>DOB/DOI</t>
  </si>
  <si>
    <t>No of Loan Accounts</t>
  </si>
  <si>
    <t>No of Active Loans</t>
  </si>
  <si>
    <t>Wilful Defaulter\Suit Filed</t>
  </si>
  <si>
    <t>SMA\SUB\DBT\LSS accounts</t>
  </si>
  <si>
    <t>No of Enquiries - No of Loans Sanctioned in Last 30 Days</t>
  </si>
  <si>
    <t>No of Enquiries - No of Loans Sanctioned in Last 3 Months</t>
  </si>
  <si>
    <t>No of Enquiries - No of Loans Sanctioned in Last 6 Months</t>
  </si>
  <si>
    <t>No of Enquiries - No of Loans Sanctioned in Last 12 Months</t>
  </si>
  <si>
    <t>No of Enquiries - No of Loans Sanctioned in Last 24 Months</t>
  </si>
  <si>
    <t>Repayment-Track</t>
  </si>
  <si>
    <t>Loan Type - Ownership</t>
  </si>
  <si>
    <t>Financier/Source</t>
  </si>
  <si>
    <t>Loan Credit/ Sanction Amt</t>
  </si>
  <si>
    <t>Loan Debit</t>
  </si>
  <si>
    <t>EMI</t>
  </si>
  <si>
    <t>Start on</t>
  </si>
  <si>
    <t>Outstanding Bal</t>
  </si>
  <si>
    <t>Tenor Left</t>
  </si>
  <si>
    <t>EMI Obligation</t>
  </si>
  <si>
    <t>Bank Name (EMI running)</t>
  </si>
  <si>
    <t>Last 12 Months</t>
  </si>
  <si>
    <t>Remarks (Bounces/ DPD etc)</t>
  </si>
  <si>
    <t>EMI Paid</t>
  </si>
  <si>
    <t>EMI Bounce</t>
  </si>
  <si>
    <t>EMI Amt Paid</t>
  </si>
  <si>
    <t>Avg Previous Day Balance</t>
  </si>
  <si>
    <t>Previous Day Balance</t>
  </si>
  <si>
    <t>Previous Bal</t>
  </si>
  <si>
    <t>Banking to turnover % (last 3 month)_ only for topup</t>
  </si>
  <si>
    <t>Banking to turnover % (GST)</t>
  </si>
  <si>
    <t># of OW Bounces</t>
  </si>
  <si>
    <t>Crime Check</t>
  </si>
  <si>
    <t>Summary:</t>
  </si>
  <si>
    <t>Risk Indicator:</t>
  </si>
  <si>
    <t>Risk Interpretation:</t>
  </si>
  <si>
    <t>Verified on:</t>
  </si>
  <si>
    <t>Case Summary</t>
  </si>
  <si>
    <t>Case No</t>
  </si>
  <si>
    <t>Case Against</t>
  </si>
  <si>
    <t>Case Type</t>
  </si>
  <si>
    <t>Matching Criteria</t>
  </si>
  <si>
    <t>Act and
Section</t>
  </si>
  <si>
    <t>Risk Score</t>
  </si>
  <si>
    <t>Petitioner</t>
  </si>
  <si>
    <t>Respondent</t>
  </si>
  <si>
    <t>Risk/Judgement/Order
Summary</t>
  </si>
  <si>
    <t>Order
Link</t>
  </si>
  <si>
    <t>Gearing (excluding Debtors &gt; 180 days adjustment)</t>
  </si>
  <si>
    <t>Leveraging (excluding Debtors &gt; 180 days adjustment)</t>
  </si>
  <si>
    <t>Solvency Ratio</t>
  </si>
  <si>
    <t>Type of facility - Under Customer Lines …. Loan Amount capped at</t>
  </si>
  <si>
    <t>Tenor (pls specify months / days, as applicable)</t>
  </si>
  <si>
    <t>Sub-limit of</t>
  </si>
  <si>
    <t>Cash Credit (CC)</t>
  </si>
  <si>
    <t>Overdraft (OD)</t>
  </si>
  <si>
    <t>Letters of Credit (LC)</t>
  </si>
  <si>
    <t>Bank guarantee (BG)</t>
  </si>
  <si>
    <t>Standby Letter of Credit (SBLC)</t>
  </si>
  <si>
    <t xml:space="preserve">Pre Shipment / Packing Credit (PEA/PCFC) </t>
  </si>
  <si>
    <t>Post Shipment / Bill Discounting (EBP)</t>
  </si>
  <si>
    <t>Any Other facility</t>
  </si>
  <si>
    <t>Total Exposure</t>
  </si>
  <si>
    <r>
      <t xml:space="preserve">Primary Security </t>
    </r>
    <r>
      <rPr>
        <sz val="12"/>
        <color rgb="FFFF0000"/>
        <rFont val="Arial"/>
        <family val="2"/>
      </rPr>
      <t>(not for OD)</t>
    </r>
  </si>
  <si>
    <t>Current Assets and Plant and Machinery</t>
  </si>
  <si>
    <t>Purpose of Facility</t>
  </si>
  <si>
    <t>Working capital Finance</t>
  </si>
  <si>
    <t>(Details in case of others)</t>
  </si>
  <si>
    <t>Type of application</t>
  </si>
  <si>
    <t>Branch of Execution</t>
  </si>
  <si>
    <t>Account No.</t>
  </si>
  <si>
    <t>Existing Customer</t>
  </si>
  <si>
    <t>Relationship since</t>
  </si>
  <si>
    <t>IDMS ID</t>
  </si>
  <si>
    <t>Office Landline No</t>
  </si>
  <si>
    <t>Office Fax No</t>
  </si>
  <si>
    <t>Primary Contact Person</t>
  </si>
  <si>
    <t>Whether Non Profit Organisation</t>
  </si>
  <si>
    <t xml:space="preserve">Email ID </t>
  </si>
  <si>
    <t>Application Serial Number</t>
  </si>
  <si>
    <t>Current Prime Bankers (including CA)</t>
  </si>
  <si>
    <t>Existing Customer Working Capital Facility Since</t>
  </si>
  <si>
    <t>Name of other bank name and address (in case of multiple banking) where WC facility allowed with DB facility</t>
  </si>
  <si>
    <t>Facility Amount (OD / CC / TL / LC / BG…. )</t>
  </si>
  <si>
    <t>Name of the bank from where BT is happening</t>
  </si>
  <si>
    <t>Whether Balance Transfer of facility</t>
  </si>
  <si>
    <t>Whether Balance Transfer of Collateral</t>
  </si>
  <si>
    <t>Ownership Details of company ( where applicable)</t>
  </si>
  <si>
    <t>Net Worth
(in lacs)</t>
  </si>
  <si>
    <r>
      <t xml:space="preserve">Residential Address 
</t>
    </r>
    <r>
      <rPr>
        <b/>
        <i/>
        <sz val="12"/>
        <rFont val="Arial"/>
        <family val="2"/>
      </rPr>
      <t>(with Pin Code)</t>
    </r>
  </si>
  <si>
    <t>Residence Contact No</t>
  </si>
  <si>
    <t>Nationality</t>
  </si>
  <si>
    <t>Avg Score</t>
  </si>
  <si>
    <t>In case of sub-limit, pls mention sub limit of which facility is this</t>
  </si>
  <si>
    <r>
      <t>Collateral Details (</t>
    </r>
    <r>
      <rPr>
        <b/>
        <sz val="12"/>
        <color rgb="FFFF0000"/>
        <rFont val="Arial"/>
        <family val="2"/>
      </rPr>
      <t>Pls update the LTV as is given to the customer rather than LTV norm</t>
    </r>
    <r>
      <rPr>
        <b/>
        <sz val="12"/>
        <rFont val="Arial"/>
        <family val="2"/>
      </rPr>
      <t>)</t>
    </r>
  </si>
  <si>
    <t>Advance Ratio / LTV</t>
  </si>
  <si>
    <t>Residential Property</t>
  </si>
  <si>
    <t>Plot/ Block/ Sec.No field in property address to be added</t>
  </si>
  <si>
    <t>Fixed Deposit as security</t>
  </si>
  <si>
    <t>Fixed Deposit held with Deutsche Bank AG</t>
  </si>
  <si>
    <t>Fixed Deposit as cash margin</t>
  </si>
  <si>
    <t>Property 1</t>
  </si>
  <si>
    <t>FMP</t>
  </si>
  <si>
    <t>Pledge of approved FMP acceptable to Deutsche Bank AG</t>
  </si>
  <si>
    <t>Property 2</t>
  </si>
  <si>
    <t>Equity Mutual Funds</t>
  </si>
  <si>
    <t>Pledge of approved Mutual Funds acceptable to Deutsche Bank AG</t>
  </si>
  <si>
    <t>Property 3</t>
  </si>
  <si>
    <t>Industrial Property</t>
  </si>
  <si>
    <t>Acceptable property as per Deutsche Bank  norms</t>
  </si>
  <si>
    <t>Property 4</t>
  </si>
  <si>
    <t>Residential Plot</t>
  </si>
  <si>
    <t>Property 5</t>
  </si>
  <si>
    <t>Warehouse</t>
  </si>
  <si>
    <t>Debt Mutual Funds</t>
  </si>
  <si>
    <t>Gross Lendable Value (basis all the collaterals and applying respective LTVs)</t>
  </si>
  <si>
    <t>Insurance Policy</t>
  </si>
  <si>
    <t>Absolute Assignment of life insurance policy in favour of Deutsche Bank AG</t>
  </si>
  <si>
    <t>Existing Exposure (against these collaterals offered)</t>
  </si>
  <si>
    <t>SBLC</t>
  </si>
  <si>
    <t>SBLC from approved Financial Institution</t>
  </si>
  <si>
    <t>Net Lendable Value (incremental loan which can be offered basis the above collaterals)</t>
  </si>
  <si>
    <t>Bonds</t>
  </si>
  <si>
    <t>Pledge of approved Bonds acceptable to Deutsche Bank AG</t>
  </si>
  <si>
    <r>
      <t xml:space="preserve">In case collateral is property (Valuation details to be filled by CRM) </t>
    </r>
    <r>
      <rPr>
        <b/>
        <sz val="12"/>
        <color rgb="FFFF0000"/>
        <rFont val="Arial"/>
        <family val="2"/>
      </rPr>
      <t>(Plot/ Block/ Sec.No field in property address to be added explicitly in property address - RM to fill)</t>
    </r>
  </si>
  <si>
    <t>Acceptable residential property as per Deutsche Bank  norms</t>
  </si>
  <si>
    <r>
      <t>Property 1 - Address</t>
    </r>
    <r>
      <rPr>
        <b/>
        <sz val="12"/>
        <color rgb="FFFF0000"/>
        <rFont val="Arial"/>
        <family val="2"/>
      </rPr>
      <t xml:space="preserve"> (including Pin Code)</t>
    </r>
  </si>
  <si>
    <t>Type of Property 1</t>
  </si>
  <si>
    <t>Commercial Property</t>
  </si>
  <si>
    <t>Acceptable commercial property as per Deutsche Bank  norms</t>
  </si>
  <si>
    <t>Name of Valuer 1 _P1</t>
  </si>
  <si>
    <t>Valuation Ref No_P1</t>
  </si>
  <si>
    <t>Market Value_P1</t>
  </si>
  <si>
    <t>Corporate Guarantee</t>
  </si>
  <si>
    <t>Corporate Guarantee from Parent Company</t>
  </si>
  <si>
    <t>Date of Valuation_P1</t>
  </si>
  <si>
    <t>Area of property_P1</t>
  </si>
  <si>
    <t>MLV_P1</t>
  </si>
  <si>
    <t>Name of Valuer 2_P1</t>
  </si>
  <si>
    <t>Property Owners</t>
  </si>
  <si>
    <t>Constitution of property owners</t>
  </si>
  <si>
    <t>Nationality of property owners</t>
  </si>
  <si>
    <t>Property Usage_P1</t>
  </si>
  <si>
    <t>Address of Property Owners</t>
  </si>
  <si>
    <t>Specify relationship with Borrower</t>
  </si>
  <si>
    <t>Actual LTV provided on Property 1 based on  MV and MLV</t>
  </si>
  <si>
    <t>(a) Market Value</t>
  </si>
  <si>
    <t>(b) MLV</t>
  </si>
  <si>
    <t>Pls input the actual LTVs - mandatory field</t>
  </si>
  <si>
    <r>
      <t xml:space="preserve">Property 2 - Address </t>
    </r>
    <r>
      <rPr>
        <b/>
        <sz val="12"/>
        <color rgb="FFFF0000"/>
        <rFont val="Arial"/>
        <family val="2"/>
      </rPr>
      <t>(including Pin Code)</t>
    </r>
  </si>
  <si>
    <t>Type of Property P2</t>
  </si>
  <si>
    <t>Name of Valuer 1 _P2</t>
  </si>
  <si>
    <t>Valuation Ref No_P2</t>
  </si>
  <si>
    <t>Market Value_P2</t>
  </si>
  <si>
    <t>Date of Valuation_P2</t>
  </si>
  <si>
    <t>Area of property_P2</t>
  </si>
  <si>
    <t>MLV_P2</t>
  </si>
  <si>
    <t>Name of Valuer 2_P2</t>
  </si>
  <si>
    <t>Property Usage_P2</t>
  </si>
  <si>
    <t>Actual LTV provided on Property 2 based on MV and MLV</t>
  </si>
  <si>
    <r>
      <t xml:space="preserve">Property 3 - Address </t>
    </r>
    <r>
      <rPr>
        <b/>
        <sz val="12"/>
        <color rgb="FFFF0000"/>
        <rFont val="Arial"/>
        <family val="2"/>
      </rPr>
      <t>(including Pin Code)</t>
    </r>
  </si>
  <si>
    <t>Type of Property P3</t>
  </si>
  <si>
    <t>Name of Valuer 1 _P3</t>
  </si>
  <si>
    <t>Valuation Ref No_P3</t>
  </si>
  <si>
    <t>Market Value_P3</t>
  </si>
  <si>
    <t>Date of Valuation_P3</t>
  </si>
  <si>
    <t>Area of property_P3</t>
  </si>
  <si>
    <t>MLV_P3</t>
  </si>
  <si>
    <t>Name of Valuer 2_P3</t>
  </si>
  <si>
    <t>Property Usage_P3</t>
  </si>
  <si>
    <t>Actual LTV provided on Property 3 based on MV and MLV</t>
  </si>
  <si>
    <t>Property 4 - Address (including Pin Code)</t>
  </si>
  <si>
    <t>Type of Property P4</t>
  </si>
  <si>
    <t>Name of Valuer 1 _P4</t>
  </si>
  <si>
    <t>Valuation Ref No_P4</t>
  </si>
  <si>
    <t>Market Value_P4</t>
  </si>
  <si>
    <t>Date of Valuation_P4</t>
  </si>
  <si>
    <t>Area of property_P4</t>
  </si>
  <si>
    <t>MLV_P4</t>
  </si>
  <si>
    <t>Name of Valuer 2_P4</t>
  </si>
  <si>
    <t>Property Usage_P4</t>
  </si>
  <si>
    <t>Actual LTV provided on Property 4 based on MV and MLV</t>
  </si>
  <si>
    <t>Property 5 - Address (including Pin Code)</t>
  </si>
  <si>
    <t>Type of Property P5</t>
  </si>
  <si>
    <t>Name of Valuer 1 _P5</t>
  </si>
  <si>
    <t>Valuation Ref No_P5</t>
  </si>
  <si>
    <t>Market Value_P5</t>
  </si>
  <si>
    <t>Date of Valuation_P5</t>
  </si>
  <si>
    <t>Area of property_P5</t>
  </si>
  <si>
    <t>MLV_P5</t>
  </si>
  <si>
    <t>Name of Valuer 2_P5</t>
  </si>
  <si>
    <t>Property Usage_P5</t>
  </si>
  <si>
    <t>Actual LTV provided on Property 5 based on MV and MLV</t>
  </si>
  <si>
    <t>Borrower Name (Loan 5)</t>
  </si>
  <si>
    <r>
      <t xml:space="preserve">Collateral Provider Details (other than property backed cases) - </t>
    </r>
    <r>
      <rPr>
        <b/>
        <sz val="12"/>
        <color rgb="FFFF0000"/>
        <rFont val="Arial"/>
        <family val="2"/>
      </rPr>
      <t>in case of multiple collateral providers - pls share the information at collateral level explicitly</t>
    </r>
  </si>
  <si>
    <t>Even for SBLC / CG backed cases, data to be input over here</t>
  </si>
  <si>
    <t>Collateral Owner / SBLC Provider / CG provider / LIP holder … etc</t>
  </si>
  <si>
    <t>Relationship between  collateral provider &amp; borrower</t>
  </si>
  <si>
    <t>Date of Birth / Date of incorporation</t>
  </si>
  <si>
    <t>Telephone No.</t>
  </si>
  <si>
    <t>Pan No.</t>
  </si>
  <si>
    <t>Residence Address</t>
  </si>
  <si>
    <t>Recommendations</t>
  </si>
  <si>
    <t xml:space="preserve">Name of RM / HBB </t>
  </si>
  <si>
    <t>RM Code (as used in LOS)</t>
  </si>
  <si>
    <t>Only 1 of the codes has to be filled</t>
  </si>
  <si>
    <t>Name of Referral</t>
  </si>
  <si>
    <t>Referral Code</t>
  </si>
  <si>
    <t>Name of HBB</t>
  </si>
  <si>
    <t>Name of AM</t>
  </si>
  <si>
    <t>Working Capital requirement</t>
  </si>
  <si>
    <t>Export Credit Eligibility</t>
  </si>
  <si>
    <t>Direct Expense</t>
  </si>
  <si>
    <t>Truecaller Check</t>
  </si>
  <si>
    <t>Contact Number</t>
  </si>
  <si>
    <t>Name as per application</t>
  </si>
  <si>
    <t>Name as per Truecaller</t>
  </si>
  <si>
    <t>Legal Entity Identifier</t>
  </si>
  <si>
    <t>Country/Region</t>
  </si>
  <si>
    <t>Business Registry Code</t>
  </si>
  <si>
    <t>Registry's Identifier</t>
  </si>
  <si>
    <t>Jurisdiction Ctry/Region</t>
  </si>
  <si>
    <t>Legal Form</t>
  </si>
  <si>
    <t>Entity Status</t>
  </si>
  <si>
    <t>Registration Status</t>
  </si>
  <si>
    <t>Last Updated</t>
  </si>
  <si>
    <t>Successor Entity</t>
  </si>
  <si>
    <t>Not Available</t>
  </si>
  <si>
    <t>Title</t>
  </si>
  <si>
    <t>Link</t>
  </si>
  <si>
    <t>No of Emplyess</t>
  </si>
  <si>
    <t/>
  </si>
  <si>
    <t>Axis Bank</t>
  </si>
  <si>
    <t>Type</t>
  </si>
  <si>
    <t>Note</t>
  </si>
  <si>
    <t>Group company transactions</t>
  </si>
  <si>
    <t>Contingent liability</t>
  </si>
  <si>
    <t xml:space="preserve"> Revaluation reserve </t>
  </si>
  <si>
    <t>Sticky debtors and creditors.</t>
  </si>
  <si>
    <t>Associated Comapanies</t>
  </si>
  <si>
    <t>Relation</t>
  </si>
  <si>
    <t>Account Name</t>
  </si>
  <si>
    <t>Product</t>
  </si>
  <si>
    <t>Proposed Loan Amount</t>
  </si>
  <si>
    <t>Details</t>
  </si>
  <si>
    <t>Observation</t>
  </si>
  <si>
    <t>Confirm the sector in which the client conducts his business? For Salaried profile, please mention "Salaried"</t>
  </si>
  <si>
    <t>Does this include takeover of another facility or is it a fresh facility</t>
  </si>
  <si>
    <t>Enterprise Type</t>
  </si>
  <si>
    <t>PSL Status</t>
  </si>
  <si>
    <t>Codes</t>
  </si>
  <si>
    <t>a</t>
  </si>
  <si>
    <t>b</t>
  </si>
  <si>
    <t>Manufacturing Small Enterprise</t>
  </si>
  <si>
    <t>Manufacturing Medium Enterprise</t>
  </si>
  <si>
    <t>Asset Classification</t>
  </si>
  <si>
    <t>Service Small Enterprise</t>
  </si>
  <si>
    <t>Service Medium Enterprise</t>
  </si>
  <si>
    <t>0041</t>
  </si>
  <si>
    <t>c</t>
  </si>
  <si>
    <t>Retail Trade</t>
  </si>
  <si>
    <t>0042</t>
  </si>
  <si>
    <t>d</t>
  </si>
  <si>
    <t>0043</t>
  </si>
  <si>
    <t>Please write remarks below, if any:</t>
  </si>
  <si>
    <t>Manufacturing Large Enterprise</t>
  </si>
  <si>
    <t>Important rules to remember:</t>
  </si>
  <si>
    <t>Applicable only to Manufacturing and Service provider business profiles; Traders do not qualify under MSME Act</t>
  </si>
  <si>
    <t>Service Large Enterprise</t>
  </si>
  <si>
    <t>End usage of funds has to be towards business purpose only</t>
  </si>
  <si>
    <t>In case post a Home Loan, a LAP is booked on the same property, the LAP component taken for the purpose of business can be separately qualified under SME</t>
  </si>
  <si>
    <t>Cells highlighted in black not to be filled</t>
  </si>
  <si>
    <t>Manufacture</t>
  </si>
  <si>
    <t>Service</t>
  </si>
  <si>
    <t>Please make different calculators for different accounts</t>
  </si>
  <si>
    <t>______________________________</t>
  </si>
  <si>
    <t>Signature and Underwriter Name:</t>
  </si>
  <si>
    <t>Signature and CPA Name:</t>
  </si>
  <si>
    <t>Advertising - Service</t>
  </si>
  <si>
    <t>Aluminium products - Manufacturing</t>
  </si>
  <si>
    <t>Aluminium products - Trade</t>
  </si>
  <si>
    <t>Amusement centres etc - Service</t>
  </si>
  <si>
    <t>Animal and bird feeds - Trade</t>
  </si>
  <si>
    <t>Animation content provider - Service</t>
  </si>
  <si>
    <t>Apparels (Readymade garment) - Manufacturing</t>
  </si>
  <si>
    <t>Apparels (Readymade garment) - Trade</t>
  </si>
  <si>
    <t>Articles of iron &amp; steel - Manufacturing</t>
  </si>
  <si>
    <t>Articles of iron &amp; steel - Trade</t>
  </si>
  <si>
    <t>Asphalt, bitumen or coal tar pitch products - Manufacturing</t>
  </si>
  <si>
    <t>Automobile ancillaries - Manufacturing</t>
  </si>
  <si>
    <t>Automobile engine parts - Manufacturing</t>
  </si>
  <si>
    <t>Ayurvedic &amp; unani medicaments - Trade</t>
  </si>
  <si>
    <t>Ball or roller bearings - Manufacturing</t>
  </si>
  <si>
    <t>Ball or roller bearings - Trade</t>
  </si>
  <si>
    <t>Beverages &amp; tobacco - Manufacturing</t>
  </si>
  <si>
    <t>Beverages &amp; tobacco - Trade</t>
  </si>
  <si>
    <t>Bottling of LPG - Manufacturing</t>
  </si>
  <si>
    <t>Bottling of LPG - Trade</t>
  </si>
  <si>
    <t>Bus transport &amp; road logistics - Service</t>
  </si>
  <si>
    <t>Cables &amp; other conductors - Trade</t>
  </si>
  <si>
    <t>Call centres - Service</t>
  </si>
  <si>
    <t>Cargo handling - Service</t>
  </si>
  <si>
    <t>Carpets, etc. - Manufacturing</t>
  </si>
  <si>
    <t>Carpets, etc. - Trade</t>
  </si>
  <si>
    <t>Cartons, boxes, cases, etc. - Manufacturing</t>
  </si>
  <si>
    <t>Cellulose adhesive tapes - Manufacturing</t>
  </si>
  <si>
    <t>Ceramic tiles - Manufacturing</t>
  </si>
  <si>
    <t>Coaching classes - Service</t>
  </si>
  <si>
    <t>Communication &amp; broadcasting equipment - Manufacturing</t>
  </si>
  <si>
    <t>Communication &amp; broadcasting equipment - Trade</t>
  </si>
  <si>
    <t>Compressors - Manufacturing</t>
  </si>
  <si>
    <t>Computer courses - Service</t>
  </si>
  <si>
    <t>Computer stationery - Trade</t>
  </si>
  <si>
    <t>Computer systems and peripherals - Trade</t>
  </si>
  <si>
    <t>Contractors for construction of road, bridges, tunnels - Service</t>
  </si>
  <si>
    <t>Control instrumentation &amp; industrial electronics - Trade</t>
  </si>
  <si>
    <t>Copper tubes &amp; pipes - Manufacturing</t>
  </si>
  <si>
    <t>Copper tubes &amp; pipes - Trade</t>
  </si>
  <si>
    <t>Cosmetics &amp; toilet preparations - Manufacturing</t>
  </si>
  <si>
    <t>Cotton yarn - Manufacturing</t>
  </si>
  <si>
    <t>Cotton yarn - Trade</t>
  </si>
  <si>
    <t>Courier services - Service</t>
  </si>
  <si>
    <t>Domestic appliances (Electro-mechanical) - Trade</t>
  </si>
  <si>
    <t>Dyes - Manufacturing</t>
  </si>
  <si>
    <t>Dyes - Trade</t>
  </si>
  <si>
    <t>Electric motors - Manufacturing</t>
  </si>
  <si>
    <t>Electronic components - Manufacturing</t>
  </si>
  <si>
    <t>Event management services - Service</t>
  </si>
  <si>
    <t>Ferro alloys - Manufacturing</t>
  </si>
  <si>
    <t>Ferro alloys - Trade</t>
  </si>
  <si>
    <t>Fertilisers - Trade</t>
  </si>
  <si>
    <t>Financial consultancy &amp; advisory services - Service</t>
  </si>
  <si>
    <t>Food products - Trade</t>
  </si>
  <si>
    <t>Forgings - Manufacturing</t>
  </si>
  <si>
    <t>Gears including crown wheels - Manufacturing</t>
  </si>
  <si>
    <t>Glass &amp; glass wares - Manufacturing</t>
  </si>
  <si>
    <t>Glass &amp; glass wares - Trade</t>
  </si>
  <si>
    <t>Granite - Trade</t>
  </si>
  <si>
    <t>Hotel &amp; restaurant services - Service</t>
  </si>
  <si>
    <t>Hydrogen, rare &amp; other gases - Manufacturing</t>
  </si>
  <si>
    <t>Industrial machinery - Manufacturing</t>
  </si>
  <si>
    <t>Industrial machinery - Trade</t>
  </si>
  <si>
    <t>Industrial paints - Manufacturing</t>
  </si>
  <si>
    <t>Industrial valves - Manufacturing</t>
  </si>
  <si>
    <t>Information technology enabled service/BPO - Service</t>
  </si>
  <si>
    <t>Internet services - Service</t>
  </si>
  <si>
    <t>Investigation &amp; security activities - Service</t>
  </si>
  <si>
    <t>Jewellery of gold - Manufacturing</t>
  </si>
  <si>
    <t>Jewellery of gold - Trade</t>
  </si>
  <si>
    <t>Leather finished - Manufacturing</t>
  </si>
  <si>
    <t>Limestone - Manufacturing</t>
  </si>
  <si>
    <t>Lube oils &amp; lubricants - Manufacturing</t>
  </si>
  <si>
    <t>Machine tools - Manufacturing</t>
  </si>
  <si>
    <t>Management consultancy services - Service</t>
  </si>
  <si>
    <t>Manpower &amp; housekeeping - Service</t>
  </si>
  <si>
    <t>Marble - Trade</t>
  </si>
  <si>
    <t>Medical &amp; health services - Service</t>
  </si>
  <si>
    <t>Medical equipment - Manufacturing</t>
  </si>
  <si>
    <t>Medical equipment - Trade</t>
  </si>
  <si>
    <t>Medical transcription - Service</t>
  </si>
  <si>
    <t>Milk - Manufacturing</t>
  </si>
  <si>
    <t>Mineral waters - Trade</t>
  </si>
  <si>
    <t>Motion picture production, distribution - Service</t>
  </si>
  <si>
    <t>Newspapers, journals &amp; periodicals - Manufacturing</t>
  </si>
  <si>
    <t>Offshore drilling services - Service</t>
  </si>
  <si>
    <t>Organic chemicals - Manufacturing</t>
  </si>
  <si>
    <t>Organic chemicals - Trade</t>
  </si>
  <si>
    <t>Other ceramic products - Manufacturing</t>
  </si>
  <si>
    <t>Other turkey contractor - civil / electrical - Service</t>
  </si>
  <si>
    <t>Pens - Manufacturing</t>
  </si>
  <si>
    <t>Pesticides - Trade</t>
  </si>
  <si>
    <t>Pharmaceutical products - Manufacturing</t>
  </si>
  <si>
    <t>Pharmaceutical products - Trade</t>
  </si>
  <si>
    <t>Pigments - Manufacturing</t>
  </si>
  <si>
    <t>Plantation crops - Manufacturing</t>
  </si>
  <si>
    <t>Plantation crops - Trade</t>
  </si>
  <si>
    <t>Plastic packaging goods - Manufacturing</t>
  </si>
  <si>
    <t>Plastic packaging goods - Trade</t>
  </si>
  <si>
    <t>Plastic Products - Manufacturing</t>
  </si>
  <si>
    <t>Plastic Products - Trade</t>
  </si>
  <si>
    <t>Plywood - Trade</t>
  </si>
  <si>
    <t>Polyester film - Manufacturing</t>
  </si>
  <si>
    <t>Poultry - Manufacturing</t>
  </si>
  <si>
    <t>Prawns - Manufacturing</t>
  </si>
  <si>
    <t>Prawns - Trade</t>
  </si>
  <si>
    <t>Printed books, brochures, etc. - Manufacturing</t>
  </si>
  <si>
    <t>Printed circuit boards - Trade</t>
  </si>
  <si>
    <t>Printing and printing services - Service</t>
  </si>
  <si>
    <t>Products of cement, concrete, etc. - Manufacturing</t>
  </si>
  <si>
    <t>Professional courses - Service</t>
  </si>
  <si>
    <t>Pumps - Trade</t>
  </si>
  <si>
    <t>Renting services - Service</t>
  </si>
  <si>
    <t>Research &amp; development - Service</t>
  </si>
  <si>
    <t>Retail trade - Trade</t>
  </si>
  <si>
    <t>Rice - Trade</t>
  </si>
  <si>
    <t>Rubber &amp; rubber products - Manufacturing</t>
  </si>
  <si>
    <t>Screws, bolts, nuts, rivets, washers, etc. - Manufacturing</t>
  </si>
  <si>
    <t>Shipping services - Service</t>
  </si>
  <si>
    <t>Shoe uppers - Manufacturing</t>
  </si>
  <si>
    <t>Silk &amp; silk textiles - Manufacturing</t>
  </si>
  <si>
    <t>Silk &amp; silk textiles - Trade</t>
  </si>
  <si>
    <t>Software service and consultancy - Service</t>
  </si>
  <si>
    <t>Soyabean oil cake - Trade</t>
  </si>
  <si>
    <t>Spices &amp; Condiments - Trade</t>
  </si>
  <si>
    <t>Storage &amp; warehousing services - Service</t>
  </si>
  <si>
    <t>Storage batteries - Trade</t>
  </si>
  <si>
    <t>sugar - Manufacturing</t>
  </si>
  <si>
    <t>sugar - Trade</t>
  </si>
  <si>
    <t>Sulphuric acid - Manufacturing</t>
  </si>
  <si>
    <t>Tea - Trade</t>
  </si>
  <si>
    <t>Technical Consultancy &amp; engineering services - Service</t>
  </si>
  <si>
    <t>Terry towelling &amp; similar woven terry fabrics - Manufacturing</t>
  </si>
  <si>
    <t>Terry towelling &amp; similar woven terry fabrics - Trade</t>
  </si>
  <si>
    <t>Textiles - Manufacturing</t>
  </si>
  <si>
    <t>Textiles - Trade</t>
  </si>
  <si>
    <t>Tour Operators - Service</t>
  </si>
  <si>
    <t>Transformers - Manufacturing</t>
  </si>
  <si>
    <t>Tubes, pipes &amp; hoses of PVC - Manufacturing</t>
  </si>
  <si>
    <t>Tubes, pipes &amp; hoses of PVC - Trade</t>
  </si>
  <si>
    <t>Tyres - Trade</t>
  </si>
  <si>
    <t>Vegetable / fruit products - Manufacturing</t>
  </si>
  <si>
    <t>Vegetable / fruit products - Trade</t>
  </si>
  <si>
    <t>Vegetable oils - Manufacturing</t>
  </si>
  <si>
    <t>Vegetable oils - Trade</t>
  </si>
  <si>
    <t>Welding electrodes / sticks / wires / fluxes - Manufacturing</t>
  </si>
  <si>
    <t>Wheat flour - Trade</t>
  </si>
  <si>
    <t>Wind energy - Manufacturing</t>
  </si>
  <si>
    <t>Writing, printing paper - Manufacturing</t>
  </si>
  <si>
    <t>Average Ebdita</t>
  </si>
  <si>
    <t>Max Product based LTV %</t>
  </si>
  <si>
    <t>Prop 6</t>
  </si>
  <si>
    <t>Prop 7</t>
  </si>
  <si>
    <t>Prop 8</t>
  </si>
  <si>
    <t>Prop 9</t>
  </si>
  <si>
    <t>Prop 10</t>
  </si>
  <si>
    <t>Account Details</t>
  </si>
  <si>
    <t>UPID</t>
  </si>
  <si>
    <t>Market Value</t>
  </si>
  <si>
    <t>Fac 01 (Mention A/c No./ LOS ID)</t>
  </si>
  <si>
    <t>Existing</t>
  </si>
  <si>
    <t>Fac 02 (Mention A/c No./ LOS ID)</t>
  </si>
  <si>
    <t>Fac 03 (Mention A/c No./ LOS ID)</t>
  </si>
  <si>
    <t>Fac 04 (Mention A/c No./ LOS ID)</t>
  </si>
  <si>
    <t>Fac 05 (Mention A/c No./ LOS ID)</t>
  </si>
  <si>
    <t>Fac 06 (Mention A/c No./ LOS ID)</t>
  </si>
  <si>
    <t>Fac 07 (Mention A/c No./ LOS ID)</t>
  </si>
  <si>
    <t>Fac 08 (Mention A/c No./ LOS ID)</t>
  </si>
  <si>
    <t>Fac 09 (Mention A/c No./ LOS ID)</t>
  </si>
  <si>
    <t>Fac 10 (Mention A/c No./ LOS ID)</t>
  </si>
  <si>
    <t>Value available for Magnus Facilty</t>
  </si>
  <si>
    <t>Proposed</t>
  </si>
  <si>
    <t>Whether HL involved</t>
  </si>
  <si>
    <t>Magnus Facilty 03 (A/c detail)</t>
  </si>
  <si>
    <t>Magnus Facilty 04 (A/c detail)</t>
  </si>
  <si>
    <t>Check</t>
  </si>
  <si>
    <t>LTV on Individual Property</t>
  </si>
  <si>
    <t>Collateral_  Excluding HL for Customer</t>
  </si>
  <si>
    <t>Exposure - Excluding HL for Customer(Non regulated)</t>
  </si>
  <si>
    <t>LTV Excluding HL</t>
  </si>
  <si>
    <t>Apportioned value</t>
  </si>
  <si>
    <t>Remark</t>
  </si>
  <si>
    <t>LOS Data Entry Date</t>
  </si>
  <si>
    <t>Name of Applicant</t>
  </si>
  <si>
    <t>LOS ID (App ID)</t>
  </si>
  <si>
    <t>Internal Checks / Report Status</t>
  </si>
  <si>
    <t>Basic Checks</t>
  </si>
  <si>
    <t>ROC search where property is owned by the company</t>
  </si>
  <si>
    <t>Cibil check for Individuals</t>
  </si>
  <si>
    <t>Commercial Cibil Check</t>
  </si>
  <si>
    <t>Central Fraud Registry(CFR) check for all applicant</t>
  </si>
  <si>
    <t xml:space="preserve">Negative Profile Check </t>
  </si>
  <si>
    <t>Geo-limit Check</t>
  </si>
  <si>
    <t>Legal,  Valn, VR &amp; RCU Completeness</t>
  </si>
  <si>
    <t>Original Legal Report  (in case of top-up / multiple file, pls mention LOS Id)</t>
  </si>
  <si>
    <t>Property Address Matched with CAT, Legal Report, &amp; Valutaion Report</t>
  </si>
  <si>
    <t>Property Owner name matched with CAT, Legal Report, &amp; Valutaion Report</t>
  </si>
  <si>
    <t>Original Valuation Report 1 (in case of top-up / multiple file, pls mention LOS Id)</t>
  </si>
  <si>
    <t>Original Valuation Report 2 (in case of top-up / multiple file, pls mention LOS Id)</t>
  </si>
  <si>
    <t>Property valuations matched with CAT</t>
  </si>
  <si>
    <t>VR Report - Residence Tele Verification</t>
  </si>
  <si>
    <t>Office Tele Verification</t>
  </si>
  <si>
    <t>Residence Physical Verification</t>
  </si>
  <si>
    <t>Office Pysical Verification</t>
  </si>
  <si>
    <t>RCU Report of Financials Verified</t>
  </si>
  <si>
    <t>RCU Report of Banking and Other Docs</t>
  </si>
  <si>
    <t>Cersai  Check / Mortgage Cibil Check (For property cases)</t>
  </si>
  <si>
    <t>Verifications and validations (Date)</t>
  </si>
  <si>
    <t>PSL Calculator</t>
  </si>
  <si>
    <t>Eligibility Checks</t>
  </si>
  <si>
    <t>Deviations captured</t>
  </si>
  <si>
    <t>UPI (if applicable)</t>
  </si>
  <si>
    <t>LOS Completeness</t>
  </si>
  <si>
    <t>LOS DATA ENTRY QC</t>
  </si>
  <si>
    <t>Group ID (To be captured in LOS) : -</t>
  </si>
  <si>
    <t>Total Exposure / Check one obligor (To be captured in LOS) :-</t>
  </si>
  <si>
    <t>Both Valuation Figures to be Captured in LOS</t>
  </si>
  <si>
    <t>PSL Tagging in LOS (Amt and Code)</t>
  </si>
  <si>
    <t>Eligibility Block (Financial and Banking Information)</t>
  </si>
  <si>
    <t>Property Address</t>
  </si>
  <si>
    <t xml:space="preserve">Data Entry for all Applicants and Collateral  owner </t>
  </si>
  <si>
    <t>Deviations in CAT and LOS should be match</t>
  </si>
  <si>
    <t>Data entry for Multiple Properties as Collateral</t>
  </si>
  <si>
    <t>Amount of Loan (Final Amount)</t>
  </si>
  <si>
    <t>Finacle Cust ID to be captured if existing customer</t>
  </si>
  <si>
    <t>UD fields and One obliger fields</t>
  </si>
  <si>
    <t>Eligibility (For Both Funded and Non Funded Facility)</t>
  </si>
  <si>
    <t>File Completeness on Approval</t>
  </si>
  <si>
    <t>Application Form:</t>
  </si>
  <si>
    <t xml:space="preserve">        Facility amount requested =&gt; than approved limit</t>
  </si>
  <si>
    <t xml:space="preserve">        Photos and Signature of all the parties / collateral provider</t>
  </si>
  <si>
    <t xml:space="preserve">        Authentication for all the corrections</t>
  </si>
  <si>
    <t xml:space="preserve">        MSME declaration</t>
  </si>
  <si>
    <t>Credit analysis Sheet</t>
  </si>
  <si>
    <t>Enduse confirmation letter</t>
  </si>
  <si>
    <t>Enduse Checklist</t>
  </si>
  <si>
    <t>Site Visit Report</t>
  </si>
  <si>
    <t>Scoring Sheet</t>
  </si>
  <si>
    <t xml:space="preserve">Signed Doc Card (for property cases)  </t>
  </si>
  <si>
    <t xml:space="preserve">Signed PD sheet </t>
  </si>
  <si>
    <t>High Value check, for exposure greater than and equal to INR 7.5 Cr</t>
  </si>
  <si>
    <t>Apportioned Calculator if Cross collateral</t>
  </si>
  <si>
    <t>RM OSV available</t>
  </si>
  <si>
    <t>Shareholding pattern available</t>
  </si>
  <si>
    <t xml:space="preserve">Signed BSV Sheet </t>
  </si>
  <si>
    <t xml:space="preserve">In case of SBLC – confirmation from CRM on booking the transaction </t>
  </si>
  <si>
    <t xml:space="preserve">LEI Norms </t>
  </si>
  <si>
    <t xml:space="preserve">WCL Norms </t>
  </si>
  <si>
    <t xml:space="preserve">Commercial Real estate check </t>
  </si>
  <si>
    <t>Additional Documents, if applicable</t>
  </si>
  <si>
    <t>________________________                                                                                           ____________________________</t>
  </si>
  <si>
    <t>CPA Sign</t>
  </si>
  <si>
    <t>CRM Sign</t>
  </si>
  <si>
    <t>Proposed number of employees to be hired by client basis the new facility</t>
  </si>
  <si>
    <t>END USE CHECKLIST (Non PSL)</t>
  </si>
  <si>
    <t>Identifier</t>
  </si>
  <si>
    <t>Min</t>
  </si>
  <si>
    <t>Max</t>
  </si>
  <si>
    <t>Loan Amt slab</t>
  </si>
  <si>
    <t>Product Code</t>
  </si>
  <si>
    <t>Product Description</t>
  </si>
  <si>
    <t>Product Group</t>
  </si>
  <si>
    <t>Concatenate</t>
  </si>
  <si>
    <t>&lt; 75 Lacs</t>
  </si>
  <si>
    <t>LN026</t>
  </si>
  <si>
    <t>BUSINESS INSTALLMENT LOAN</t>
  </si>
  <si>
    <t>BIL</t>
  </si>
  <si>
    <t>75 lacs to 10 Crores</t>
  </si>
  <si>
    <t>LN030</t>
  </si>
  <si>
    <t>EVE BUSINESS LOAN</t>
  </si>
  <si>
    <t>Section 1</t>
  </si>
  <si>
    <t>&gt; 10 Crores</t>
  </si>
  <si>
    <t>LN011</t>
  </si>
  <si>
    <t>DB HOME LOAN</t>
  </si>
  <si>
    <t>HL</t>
  </si>
  <si>
    <t>DB LOAN AGAINST HOME</t>
  </si>
  <si>
    <t>LN022</t>
  </si>
  <si>
    <t>DB HOME LOAN - TOP UP</t>
  </si>
  <si>
    <t>LN018</t>
  </si>
  <si>
    <t>DB HOME LOAN STAFF</t>
  </si>
  <si>
    <t>Balance Transfer</t>
  </si>
  <si>
    <t>LN025</t>
  </si>
  <si>
    <t>PROPERTY PURCHASE LOAN NI</t>
  </si>
  <si>
    <t>Is this a PSL qualified Lending?</t>
  </si>
  <si>
    <t>LN012</t>
  </si>
  <si>
    <t>DB BUSINESS LOAN</t>
  </si>
  <si>
    <t>UBL</t>
  </si>
  <si>
    <t>Disbursal (full or part) into DB Account?</t>
  </si>
  <si>
    <t>LN024</t>
  </si>
  <si>
    <t>DB LAP - TOP UP</t>
  </si>
  <si>
    <t>LAP</t>
  </si>
  <si>
    <t>End Use declared by the client</t>
  </si>
  <si>
    <t>LN019</t>
  </si>
  <si>
    <t>DB LOAN AGAINST COMM PROP</t>
  </si>
  <si>
    <t>(should tally with client declaration)</t>
  </si>
  <si>
    <t>Personal needs</t>
  </si>
  <si>
    <t>PN</t>
  </si>
  <si>
    <t>LN015</t>
  </si>
  <si>
    <t>Purchase of Property</t>
  </si>
  <si>
    <t>PP</t>
  </si>
  <si>
    <t>LN020</t>
  </si>
  <si>
    <t>DB LOAN FOR COMM PROP</t>
  </si>
  <si>
    <t>Section 2</t>
  </si>
  <si>
    <t>Business expansion</t>
  </si>
  <si>
    <t>BE</t>
  </si>
  <si>
    <t>Capital expenditure</t>
  </si>
  <si>
    <t>CE</t>
  </si>
  <si>
    <t>Loan Amount Slab</t>
  </si>
  <si>
    <t>Working capital (Term Loan)</t>
  </si>
  <si>
    <t>WC</t>
  </si>
  <si>
    <t>OT</t>
  </si>
  <si>
    <t>Disbursal amount towards BT</t>
  </si>
  <si>
    <t>Financier's Name</t>
  </si>
  <si>
    <t>PNB Housing Finance Ltd</t>
  </si>
  <si>
    <t>Mention financier's Name (if others / nationalised)</t>
  </si>
  <si>
    <t>Owned by Borrowing Entity</t>
  </si>
  <si>
    <t>Product type at other financier</t>
  </si>
  <si>
    <t>Owned by Promoter(s)</t>
  </si>
  <si>
    <t>PN: Personal needs</t>
  </si>
  <si>
    <t>Aditya Birla Finance</t>
  </si>
  <si>
    <t>Owned by Non-promoter(s)</t>
  </si>
  <si>
    <t>PP: Purchase of Property</t>
  </si>
  <si>
    <t>Balance Transfer details</t>
  </si>
  <si>
    <t>Au Small Finance Bank</t>
  </si>
  <si>
    <t>Machinery Purchase</t>
  </si>
  <si>
    <t>Funds initially used towards</t>
  </si>
  <si>
    <t>Bajaj Finserv</t>
  </si>
  <si>
    <t>New Location / Office Setup</t>
  </si>
  <si>
    <t>Canfin Homes Ltd</t>
  </si>
  <si>
    <t>Others (specify in detailed description)</t>
  </si>
  <si>
    <t>Capital First</t>
  </si>
  <si>
    <t>Cholamandalam Investment and Finance Co Ltd</t>
  </si>
  <si>
    <t>Long Term Working capital</t>
  </si>
  <si>
    <t>Citibank</t>
  </si>
  <si>
    <t>Development Bank of Singapore</t>
  </si>
  <si>
    <t>Disbursal towards Client</t>
  </si>
  <si>
    <t>Development Credit Bank</t>
  </si>
  <si>
    <t>Current usage details</t>
  </si>
  <si>
    <t>Dewan Housing Finance</t>
  </si>
  <si>
    <t>Funds to be used towards</t>
  </si>
  <si>
    <t>Dhanalaxmi Bank</t>
  </si>
  <si>
    <t>Edelweiss Financial Services Ltd</t>
  </si>
  <si>
    <t>Federal Bank</t>
  </si>
  <si>
    <t>GIC Housing Finance</t>
  </si>
  <si>
    <t>Gruh Finance Ltd</t>
  </si>
  <si>
    <t>HDB Financial Services</t>
  </si>
  <si>
    <t>HDFC Bank</t>
  </si>
  <si>
    <t>C</t>
  </si>
  <si>
    <t>Disbursal towards Third Party</t>
  </si>
  <si>
    <t>HDFC Ltd</t>
  </si>
  <si>
    <t>Hero FinCorp</t>
  </si>
  <si>
    <t>HSBC Bank</t>
  </si>
  <si>
    <t>Section 3</t>
  </si>
  <si>
    <t>ICICI Bank</t>
  </si>
  <si>
    <t>End Use as verified by DB Officer</t>
  </si>
  <si>
    <t>ICICI Housing Finance</t>
  </si>
  <si>
    <t>Date of PD</t>
  </si>
  <si>
    <t>IDFC Bank</t>
  </si>
  <si>
    <t>PD done by</t>
  </si>
  <si>
    <t>India Infoline Financial Services</t>
  </si>
  <si>
    <t>Mode of verification</t>
  </si>
  <si>
    <t>Indiabulls Housing Finance Ltd</t>
  </si>
  <si>
    <t>Detailed description of End Use (Max 200 chars)</t>
  </si>
  <si>
    <t>Indostar Capital</t>
  </si>
  <si>
    <t>Indusind Bank</t>
  </si>
  <si>
    <t>Section 4</t>
  </si>
  <si>
    <t xml:space="preserve">Karur Vysya Bank </t>
  </si>
  <si>
    <t>Kotak Mahindra Bank</t>
  </si>
  <si>
    <t>Document Code</t>
  </si>
  <si>
    <t>L&amp;T Finance</t>
  </si>
  <si>
    <t>Document Description</t>
  </si>
  <si>
    <t>LIC Housing Finance Ltd</t>
  </si>
  <si>
    <t>Document Status</t>
  </si>
  <si>
    <t>Received</t>
  </si>
  <si>
    <t>Magma Fincorp</t>
  </si>
  <si>
    <t>RBL Bank</t>
  </si>
  <si>
    <t>Reliance Home Finance</t>
  </si>
  <si>
    <t>Name of CRM Manager:</t>
  </si>
  <si>
    <t>Royal Bank of Scotland</t>
  </si>
  <si>
    <t>Standard Chartered Bank</t>
  </si>
  <si>
    <t>Sundaram BNP Paribas Home Finance Ltd</t>
  </si>
  <si>
    <t>Notes:</t>
  </si>
  <si>
    <t>TATA Capital Ltd</t>
  </si>
  <si>
    <t>End Use declared by the client must be corroborated during site visit / PD.</t>
  </si>
  <si>
    <t>Vijaya Bank</t>
  </si>
  <si>
    <t>If purpose is for business use, the disbursal should be done into the Business Account</t>
  </si>
  <si>
    <t>Yes Bank</t>
  </si>
  <si>
    <t>All Nationalized Banks except for UCO Bank (Please specify below)</t>
  </si>
  <si>
    <t>Others (Please specify below)</t>
  </si>
  <si>
    <t xml:space="preserve">Annexure B1 </t>
  </si>
  <si>
    <t xml:space="preserve">Enhanced Due Diligence Site visit report (Pre Disbursal) </t>
  </si>
  <si>
    <t xml:space="preserve">Site Visit Report </t>
  </si>
  <si>
    <t xml:space="preserve">Name of the Borrower </t>
  </si>
  <si>
    <t>Application / LOS Number</t>
  </si>
  <si>
    <t xml:space="preserve">Name of the person met </t>
  </si>
  <si>
    <t>Place visited - office / factory / warehouse</t>
  </si>
  <si>
    <t xml:space="preserve"> Address of premises visited</t>
  </si>
  <si>
    <t>Date &amp; Time of Visit</t>
  </si>
  <si>
    <t>DB representative making the Visit</t>
  </si>
  <si>
    <t>End Use of loan funds for Balance Transfer</t>
  </si>
  <si>
    <t>Total amount of balance transfer</t>
  </si>
  <si>
    <t>Rs</t>
  </si>
  <si>
    <t>1) Amount thereof</t>
  </si>
  <si>
    <t>End Use as per the customer</t>
  </si>
  <si>
    <t>Have the funds been utilized for stated purpose</t>
  </si>
  <si>
    <t>If Yes , pls provide rationale</t>
  </si>
  <si>
    <t xml:space="preserve">If No , provide the revised usage details </t>
  </si>
  <si>
    <t>2) Amount thereof</t>
  </si>
  <si>
    <t>Interviewer's Comments</t>
  </si>
  <si>
    <t>Below 10 fields highlighted in grey need to filled in by CRM in case of multiple banking (unhdged foreign currency exposure as per customer declaration)</t>
  </si>
  <si>
    <t>*In case banking is other than for 6 months, formula need to be changed</t>
  </si>
  <si>
    <t>HTN-LAP</t>
  </si>
  <si>
    <t>25, 20, 10, 0</t>
  </si>
  <si>
    <t xml:space="preserve">Deutsche Bank                       </t>
  </si>
  <si>
    <t>for Magnus and Mortages</t>
  </si>
  <si>
    <t>for Mortgages</t>
  </si>
  <si>
    <t>for Mortgages and Magnus</t>
  </si>
  <si>
    <t>For Magnus</t>
  </si>
  <si>
    <t>for Magnus</t>
  </si>
  <si>
    <t>for UBL\BIL</t>
  </si>
  <si>
    <t>for Magnus and UBL\BIL</t>
  </si>
  <si>
    <r>
      <rPr>
        <b/>
        <sz val="11"/>
        <rFont val="Arial"/>
        <family val="2"/>
      </rPr>
      <t>1. DSCR</t>
    </r>
    <r>
      <rPr>
        <sz val="11"/>
        <rFont val="Arial"/>
        <family val="2"/>
      </rPr>
      <t xml:space="preserve"> should not be below </t>
    </r>
    <r>
      <rPr>
        <b/>
        <sz val="11"/>
        <rFont val="Arial"/>
        <family val="2"/>
      </rPr>
      <t>1x</t>
    </r>
    <r>
      <rPr>
        <sz val="11"/>
        <rFont val="Arial"/>
        <family val="2"/>
      </rPr>
      <t xml:space="preserve"> for manufacturing &amp; service clients and </t>
    </r>
    <r>
      <rPr>
        <b/>
        <sz val="11"/>
        <rFont val="Arial"/>
        <family val="2"/>
      </rPr>
      <t>1.25x</t>
    </r>
    <r>
      <rPr>
        <sz val="11"/>
        <rFont val="Arial"/>
        <family val="2"/>
      </rPr>
      <t xml:space="preserve"> for traders.</t>
    </r>
  </si>
  <si>
    <r>
      <t>2.</t>
    </r>
    <r>
      <rPr>
        <sz val="7"/>
        <rFont val="Arial"/>
        <family val="2"/>
      </rPr>
      <t xml:space="preserve">       </t>
    </r>
    <r>
      <rPr>
        <b/>
        <sz val="11"/>
        <rFont val="Arial"/>
        <family val="2"/>
      </rPr>
      <t>Leverage and Gearing</t>
    </r>
    <r>
      <rPr>
        <sz val="11"/>
        <rFont val="Arial"/>
        <family val="2"/>
      </rPr>
      <t xml:space="preserve"> including the </t>
    </r>
    <r>
      <rPr>
        <u/>
        <sz val="11"/>
        <rFont val="Arial"/>
        <family val="2"/>
      </rPr>
      <t>proposed exposure</t>
    </r>
    <r>
      <rPr>
        <sz val="11"/>
        <rFont val="Arial"/>
        <family val="2"/>
      </rPr>
      <t xml:space="preserve"> is </t>
    </r>
    <r>
      <rPr>
        <b/>
        <sz val="11"/>
        <rFont val="Arial"/>
        <family val="2"/>
      </rPr>
      <t>4x</t>
    </r>
    <r>
      <rPr>
        <sz val="11"/>
        <rFont val="Arial"/>
        <family val="2"/>
      </rPr>
      <t xml:space="preserve"> and </t>
    </r>
    <r>
      <rPr>
        <b/>
        <sz val="11"/>
        <rFont val="Arial"/>
        <family val="2"/>
      </rPr>
      <t xml:space="preserve">5x </t>
    </r>
    <r>
      <rPr>
        <sz val="11"/>
        <rFont val="Arial"/>
        <family val="2"/>
      </rPr>
      <t>respectively</t>
    </r>
  </si>
  <si>
    <r>
      <t>3.</t>
    </r>
    <r>
      <rPr>
        <sz val="7"/>
        <rFont val="Arial"/>
        <family val="2"/>
      </rPr>
      <t xml:space="preserve">       </t>
    </r>
    <r>
      <rPr>
        <b/>
        <sz val="11"/>
        <rFont val="Arial"/>
        <family val="2"/>
      </rPr>
      <t xml:space="preserve">Net debt to EBIDTA ratio (NFD / EBIDTA) </t>
    </r>
    <r>
      <rPr>
        <sz val="11"/>
        <rFont val="Arial"/>
        <family val="2"/>
      </rPr>
      <t xml:space="preserve">should be less than or equal to 5, where NFD is calculated as: Short / medium / long term bank or other financier debts </t>
    </r>
    <r>
      <rPr>
        <i/>
        <u/>
        <sz val="11"/>
        <rFont val="Arial"/>
        <family val="2"/>
      </rPr>
      <t>less</t>
    </r>
    <r>
      <rPr>
        <sz val="11"/>
        <rFont val="Arial"/>
        <family val="2"/>
      </rPr>
      <t xml:space="preserve"> cash &amp; liquidity.</t>
    </r>
  </si>
  <si>
    <r>
      <t>4.</t>
    </r>
    <r>
      <rPr>
        <sz val="7"/>
        <rFont val="Arial"/>
        <family val="2"/>
      </rPr>
      <t xml:space="preserve">       </t>
    </r>
    <r>
      <rPr>
        <b/>
        <sz val="11"/>
        <rFont val="Arial"/>
        <family val="2"/>
      </rPr>
      <t xml:space="preserve">Shareholder equity ratio (Equity / Total Asset) </t>
    </r>
    <r>
      <rPr>
        <sz val="11"/>
        <rFont val="Arial"/>
        <family val="2"/>
      </rPr>
      <t>should be greater than or equal to 20% where Equity includes Capital, Reserves and profit/loss of the year without debtors deductions.</t>
    </r>
  </si>
  <si>
    <t>Discrepancy</t>
  </si>
  <si>
    <t>Common</t>
  </si>
  <si>
    <t>Associated Companies</t>
  </si>
  <si>
    <t>CA</t>
  </si>
  <si>
    <t>ROC</t>
  </si>
  <si>
    <t>GST</t>
  </si>
  <si>
    <t>KYC</t>
  </si>
  <si>
    <t>Crime</t>
  </si>
  <si>
    <t>Google</t>
  </si>
  <si>
    <t>EPFO</t>
  </si>
  <si>
    <t>LEI</t>
  </si>
  <si>
    <t>Fin Observation</t>
  </si>
  <si>
    <t>Mortgage</t>
  </si>
  <si>
    <t>Unsecured</t>
  </si>
  <si>
    <t>Eligibility_EBIDTA</t>
  </si>
  <si>
    <t>Eligibility_Margin</t>
  </si>
  <si>
    <t>Magnus</t>
  </si>
  <si>
    <t>MSE PSL Calculator</t>
  </si>
  <si>
    <t>App Calc</t>
  </si>
  <si>
    <t>End Use Calc</t>
  </si>
  <si>
    <t>Site Visit</t>
  </si>
  <si>
    <t>Select Product type</t>
  </si>
  <si>
    <t>Mortgage-Magnus-Unsecured</t>
  </si>
  <si>
    <t>UPI ID</t>
  </si>
  <si>
    <t>Sl.No</t>
  </si>
  <si>
    <t>CMR Ranking</t>
  </si>
  <si>
    <t>Actuals</t>
  </si>
  <si>
    <t>Notes</t>
  </si>
  <si>
    <t>Financial Ratios</t>
  </si>
  <si>
    <t>Current ratio</t>
  </si>
  <si>
    <t>Current Assets = 100% of Cash in Hand / Bank / Fixed Deposits + 50% of all MFs / Equity  Assets + 50% of all Inventory)</t>
  </si>
  <si>
    <t>ESIC</t>
  </si>
  <si>
    <t>Truecaller</t>
  </si>
  <si>
    <t>Rating_Individual</t>
  </si>
  <si>
    <t>Covenants</t>
  </si>
  <si>
    <t>CRM Rating</t>
  </si>
  <si>
    <t>Mortgage-Magnus</t>
  </si>
  <si>
    <t>Mortgage-Unsecured</t>
  </si>
  <si>
    <t>Property Linked to Loan</t>
  </si>
  <si>
    <t>No of Collateral with BT Bank</t>
  </si>
  <si>
    <t>No of Collateral Coming to Db</t>
  </si>
  <si>
    <t>DB Reference ID</t>
  </si>
  <si>
    <t>Credit analysis</t>
  </si>
  <si>
    <t>CRM approval</t>
  </si>
  <si>
    <t>High ticket norms and DBR</t>
  </si>
  <si>
    <t>Step down</t>
  </si>
  <si>
    <t>Trade Name</t>
  </si>
  <si>
    <t>Effective Date of registration</t>
  </si>
  <si>
    <t>Principal Place of Business</t>
  </si>
  <si>
    <t>Administrative Office</t>
  </si>
  <si>
    <t>Other Office</t>
  </si>
  <si>
    <t>Effective Date of Cancellation</t>
  </si>
  <si>
    <t>Customer is having one HL where the collateral is differebt and same is not considered for Calculating LTV.</t>
  </si>
  <si>
    <t>Control Checklist (Version 2.7)</t>
  </si>
  <si>
    <r>
      <t xml:space="preserve">Satisfactory Stock Audit Report </t>
    </r>
    <r>
      <rPr>
        <sz val="11"/>
        <color theme="8"/>
        <rFont val="Calibri"/>
        <family val="2"/>
        <scheme val="minor"/>
      </rPr>
      <t>(In case of Magnus)</t>
    </r>
  </si>
  <si>
    <r>
      <t xml:space="preserve">Updated the information of </t>
    </r>
    <r>
      <rPr>
        <i/>
        <sz val="11"/>
        <rFont val="Calibri"/>
        <family val="2"/>
        <scheme val="minor"/>
      </rPr>
      <t>No of employees to be hired based on new facility</t>
    </r>
    <r>
      <rPr>
        <sz val="11"/>
        <rFont val="Calibri"/>
        <family val="2"/>
        <scheme val="minor"/>
      </rPr>
      <t xml:space="preserve"> in PD sheet</t>
    </r>
  </si>
  <si>
    <r>
      <rPr>
        <b/>
        <sz val="10"/>
        <color rgb="FFFF0000"/>
        <rFont val="Arial"/>
        <family val="2"/>
      </rPr>
      <t>*</t>
    </r>
    <r>
      <rPr>
        <b/>
        <sz val="8"/>
        <color theme="1"/>
        <rFont val="Arial"/>
        <family val="2"/>
      </rPr>
      <t> Bank / Institution Reference No.</t>
    </r>
  </si>
  <si>
    <r>
      <rPr>
        <b/>
        <sz val="10"/>
        <color rgb="FFFF0000"/>
        <rFont val="Arial"/>
        <family val="2"/>
      </rPr>
      <t>*</t>
    </r>
    <r>
      <rPr>
        <b/>
        <sz val="8"/>
        <color theme="1"/>
        <rFont val="Arial"/>
        <family val="2"/>
      </rPr>
      <t> Bank / Institution Branch Name</t>
    </r>
  </si>
  <si>
    <t>CG</t>
  </si>
  <si>
    <r>
      <t>* </t>
    </r>
    <r>
      <rPr>
        <sz val="11"/>
        <rFont val="Calibri"/>
        <family val="2"/>
        <scheme val="minor"/>
      </rPr>
      <t>Constitution</t>
    </r>
  </si>
  <si>
    <r>
      <t>* </t>
    </r>
    <r>
      <rPr>
        <sz val="11"/>
        <rFont val="Calibri"/>
        <family val="2"/>
        <scheme val="minor"/>
      </rPr>
      <t>Borrower / Unit Name</t>
    </r>
  </si>
  <si>
    <r>
      <t>*</t>
    </r>
    <r>
      <rPr>
        <sz val="11"/>
        <rFont val="Calibri"/>
        <family val="2"/>
        <scheme val="minor"/>
      </rPr>
      <t> Unit Address</t>
    </r>
  </si>
  <si>
    <r>
      <t>*</t>
    </r>
    <r>
      <rPr>
        <sz val="11"/>
        <rFont val="Calibri"/>
        <family val="2"/>
        <scheme val="minor"/>
      </rPr>
      <t xml:space="preserve"> District:</t>
    </r>
  </si>
  <si>
    <r>
      <t>* </t>
    </r>
    <r>
      <rPr>
        <sz val="11"/>
        <rFont val="Calibri"/>
        <family val="2"/>
        <scheme val="minor"/>
      </rPr>
      <t>PIN code</t>
    </r>
  </si>
  <si>
    <r>
      <t>* </t>
    </r>
    <r>
      <rPr>
        <sz val="11"/>
        <rFont val="Calibri"/>
        <family val="2"/>
        <scheme val="minor"/>
      </rPr>
      <t>Nature of Industry Please select correct Nature 
of Industry. In case, the unit is to be covered under 
CGS for Retail Trade, Select Industry as RETAIL TRADE.</t>
    </r>
    <r>
      <rPr>
        <sz val="11"/>
        <color rgb="FFFF0000"/>
        <rFont val="Calibri"/>
        <family val="2"/>
        <scheme val="minor"/>
      </rPr>
      <t xml:space="preserve"> </t>
    </r>
  </si>
  <si>
    <t>Permanent</t>
  </si>
  <si>
    <t>Contractual</t>
  </si>
  <si>
    <r>
      <t xml:space="preserve"> * </t>
    </r>
    <r>
      <rPr>
        <sz val="11"/>
        <rFont val="Calibri"/>
        <family val="2"/>
        <scheme val="minor"/>
      </rPr>
      <t>Type of Activity</t>
    </r>
  </si>
  <si>
    <r>
      <t xml:space="preserve">* </t>
    </r>
    <r>
      <rPr>
        <sz val="11"/>
        <rFont val="Calibri"/>
        <family val="2"/>
        <scheme val="minor"/>
      </rPr>
      <t xml:space="preserve">Number
 of Employees </t>
    </r>
  </si>
  <si>
    <r>
      <t xml:space="preserve">* </t>
    </r>
    <r>
      <rPr>
        <sz val="11"/>
        <rFont val="Calibri"/>
        <family val="2"/>
        <scheme val="minor"/>
      </rPr>
      <t>Projected Optimum Sales Turnover</t>
    </r>
  </si>
  <si>
    <r>
      <t>*</t>
    </r>
    <r>
      <rPr>
        <b/>
        <sz val="8"/>
        <color rgb="FFFF0000"/>
        <rFont val="Arial"/>
        <family val="2"/>
      </rPr>
      <t> </t>
    </r>
    <r>
      <rPr>
        <b/>
        <sz val="8"/>
        <rFont val="Arial"/>
        <family val="2"/>
      </rPr>
      <t>Title</t>
    </r>
  </si>
  <si>
    <r>
      <t>*</t>
    </r>
    <r>
      <rPr>
        <b/>
        <sz val="8"/>
        <color rgb="FFFF0000"/>
        <rFont val="Arial"/>
        <family val="2"/>
      </rPr>
      <t> </t>
    </r>
    <r>
      <rPr>
        <b/>
        <sz val="8"/>
        <rFont val="Arial"/>
        <family val="2"/>
      </rPr>
      <t>First Name</t>
    </r>
  </si>
  <si>
    <r>
      <t>*</t>
    </r>
    <r>
      <rPr>
        <b/>
        <sz val="8"/>
        <color rgb="FFFF0000"/>
        <rFont val="Arial"/>
        <family val="2"/>
      </rPr>
      <t> </t>
    </r>
    <r>
      <rPr>
        <b/>
        <sz val="8"/>
        <rFont val="Arial"/>
        <family val="2"/>
      </rPr>
      <t>Last Name (Surname)</t>
    </r>
  </si>
  <si>
    <r>
      <t>* </t>
    </r>
    <r>
      <rPr>
        <sz val="11"/>
        <rFont val="Calibri"/>
        <family val="2"/>
        <scheme val="minor"/>
      </rPr>
      <t>Gender</t>
    </r>
  </si>
  <si>
    <r>
      <t>* </t>
    </r>
    <r>
      <rPr>
        <sz val="11"/>
        <rFont val="Calibri"/>
        <family val="2"/>
        <scheme val="minor"/>
      </rPr>
      <t>Whether the Chief Promoter is 
Physically Handicapped:</t>
    </r>
  </si>
  <si>
    <r>
      <t>* </t>
    </r>
    <r>
      <rPr>
        <sz val="11"/>
        <rFont val="Calibri"/>
        <family val="2"/>
        <scheme val="minor"/>
      </rPr>
      <t>Loan Account 
Number</t>
    </r>
  </si>
  <si>
    <r>
      <t>* </t>
    </r>
    <r>
      <rPr>
        <sz val="11"/>
        <rFont val="Calibri"/>
        <family val="2"/>
        <scheme val="minor"/>
      </rPr>
      <t>Promoter Adhar Card Number</t>
    </r>
  </si>
  <si>
    <r>
      <t>* </t>
    </r>
    <r>
      <rPr>
        <sz val="11"/>
        <rFont val="Calibri"/>
        <family val="2"/>
        <scheme val="minor"/>
      </rPr>
      <t>Promoter Mobile Number</t>
    </r>
  </si>
  <si>
    <r>
      <t xml:space="preserve">* </t>
    </r>
    <r>
      <rPr>
        <sz val="11"/>
        <rFont val="Calibri"/>
        <family val="2"/>
        <scheme val="minor"/>
      </rPr>
      <t>Whether first charge on Primary 
Securities is available</t>
    </r>
  </si>
  <si>
    <r>
      <t>* </t>
    </r>
    <r>
      <rPr>
        <sz val="11"/>
        <rFont val="Calibri"/>
        <family val="2"/>
        <scheme val="minor"/>
      </rPr>
      <t>Collateral Security Taken</t>
    </r>
  </si>
  <si>
    <r>
      <rPr>
        <sz val="11"/>
        <color rgb="FFFF0000"/>
        <rFont val="Calibri"/>
        <family val="2"/>
        <scheme val="minor"/>
      </rPr>
      <t>  #</t>
    </r>
    <r>
      <rPr>
        <sz val="10"/>
        <rFont val="Arial"/>
        <family val="2"/>
      </rPr>
      <t> Third Party Guarantee</t>
    </r>
  </si>
  <si>
    <r>
      <t>* </t>
    </r>
    <r>
      <rPr>
        <sz val="10"/>
        <rFont val="Arial"/>
        <family val="2"/>
      </rPr>
      <t>Whether the credit is sanctioned under Joint Finance scheme:</t>
    </r>
  </si>
  <si>
    <r>
      <t>* </t>
    </r>
    <r>
      <rPr>
        <sz val="11"/>
        <rFont val="Calibri"/>
        <family val="2"/>
        <scheme val="minor"/>
      </rPr>
      <t>Whether the credit is sanctioned under 
Artisan Credit Card (ACC) scheme for Handicraft 
Artisans operated by DC(Handicrafts), Govt.of India:</t>
    </r>
  </si>
  <si>
    <r>
      <t>* </t>
    </r>
    <r>
      <rPr>
        <sz val="11"/>
        <rFont val="Calibri"/>
        <family val="2"/>
        <scheme val="minor"/>
      </rPr>
      <t>Whether GF/ASF is re-imbursable from
 O/o DC(Handicrafts) Govt.of India:</t>
    </r>
  </si>
  <si>
    <r>
      <t>* </t>
    </r>
    <r>
      <rPr>
        <sz val="11"/>
        <rFont val="Calibri"/>
        <family val="2"/>
        <scheme val="minor"/>
      </rPr>
      <t>Whether the credit is sanctioned under 
DC(Handloom) scheme for Handoom Weavers</t>
    </r>
  </si>
  <si>
    <r>
      <t>*</t>
    </r>
    <r>
      <rPr>
        <sz val="11"/>
        <rFont val="Calibri"/>
        <family val="2"/>
        <scheme val="minor"/>
      </rPr>
      <t> If Yes,Please select the name of the Scheme</t>
    </r>
  </si>
  <si>
    <r>
      <t>* </t>
    </r>
    <r>
      <rPr>
        <sz val="11"/>
        <rFont val="Calibri"/>
        <family val="2"/>
        <scheme val="minor"/>
      </rPr>
      <t xml:space="preserve"> </t>
    </r>
    <r>
      <rPr>
        <sz val="11"/>
        <color rgb="FF00B050"/>
        <rFont val="Calibri"/>
        <family val="2"/>
        <scheme val="minor"/>
      </rPr>
      <t>If Yes,Please certify by ticking the checkbox.</t>
    </r>
    <r>
      <rPr>
        <sz val="11"/>
        <rFont val="Calibri"/>
        <family val="2"/>
        <scheme val="minor"/>
      </rPr>
      <t xml:space="preserve">
We certify that the credit facility being covered
 under CGTMSE and for which reimbursement of 
GF/ASF in being availed adheres to all guidelines 
as issued by Office of DC(Handloom) from time to
 time for sanction of Credit under the respective 
schemes</t>
    </r>
  </si>
  <si>
    <r>
      <t xml:space="preserve">*  </t>
    </r>
    <r>
      <rPr>
        <sz val="11"/>
        <color rgb="FF00B050"/>
        <rFont val="Calibri"/>
        <family val="2"/>
        <scheme val="minor"/>
      </rPr>
      <t>Credit facilities above Rs. 50 lakh and upto
 Rs.200 lakh will have to be rated internally by the
 MLI and should be of investment grade.For loan
 facility upto 50 lakhs MLIs may indicate ‘N.A’ if 
rating is not available.</t>
    </r>
  </si>
  <si>
    <r>
      <t>* </t>
    </r>
    <r>
      <rPr>
        <sz val="11"/>
        <rFont val="Calibri"/>
        <family val="2"/>
        <scheme val="minor"/>
      </rPr>
      <t>Internal Rating</t>
    </r>
  </si>
  <si>
    <r>
      <t xml:space="preserve">* </t>
    </r>
    <r>
      <rPr>
        <sz val="11"/>
        <rFont val="Calibri"/>
        <family val="2"/>
        <scheme val="minor"/>
      </rPr>
      <t>Term Credit Sanctioned</t>
    </r>
  </si>
  <si>
    <r>
      <t xml:space="preserve">* </t>
    </r>
    <r>
      <rPr>
        <sz val="11"/>
        <rFont val="Calibri"/>
        <family val="2"/>
        <scheme val="minor"/>
      </rPr>
      <t>Loan Termination Date</t>
    </r>
  </si>
  <si>
    <r>
      <t xml:space="preserve">* </t>
    </r>
    <r>
      <rPr>
        <sz val="11"/>
        <rFont val="Calibri"/>
        <family val="2"/>
        <scheme val="minor"/>
      </rPr>
      <t>a. Market value of movable collateral security</t>
    </r>
  </si>
  <si>
    <r>
      <t>*</t>
    </r>
    <r>
      <rPr>
        <b/>
        <sz val="8"/>
        <color rgb="FFFF0000"/>
        <rFont val="Arial"/>
        <family val="2"/>
      </rPr>
      <t xml:space="preserve"> </t>
    </r>
    <r>
      <rPr>
        <b/>
        <sz val="8"/>
        <rFont val="Arial"/>
        <family val="2"/>
      </rPr>
      <t>b. Market value of immovable collateral security</t>
    </r>
  </si>
  <si>
    <r>
      <t xml:space="preserve">* </t>
    </r>
    <r>
      <rPr>
        <sz val="11"/>
        <rFont val="Calibri"/>
        <family val="2"/>
        <scheme val="minor"/>
      </rPr>
      <t>Total(a+b)</t>
    </r>
  </si>
  <si>
    <r>
      <t>  * </t>
    </r>
    <r>
      <rPr>
        <sz val="11"/>
        <rFont val="Calibri"/>
        <family val="2"/>
        <scheme val="minor"/>
      </rPr>
      <t>Date of Sanction</t>
    </r>
  </si>
  <si>
    <r>
      <t>* </t>
    </r>
    <r>
      <rPr>
        <sz val="11"/>
        <rFont val="Calibri"/>
        <family val="2"/>
        <scheme val="minor"/>
      </rPr>
      <t>Credit to be Guaranteed</t>
    </r>
  </si>
  <si>
    <r>
      <t>*</t>
    </r>
    <r>
      <rPr>
        <sz val="11"/>
        <rFont val="Calibri"/>
        <family val="2"/>
        <scheme val="minor"/>
      </rPr>
      <t xml:space="preserve"> Is any of the Promoter's/Directors/Key 
management personnel in the CRILC/CIBIL/RBI
 list of defaulters</t>
    </r>
  </si>
  <si>
    <r>
      <t xml:space="preserve">* </t>
    </r>
    <r>
      <rPr>
        <sz val="11"/>
        <rFont val="Calibri"/>
        <family val="2"/>
        <scheme val="minor"/>
      </rPr>
      <t>Credit bureau name</t>
    </r>
  </si>
  <si>
    <r>
      <t xml:space="preserve"> * </t>
    </r>
    <r>
      <rPr>
        <sz val="11"/>
        <rFont val="Calibri"/>
        <family val="2"/>
        <scheme val="minor"/>
      </rPr>
      <t>Credit bureau Score of key Promoter</t>
    </r>
  </si>
  <si>
    <r>
      <t>*</t>
    </r>
    <r>
      <rPr>
        <sz val="11"/>
        <rFont val="Calibri"/>
        <family val="2"/>
        <scheme val="minor"/>
      </rPr>
      <t>CIBIL MSME Rank of the firm(if available)</t>
    </r>
  </si>
  <si>
    <r>
      <t> *</t>
    </r>
    <r>
      <rPr>
        <sz val="11"/>
        <rFont val="Calibri"/>
        <family val="2"/>
        <scheme val="minor"/>
      </rPr>
      <t xml:space="preserve"> Experian Commerical Score(if available)</t>
    </r>
  </si>
  <si>
    <r>
      <t>*</t>
    </r>
    <r>
      <rPr>
        <sz val="11"/>
        <rFont val="Calibri"/>
        <family val="2"/>
        <scheme val="minor"/>
      </rPr>
      <t>Networth of the key Promoter/borrower(in Rs Lac)</t>
    </r>
  </si>
  <si>
    <r>
      <t xml:space="preserve"> * </t>
    </r>
    <r>
      <rPr>
        <sz val="11"/>
        <rFont val="Calibri"/>
        <family val="2"/>
        <scheme val="minor"/>
      </rPr>
      <t>Promotr's contribution in the entity(%)(If there are multiple contributors,</t>
    </r>
  </si>
  <si>
    <r>
      <t>*</t>
    </r>
    <r>
      <rPr>
        <sz val="11"/>
        <rFont val="Calibri"/>
        <family val="2"/>
        <scheme val="minor"/>
      </rPr>
      <t>Group/associate entities of promoter's 
have been into NPA category in past 1 year</t>
    </r>
  </si>
  <si>
    <r>
      <t xml:space="preserve"> * </t>
    </r>
    <r>
      <rPr>
        <sz val="11"/>
        <rFont val="Calibri"/>
        <family val="2"/>
        <scheme val="minor"/>
      </rPr>
      <t>Promoter's experience in current/related business(in years)</t>
    </r>
  </si>
  <si>
    <r>
      <t>*</t>
    </r>
    <r>
      <rPr>
        <sz val="11"/>
        <rFont val="Calibri"/>
        <family val="2"/>
        <scheme val="minor"/>
      </rPr>
      <t>Sales/Revenue</t>
    </r>
  </si>
  <si>
    <r>
      <t xml:space="preserve"> * </t>
    </r>
    <r>
      <rPr>
        <sz val="11"/>
        <rFont val="Calibri"/>
        <family val="2"/>
        <scheme val="minor"/>
      </rPr>
      <t>PBDIT(Profit before depreciation,interest and tax)</t>
    </r>
  </si>
  <si>
    <r>
      <t>*</t>
    </r>
    <r>
      <rPr>
        <sz val="11"/>
        <rFont val="Calibri"/>
        <family val="2"/>
        <scheme val="minor"/>
      </rPr>
      <t>Interest Payment</t>
    </r>
  </si>
  <si>
    <r>
      <t xml:space="preserve"> * </t>
    </r>
    <r>
      <rPr>
        <sz val="11"/>
        <rFont val="Calibri"/>
        <family val="2"/>
        <scheme val="minor"/>
      </rPr>
      <t>Tax(Current+Provision) Amount</t>
    </r>
  </si>
  <si>
    <r>
      <t>*</t>
    </r>
    <r>
      <rPr>
        <sz val="11"/>
        <rFont val="Calibri"/>
        <family val="2"/>
        <scheme val="minor"/>
      </rPr>
      <t>Total Current Assets</t>
    </r>
  </si>
  <si>
    <r>
      <t xml:space="preserve"> * </t>
    </r>
    <r>
      <rPr>
        <sz val="11"/>
        <rFont val="Calibri"/>
        <family val="2"/>
        <scheme val="minor"/>
      </rPr>
      <t>Total current Liabilities</t>
    </r>
  </si>
  <si>
    <r>
      <t>*</t>
    </r>
    <r>
      <rPr>
        <sz val="11"/>
        <rFont val="Calibri"/>
        <family val="2"/>
        <scheme val="minor"/>
      </rPr>
      <t>Total term Liabilities</t>
    </r>
  </si>
  <si>
    <r>
      <t xml:space="preserve"> * </t>
    </r>
    <r>
      <rPr>
        <sz val="11"/>
        <rFont val="Calibri"/>
        <family val="2"/>
        <scheme val="minor"/>
      </rPr>
      <t>Equity Capital</t>
    </r>
  </si>
  <si>
    <r>
      <t>*</t>
    </r>
    <r>
      <rPr>
        <sz val="11"/>
        <rFont val="Calibri"/>
        <family val="2"/>
        <scheme val="minor"/>
      </rPr>
      <t>Preference Capital</t>
    </r>
  </si>
  <si>
    <r>
      <t xml:space="preserve"> * </t>
    </r>
    <r>
      <rPr>
        <sz val="11"/>
        <rFont val="Calibri"/>
        <family val="2"/>
        <scheme val="minor"/>
      </rPr>
      <t>Reserves and Surplus</t>
    </r>
  </si>
  <si>
    <r>
      <t>*</t>
    </r>
    <r>
      <rPr>
        <b/>
        <sz val="8"/>
        <rFont val="Arial"/>
        <family val="2"/>
      </rPr>
      <t>Repayments due within an Year(Current 
portion of long term deu</t>
    </r>
  </si>
  <si>
    <r>
      <t xml:space="preserve">* </t>
    </r>
    <r>
      <rPr>
        <sz val="11"/>
        <rFont val="Calibri"/>
        <family val="2"/>
        <scheme val="minor"/>
      </rPr>
      <t>Guarantee Amount-wise financial Record Unit</t>
    </r>
  </si>
  <si>
    <r>
      <t xml:space="preserve">* </t>
    </r>
    <r>
      <rPr>
        <sz val="11"/>
        <rFont val="Calibri"/>
        <family val="2"/>
        <scheme val="minor"/>
      </rPr>
      <t>Operating Income</t>
    </r>
  </si>
  <si>
    <r>
      <t xml:space="preserve"> * </t>
    </r>
    <r>
      <rPr>
        <sz val="11"/>
        <rFont val="Calibri"/>
        <family val="2"/>
        <scheme val="minor"/>
      </rPr>
      <t>Profit after Tax(PAT)</t>
    </r>
  </si>
  <si>
    <r>
      <t>*</t>
    </r>
    <r>
      <rPr>
        <sz val="11"/>
        <rFont val="Calibri"/>
        <family val="2"/>
        <scheme val="minor"/>
      </rPr>
      <t>Networth</t>
    </r>
  </si>
  <si>
    <r>
      <t>*</t>
    </r>
    <r>
      <rPr>
        <sz val="11"/>
        <rFont val="Calibri"/>
        <family val="2"/>
        <scheme val="minor"/>
      </rPr>
      <t>Debt Equity Ratio(for the unit)</t>
    </r>
  </si>
  <si>
    <r>
      <t xml:space="preserve"> * </t>
    </r>
    <r>
      <rPr>
        <sz val="11"/>
        <rFont val="Calibri"/>
        <family val="2"/>
        <scheme val="minor"/>
      </rPr>
      <t>Debt Service Coverage Ratio(TL Account)</t>
    </r>
  </si>
  <si>
    <r>
      <t>*</t>
    </r>
    <r>
      <rPr>
        <sz val="11"/>
        <rFont val="Calibri"/>
        <family val="2"/>
        <scheme val="minor"/>
      </rPr>
      <t>Debt Equity Ratio</t>
    </r>
  </si>
  <si>
    <r>
      <t xml:space="preserve"> * </t>
    </r>
    <r>
      <rPr>
        <sz val="11"/>
        <rFont val="Calibri"/>
        <family val="2"/>
        <scheme val="minor"/>
      </rPr>
      <t>Debt Service Coverage Ratio</t>
    </r>
  </si>
  <si>
    <r>
      <t>*</t>
    </r>
    <r>
      <rPr>
        <sz val="11"/>
        <rFont val="Calibri"/>
        <family val="2"/>
        <scheme val="minor"/>
      </rPr>
      <t>Current Ratio</t>
    </r>
  </si>
  <si>
    <r>
      <t xml:space="preserve">* </t>
    </r>
    <r>
      <rPr>
        <sz val="11"/>
        <rFont val="Calibri"/>
        <family val="2"/>
        <scheme val="minor"/>
      </rPr>
      <t>Credit Bureau Personal Score of Chief Promoters</t>
    </r>
  </si>
  <si>
    <r>
      <t>*</t>
    </r>
    <r>
      <rPr>
        <sz val="11"/>
        <rFont val="Calibri"/>
        <family val="2"/>
        <scheme val="minor"/>
      </rPr>
      <t>Total Assets</t>
    </r>
  </si>
  <si>
    <r>
      <t>  * </t>
    </r>
    <r>
      <rPr>
        <sz val="11"/>
        <rFont val="Calibri"/>
        <family val="2"/>
        <scheme val="minor"/>
      </rPr>
      <t>Tenure </t>
    </r>
  </si>
  <si>
    <r>
      <t xml:space="preserve">  *  </t>
    </r>
    <r>
      <rPr>
        <sz val="11"/>
        <rFont val="Calibri"/>
        <family val="2"/>
        <scheme val="minor"/>
      </rPr>
      <t>Type of Base Rate</t>
    </r>
  </si>
  <si>
    <r>
      <t>  * </t>
    </r>
    <r>
      <rPr>
        <sz val="11"/>
        <rFont val="Calibri"/>
        <family val="2"/>
        <scheme val="minor"/>
      </rPr>
      <t>Base Rate</t>
    </r>
  </si>
  <si>
    <r>
      <t>  *</t>
    </r>
    <r>
      <rPr>
        <sz val="11"/>
        <rFont val="Calibri"/>
        <family val="2"/>
        <scheme val="minor"/>
      </rPr>
      <t> Interest Rate</t>
    </r>
  </si>
  <si>
    <r>
      <t xml:space="preserve">*  </t>
    </r>
    <r>
      <rPr>
        <sz val="11"/>
        <rFont val="Calibri"/>
        <family val="2"/>
        <scheme val="minor"/>
      </rPr>
      <t xml:space="preserve">No of Instalments </t>
    </r>
  </si>
  <si>
    <t>Deutsche Bank</t>
  </si>
  <si>
    <r>
      <t xml:space="preserve">* </t>
    </r>
    <r>
      <rPr>
        <sz val="11"/>
        <rFont val="Calibri"/>
        <family val="2"/>
        <scheme val="minor"/>
      </rPr>
      <t>Term Credit Sanctioned(In Rs.)</t>
    </r>
  </si>
  <si>
    <t>Working Capital Limit Sanctioned (In Rs.)</t>
  </si>
  <si>
    <t>Fund Based(In Rs.)</t>
  </si>
  <si>
    <t>Non Fund Based (In Rs.)</t>
  </si>
  <si>
    <r>
      <t xml:space="preserve">* </t>
    </r>
    <r>
      <rPr>
        <sz val="11"/>
        <rFont val="Calibri"/>
        <family val="2"/>
        <scheme val="minor"/>
      </rPr>
      <t>a. Market value of movable collateral security(in Rs.)</t>
    </r>
  </si>
  <si>
    <r>
      <t>*</t>
    </r>
    <r>
      <rPr>
        <b/>
        <sz val="8"/>
        <color rgb="FFFF0000"/>
        <rFont val="Arial"/>
        <family val="2"/>
      </rPr>
      <t xml:space="preserve"> </t>
    </r>
    <r>
      <rPr>
        <b/>
        <sz val="8"/>
        <rFont val="Arial"/>
        <family val="2"/>
      </rPr>
      <t>b. Market value of immovable collateral security(in Rs.)</t>
    </r>
  </si>
  <si>
    <r>
      <t>  * </t>
    </r>
    <r>
      <rPr>
        <sz val="11"/>
        <rFont val="Calibri"/>
        <family val="2"/>
        <scheme val="minor"/>
      </rPr>
      <t>Base Rate (  in % (p.a.))</t>
    </r>
  </si>
  <si>
    <r>
      <t>  *</t>
    </r>
    <r>
      <rPr>
        <sz val="11"/>
        <rFont val="Calibri"/>
        <family val="2"/>
        <scheme val="minor"/>
      </rPr>
      <t> Interest Rate (  in % (p.a.))</t>
    </r>
  </si>
  <si>
    <t>Moratorium(in months)</t>
  </si>
  <si>
    <t>Monthly</t>
  </si>
  <si>
    <t>What type of HL product</t>
  </si>
  <si>
    <t>Amount of Home Loan (Refer point 4 below)</t>
  </si>
  <si>
    <t>If it is a HL BT Loan, confirm if the initial loan was &lt;= INR 25 / 35 Lacs? [Proof has been obtained - Refer to point (d) below]</t>
  </si>
  <si>
    <t>Overall cost of the dwelling unit is &lt;= 30 Lacs / 45 Lacs (Refer point e below)</t>
  </si>
  <si>
    <t>Property is located in the following city?</t>
  </si>
  <si>
    <t>If loan is not being availed by any staff, please mention "Yes" (Refer pt a below). Else "No"</t>
  </si>
  <si>
    <t>Residential status of the property owner</t>
  </si>
  <si>
    <t>The property should be the only residential unit owned by the family</t>
  </si>
  <si>
    <t>Home Loan Declaration Annexure has been obtained? (Signed by all applicants to the loan)</t>
  </si>
  <si>
    <t>CIBIL has been checked for additional property backed facility and found no additional residential property</t>
  </si>
  <si>
    <t>Subsector Code</t>
  </si>
  <si>
    <t>Any loan given to staff may it be Entitlement or Commercial loan, does not qualify as PSL</t>
  </si>
  <si>
    <t>The property being bought should be the only residential unit owned by the family</t>
  </si>
  <si>
    <t>The family is defined as spouse and Children, and parents, brother, sister dependent on the prospective client, but excludes legally separated spouse</t>
  </si>
  <si>
    <t>d)</t>
  </si>
  <si>
    <t>For PSL qualification, original Home Loan should not be &gt; INR 35 Lacs. For Kohlapur, Salem and Vellore, the original Home Loan should not be &gt; INR 25 Lacs.</t>
  </si>
  <si>
    <t>e)</t>
  </si>
  <si>
    <t>For PSL qualification, the cost of the dwelling unit should not be &gt; INR 45 Lacs. For Kohlapur, Salem and Vellore, the cost of the dwelling unit should not be &gt; INR 30 Lacs.</t>
  </si>
  <si>
    <t>Date of Calculator</t>
  </si>
  <si>
    <t>Manufacturing Micro Enterprise</t>
  </si>
  <si>
    <t>0065</t>
  </si>
  <si>
    <t>0066</t>
  </si>
  <si>
    <t>0067</t>
  </si>
  <si>
    <t>Service Micro Enterprise</t>
  </si>
  <si>
    <t>0068</t>
  </si>
  <si>
    <t>Quantum of investment in Plant and Machinery / Equipment in detail below</t>
  </si>
  <si>
    <t>Sales/Turnover (Only Local Sales)</t>
  </si>
  <si>
    <t>0069</t>
  </si>
  <si>
    <t>0070</t>
  </si>
  <si>
    <t>0071</t>
  </si>
  <si>
    <t>0072</t>
  </si>
  <si>
    <t>0073</t>
  </si>
  <si>
    <t>0078</t>
  </si>
  <si>
    <t>0074</t>
  </si>
  <si>
    <t>0075</t>
  </si>
  <si>
    <t>0076</t>
  </si>
  <si>
    <t>0077</t>
  </si>
  <si>
    <t>Micro, Small and Medium enterprise would qualify under PSL</t>
  </si>
  <si>
    <t>Non Salaried Individual</t>
  </si>
  <si>
    <t>0045</t>
  </si>
  <si>
    <t>Investment</t>
  </si>
  <si>
    <t>T/o</t>
  </si>
  <si>
    <t>Micro</t>
  </si>
  <si>
    <t>1cr</t>
  </si>
  <si>
    <t>5cr</t>
  </si>
  <si>
    <t>"Client" is defined as the entity or person who is the main borrower to the facility</t>
  </si>
  <si>
    <t>Small</t>
  </si>
  <si>
    <t>10cr</t>
  </si>
  <si>
    <t>50cr</t>
  </si>
  <si>
    <t>Medium</t>
  </si>
  <si>
    <t>250cr</t>
  </si>
  <si>
    <t>All units GSTIN listed against the same PAN shall be collectively treated as one enterprise and the turnover and investment figures for all of such entities shall be seen together and only the aggregate values will be considered for deciding the category as MSME</t>
  </si>
  <si>
    <t>Exports of goods or services or both, shall be excluded while calculating the turnover of any enterprise whether micro, small or medium, for the purposes of classification.</t>
  </si>
  <si>
    <t>Period Ended</t>
  </si>
  <si>
    <t>Financial Report Type</t>
  </si>
  <si>
    <t>Months</t>
  </si>
  <si>
    <t>12</t>
  </si>
  <si>
    <t>INCOME</t>
  </si>
  <si>
    <t>1.1</t>
  </si>
  <si>
    <t>(I) GROSS DOMESTIC SALES</t>
  </si>
  <si>
    <t>1.2</t>
  </si>
  <si>
    <t>(II) EXPORT SALES</t>
  </si>
  <si>
    <t>1.3</t>
  </si>
  <si>
    <t>GROSS SALES TOTAL</t>
  </si>
  <si>
    <t>1.4</t>
  </si>
  <si>
    <t>EXCISE DUTY</t>
  </si>
  <si>
    <t>1.5</t>
  </si>
  <si>
    <t>NET SALES</t>
  </si>
  <si>
    <t>1.6</t>
  </si>
  <si>
    <t>ADD: TRADING / OTHER OPERATING INCOME</t>
  </si>
  <si>
    <t>1.7</t>
  </si>
  <si>
    <t>EXPORT INCENTIVES</t>
  </si>
  <si>
    <t>1.8</t>
  </si>
  <si>
    <t>DUTY DRAWBACK</t>
  </si>
  <si>
    <t>1.9</t>
  </si>
  <si>
    <t>OTHERS</t>
  </si>
  <si>
    <t>1.10</t>
  </si>
  <si>
    <t>TOTAL OPERATING INCOME</t>
  </si>
  <si>
    <t>2</t>
  </si>
  <si>
    <t>COST OF SALES</t>
  </si>
  <si>
    <t>2.1</t>
  </si>
  <si>
    <t>RAW MATERIALS</t>
  </si>
  <si>
    <t>2.1.1</t>
  </si>
  <si>
    <t>IMPORTED</t>
  </si>
  <si>
    <t>2.1.2</t>
  </si>
  <si>
    <t>INDIGENOUS</t>
  </si>
  <si>
    <t>2.2</t>
  </si>
  <si>
    <t>OTHER SPARES</t>
  </si>
  <si>
    <t>2.2.1</t>
  </si>
  <si>
    <t>2.2.2</t>
  </si>
  <si>
    <t>2.3</t>
  </si>
  <si>
    <t>POWER &amp; FUEL</t>
  </si>
  <si>
    <t>2.4</t>
  </si>
  <si>
    <t>DIRECT LABOUR</t>
  </si>
  <si>
    <t>2.5</t>
  </si>
  <si>
    <t>OTHER MANUFACTURING EXPENSES</t>
  </si>
  <si>
    <t>2.6</t>
  </si>
  <si>
    <t>DEPRECIATION</t>
  </si>
  <si>
    <t>2.7</t>
  </si>
  <si>
    <t>REPAIRS &amp; MAINTENANCE</t>
  </si>
  <si>
    <t>2.8</t>
  </si>
  <si>
    <t>COST OF TRADING GOODS</t>
  </si>
  <si>
    <t>2.9</t>
  </si>
  <si>
    <t>PURCHASES TRADE</t>
  </si>
  <si>
    <t>2.10</t>
  </si>
  <si>
    <t>SUB TOTAL</t>
  </si>
  <si>
    <t>2.11</t>
  </si>
  <si>
    <t>ADD: OPENING STOCK IN PROCESS</t>
  </si>
  <si>
    <t>2.12</t>
  </si>
  <si>
    <t>DEDUCT: CLOSING STOCK IN PROCESS</t>
  </si>
  <si>
    <t>2.13</t>
  </si>
  <si>
    <t>COST OF PRODUCTION:</t>
  </si>
  <si>
    <t>2.14</t>
  </si>
  <si>
    <t>ADD: OPENING STOCK OF FINISHED GOODS</t>
  </si>
  <si>
    <t>2.15</t>
  </si>
  <si>
    <t>DEDUCT: CLOSING STOCK OF FINISHED GOODS</t>
  </si>
  <si>
    <t>2.16</t>
  </si>
  <si>
    <t>COST OF SALES:</t>
  </si>
  <si>
    <t>2.17</t>
  </si>
  <si>
    <t>SELLING, GENERAL &amp; ADM EXPENSES</t>
  </si>
  <si>
    <t>2.18</t>
  </si>
  <si>
    <t>Cost of Sales + SGA</t>
  </si>
  <si>
    <t>2.19</t>
  </si>
  <si>
    <t>PROFIT BEFORE INTEREST &amp; TAX (PBIT)</t>
  </si>
  <si>
    <t>2.20</t>
  </si>
  <si>
    <t>Interest payment to Banks</t>
  </si>
  <si>
    <t>2.20.1</t>
  </si>
  <si>
    <t>INTEREST - WC</t>
  </si>
  <si>
    <t>2.20.2</t>
  </si>
  <si>
    <t>INTEREST - TERM LOANS</t>
  </si>
  <si>
    <t>2.21</t>
  </si>
  <si>
    <t>INTEREST PAYMENT TO FIS</t>
  </si>
  <si>
    <t>2.21.1</t>
  </si>
  <si>
    <t>2.21.2</t>
  </si>
  <si>
    <t>2.22</t>
  </si>
  <si>
    <t>BANK CHARGES</t>
  </si>
  <si>
    <t>2.23</t>
  </si>
  <si>
    <t>INTEREST &amp; OTHER FINANCE CHARGES:</t>
  </si>
  <si>
    <t>2.24</t>
  </si>
  <si>
    <t>OPERATING PROFIT BEFORE TAX (OPBT)</t>
  </si>
  <si>
    <t>3</t>
  </si>
  <si>
    <t>OTHER NON OPERATIVE INCOME</t>
  </si>
  <si>
    <t>3.1</t>
  </si>
  <si>
    <t>CASH INFLOW ITEMS</t>
  </si>
  <si>
    <t>3.1.1</t>
  </si>
  <si>
    <t>(I) INTEREST ON DEPOSITS &amp; DIVIDEND RECEIVED</t>
  </si>
  <si>
    <t>3.1.2</t>
  </si>
  <si>
    <t>(II) FOREX GAINS</t>
  </si>
  <si>
    <t>3.1.3</t>
  </si>
  <si>
    <t>(III) NON OPERATING INCOME FROM SUBSIDIARIES</t>
  </si>
  <si>
    <t>3.1.4</t>
  </si>
  <si>
    <t>(IV) TAX REFUND</t>
  </si>
  <si>
    <t>3.1.5</t>
  </si>
  <si>
    <t>(V) MISC INCOME</t>
  </si>
  <si>
    <t>3.1.6</t>
  </si>
  <si>
    <t>(VI) PROFIT ON SALE OF ASSETS &amp; INVESTMENTS</t>
  </si>
  <si>
    <t>3.2</t>
  </si>
  <si>
    <t>OTHER INCOME</t>
  </si>
  <si>
    <t>3.3</t>
  </si>
  <si>
    <t>NON CASH INFLOW ITEMS</t>
  </si>
  <si>
    <t>3.3.1</t>
  </si>
  <si>
    <t>(I) PROVISIONS / EXPENSES WRITTEN BACK</t>
  </si>
  <si>
    <t>3.4</t>
  </si>
  <si>
    <t>TOTAL NON OPERATING INCOME</t>
  </si>
  <si>
    <t>4</t>
  </si>
  <si>
    <t>OTHER NON OPERATING EXP.</t>
  </si>
  <si>
    <t>4.1</t>
  </si>
  <si>
    <t>CASH OUTFLOW ITEMS</t>
  </si>
  <si>
    <t>4.1.1</t>
  </si>
  <si>
    <t>(I) LOSS ON SALE OF INVESTMENTS</t>
  </si>
  <si>
    <t>4.1.2</t>
  </si>
  <si>
    <t>(II) LOSS ON SALE OF FA</t>
  </si>
  <si>
    <t>4.1.3</t>
  </si>
  <si>
    <t>(III)  DERIVATIVE LOSSES BOOKED</t>
  </si>
  <si>
    <t>4.2</t>
  </si>
  <si>
    <t>NON CASH OUTFLOW ITEMS</t>
  </si>
  <si>
    <t>4.2.1</t>
  </si>
  <si>
    <t>(I) PRELI.EXP / ONE TIME EXPENSES WRITTEN OFF</t>
  </si>
  <si>
    <t>4.2.2</t>
  </si>
  <si>
    <t>(II) MISC EXP. WRITTEN OFF</t>
  </si>
  <si>
    <t>4.2.3</t>
  </si>
  <si>
    <t>(III) PROV. FOR DOUB.DEBTS &amp; DIM.IN THE VAL. OF INV.</t>
  </si>
  <si>
    <t>4.2.4</t>
  </si>
  <si>
    <t>(IV) WEALTH TAX</t>
  </si>
  <si>
    <t>4.3</t>
  </si>
  <si>
    <t>TOTAL NON OPERATING EXPENSES</t>
  </si>
  <si>
    <t>5</t>
  </si>
  <si>
    <t>NET OF NON OPERATING INCOME/EXPENSES</t>
  </si>
  <si>
    <t>6</t>
  </si>
  <si>
    <t>PROFIT BEFORE INTEREST, DEPRECIATION &amp; TAX (PBIDT)</t>
  </si>
  <si>
    <t>7</t>
  </si>
  <si>
    <t>PROFIT BEFORE TAX / LOSS (PBT)</t>
  </si>
  <si>
    <t>8</t>
  </si>
  <si>
    <t>TAX PAID</t>
  </si>
  <si>
    <t>9</t>
  </si>
  <si>
    <t>PROVISION FOR TAXES</t>
  </si>
  <si>
    <t>9.1</t>
  </si>
  <si>
    <t>CURRENT PERIOD</t>
  </si>
  <si>
    <t>9.2</t>
  </si>
  <si>
    <t>DEFFERED TAXES</t>
  </si>
  <si>
    <t>9.3</t>
  </si>
  <si>
    <t>PROVISION FOR TAXES - TOTAL</t>
  </si>
  <si>
    <t>10</t>
  </si>
  <si>
    <t>NET PROFIT/LOSS (PAT)</t>
  </si>
  <si>
    <t>11</t>
  </si>
  <si>
    <t>EXTRAORDINARY ITEMS ADJUSTMENTS:</t>
  </si>
  <si>
    <t>11.1</t>
  </si>
  <si>
    <t>EXTRAORDINARY INCOME ADJUSTMENTS(+)</t>
  </si>
  <si>
    <t>11.2</t>
  </si>
  <si>
    <t>EXTRAORDINARY INCOME ADJUSTMENTS(-)</t>
  </si>
  <si>
    <t>11.3</t>
  </si>
  <si>
    <t>TOTAL EXTRAORDINARY ITEMS</t>
  </si>
  <si>
    <t>ADJUSTED PAT (EXCL EXTRAORDINARY ITEMS)</t>
  </si>
  <si>
    <t>13</t>
  </si>
  <si>
    <t>EQUITY DIVIDEND PAID</t>
  </si>
  <si>
    <t>13.1</t>
  </si>
  <si>
    <t>(I)  AMOUNT</t>
  </si>
  <si>
    <t>13.2</t>
  </si>
  <si>
    <t>(II)  RATE</t>
  </si>
  <si>
    <t>14</t>
  </si>
  <si>
    <t>DIVIDEND TAX</t>
  </si>
  <si>
    <t>15</t>
  </si>
  <si>
    <t>PARTNERS' WITHDRAWAL</t>
  </si>
  <si>
    <t>16</t>
  </si>
  <si>
    <t>DIVIDEND -PREFERENCE</t>
  </si>
  <si>
    <t>17</t>
  </si>
  <si>
    <t>RETAINED PROFIT</t>
  </si>
  <si>
    <t>Domestic Sale</t>
  </si>
  <si>
    <t>Export Sale</t>
  </si>
  <si>
    <t>Other operating Income</t>
  </si>
  <si>
    <t>Direct Expenses</t>
  </si>
  <si>
    <t xml:space="preserve">Depreciation + Ammortisation </t>
  </si>
  <si>
    <t>Interest to Partners and Remuneration (21 &amp; 22) mapped here in addition to Admin exp - Only Admin Expenses to be Mapped here</t>
  </si>
  <si>
    <t>Interest on loans</t>
  </si>
  <si>
    <t>LIABILITIES</t>
  </si>
  <si>
    <t>CURRENT LIABILITIES:</t>
  </si>
  <si>
    <t>1.1.1</t>
  </si>
  <si>
    <t>SHORT TERM BORROWINGS FROM BANKS (INCLUDING BILL PURCHASED/DISCOUNTED)</t>
  </si>
  <si>
    <t>1.1.1.1</t>
  </si>
  <si>
    <t>(I)FROM APPLICANT BANK (CC / WCDL)</t>
  </si>
  <si>
    <t>1.1.1.2</t>
  </si>
  <si>
    <t>(II)FROM OTHER BANKS</t>
  </si>
  <si>
    <t>1.1.1.3</t>
  </si>
  <si>
    <t>(OF (I) AND (II) IN WHICH BILL PURCHASED &amp; DISC.)</t>
  </si>
  <si>
    <t>1.1.1.4</t>
  </si>
  <si>
    <t>1.1.2</t>
  </si>
  <si>
    <t>SUNDRY CREDITORS (TRADE)</t>
  </si>
  <si>
    <t>1.1.3</t>
  </si>
  <si>
    <t>SHORT TERM BORROWINGS FROM ASSOCIATES &amp; GROUP CONCERNS</t>
  </si>
  <si>
    <t>1.1.4</t>
  </si>
  <si>
    <t>SHORT TERM BORROWINGS / COMMERCIAL PAPER</t>
  </si>
  <si>
    <t>1.1.5</t>
  </si>
  <si>
    <t>SHORT TERM BORROWINGS FROM OTHERS</t>
  </si>
  <si>
    <t>1.1.6</t>
  </si>
  <si>
    <t>ADVANCES/ PAYMENTS FROM CUSTOMERS/DEPOSITS FROM DEALERS.</t>
  </si>
  <si>
    <t>1.1.7</t>
  </si>
  <si>
    <t>PROVISION FOR TAXATION</t>
  </si>
  <si>
    <t>1.1.8</t>
  </si>
  <si>
    <t>PROPOSED DIVIDEND</t>
  </si>
  <si>
    <t>1.1.9</t>
  </si>
  <si>
    <t>OTHER STATUTORY LIABILITIES( DUE WITHIN ONE YEAR)</t>
  </si>
  <si>
    <t>1.1.10</t>
  </si>
  <si>
    <t>INSTALLMENTS OF TERM LOANS / DEBENTURES / DPGS ETC. (DUE WITHIN 1 YEAR)</t>
  </si>
  <si>
    <t>1.1.11</t>
  </si>
  <si>
    <t>DEPOSITS DUE FOR REPAYMENT (DUE WITHIN 1 YEAR)</t>
  </si>
  <si>
    <t>1.1.12</t>
  </si>
  <si>
    <t>PREFERENCE SHARES REDEEMABLE (WITHIN 1 YEAR)</t>
  </si>
  <si>
    <t>1.1.13</t>
  </si>
  <si>
    <t>TOTAL REPAYMENTS DUE WITHIN 1 YEAR</t>
  </si>
  <si>
    <t>1.1.14</t>
  </si>
  <si>
    <t>OTHER CURRENT LIABILITIES &amp; PROVISIONS (DUE WITHIN 1 YEAR)</t>
  </si>
  <si>
    <t>1.1.15</t>
  </si>
  <si>
    <t>INTEREST ACC BUT NOT DUE</t>
  </si>
  <si>
    <t>1.1.16</t>
  </si>
  <si>
    <t>PROVISION FOR NPA</t>
  </si>
  <si>
    <t>1.1.17</t>
  </si>
  <si>
    <t>PROVISION FOR LEAVE ENCASHMENT &amp; GRATUITY</t>
  </si>
  <si>
    <t>1.1.18</t>
  </si>
  <si>
    <t>UNCLAIMED DIVIDEND</t>
  </si>
  <si>
    <t>1.1.19</t>
  </si>
  <si>
    <t>LEASE EQUALISATION RESERVE</t>
  </si>
  <si>
    <t>1.1.20</t>
  </si>
  <si>
    <t>1.1.21</t>
  </si>
  <si>
    <t>TOTAL CURRENT LIABILITIES</t>
  </si>
  <si>
    <t>TERM LIABILITIES</t>
  </si>
  <si>
    <t>1.2.1</t>
  </si>
  <si>
    <t>WCTL</t>
  </si>
  <si>
    <t>1.2.2</t>
  </si>
  <si>
    <t>PREF. SHARES (PORTION REDEEMABLE AFTER 1 YR)</t>
  </si>
  <si>
    <t>1.2.3</t>
  </si>
  <si>
    <t>TERM LOANS (EXCLUDING INSTALLMENTS PAYABLE WITHIN ONE YEAR)</t>
  </si>
  <si>
    <t>1.2.4</t>
  </si>
  <si>
    <t>TERM LOANS - FROM FIS</t>
  </si>
  <si>
    <t>1.2.5</t>
  </si>
  <si>
    <t>DEBENTURES</t>
  </si>
  <si>
    <t>1.2.6</t>
  </si>
  <si>
    <t>TERM DEPOSITS</t>
  </si>
  <si>
    <t>1.2.7</t>
  </si>
  <si>
    <t>UNSECURED LOANS</t>
  </si>
  <si>
    <t>1.2.8</t>
  </si>
  <si>
    <t>BORROWINGS FROM SUBSIDIARIES / AFFILIATES (QUASI EQUITY)</t>
  </si>
  <si>
    <t>1.2.9</t>
  </si>
  <si>
    <t>DEPOSIT FROM DEALERS (ONLY IF CONSIDERED AS AVAILABLE FOR LONG TERM)</t>
  </si>
  <si>
    <t>1.2.10</t>
  </si>
  <si>
    <t>OTHER TERM LIABILITIES</t>
  </si>
  <si>
    <t>1.2.11</t>
  </si>
  <si>
    <t>DEFERRED TAX LIABILITY</t>
  </si>
  <si>
    <t>1.2.12</t>
  </si>
  <si>
    <t>TOTAL TERM LIABILITIES</t>
  </si>
  <si>
    <t>TOTAL OUTSIDE LIABILITIES (TOL)</t>
  </si>
  <si>
    <t>NET WORTH</t>
  </si>
  <si>
    <t>1.4.1</t>
  </si>
  <si>
    <t>PARTNERS CAPITAL / PROPRIETOR'S CAPITAL</t>
  </si>
  <si>
    <t>1.4.2</t>
  </si>
  <si>
    <t>SHARE CAPITAL (PAID-UP)</t>
  </si>
  <si>
    <t>1.4.3</t>
  </si>
  <si>
    <t>SHARE APPLICATION (FINALIZED FOR ALLOTMENT)</t>
  </si>
  <si>
    <t>1.4.4</t>
  </si>
  <si>
    <t>TOTAL SHARE CAPITAL</t>
  </si>
  <si>
    <t>1.4.5</t>
  </si>
  <si>
    <t>RESERVES</t>
  </si>
  <si>
    <t>1.4.5.1</t>
  </si>
  <si>
    <t>STATUTORY AND CAPITAL RESERVES</t>
  </si>
  <si>
    <t>1.4.5.2</t>
  </si>
  <si>
    <t>GENERAL RESERVE</t>
  </si>
  <si>
    <t>1.4.5.3</t>
  </si>
  <si>
    <t>REVALUATION RESERVE</t>
  </si>
  <si>
    <t>1.4.5.4</t>
  </si>
  <si>
    <t>1.4.6</t>
  </si>
  <si>
    <t>OTHER RESERVES ( EXCLUDING PROVISIONS)</t>
  </si>
  <si>
    <t>1.4.7</t>
  </si>
  <si>
    <t>SURPLUS (+) OR DEFICIT (-) IN P &amp; L ACCOUNT</t>
  </si>
  <si>
    <t>1.4.8</t>
  </si>
  <si>
    <t>SHARE PREMIUM A/C</t>
  </si>
  <si>
    <t>1.4.9</t>
  </si>
  <si>
    <t>CAPITAL SUBSIDY</t>
  </si>
  <si>
    <t>1.4.10</t>
  </si>
  <si>
    <t>INVESTMENT ALLOWANCE UTILIZATION RESERVE</t>
  </si>
  <si>
    <t>1.4.11</t>
  </si>
  <si>
    <t>TOTAL NET WORTH</t>
  </si>
  <si>
    <t>TOTAL LIABILITIES</t>
  </si>
  <si>
    <t>CONTINGENT LIABILITIES</t>
  </si>
  <si>
    <t>1.6.1</t>
  </si>
  <si>
    <t>ARREARS OF CUMULATIVE DIVIDENDS</t>
  </si>
  <si>
    <t>1.6.2</t>
  </si>
  <si>
    <t>DISPUTED EXCISE / CUSTOMS / INCOME TAX / SALES TAX LIABILITIES</t>
  </si>
  <si>
    <t>1.6.3</t>
  </si>
  <si>
    <t>GRATUITY LIABILITY NOT PROVIDED FOR</t>
  </si>
  <si>
    <t>1.6.4</t>
  </si>
  <si>
    <t>GUARANTEES ISSUED (RELATING TO BUSINESS)</t>
  </si>
  <si>
    <t>1.6.5</t>
  </si>
  <si>
    <t>GUARANTEES ISSUED (FOR GROUP COMPANIES)</t>
  </si>
  <si>
    <t>1.6.6</t>
  </si>
  <si>
    <t>LCS</t>
  </si>
  <si>
    <t>1.6.7</t>
  </si>
  <si>
    <t>ALL OTHER CONTINGENT LIABILITIES -(INCLDG. BILLS PURCHASED - UNDER LC)</t>
  </si>
  <si>
    <t>ASSETS</t>
  </si>
  <si>
    <t>CURRENT ASSETS</t>
  </si>
  <si>
    <t>CASH AND BANK BALANCES</t>
  </si>
  <si>
    <t>INVESTMENTS (OTHER THAN LONG TERM)</t>
  </si>
  <si>
    <t>(I) GOVT. &amp; OTHER SECURITIES</t>
  </si>
  <si>
    <t>(II) FIXED DEPOSITS WITH BANKS</t>
  </si>
  <si>
    <t>2.2.3</t>
  </si>
  <si>
    <t>(III) OTHERS</t>
  </si>
  <si>
    <t>RECEIVABLES</t>
  </si>
  <si>
    <t>2.3.1</t>
  </si>
  <si>
    <t>RECEIVABLES OTHER THAN DEFERRED &amp; EXPORTS (INCL. BILLS PURCHASED &amp; DISCOUNTED BY BANKS)</t>
  </si>
  <si>
    <t>2.3.2</t>
  </si>
  <si>
    <t>EXPORT RECEIVABLES (INCLUDING BILL PURCHASED AND DISCOUNTED)</t>
  </si>
  <si>
    <t>2.3.3</t>
  </si>
  <si>
    <t>RETENTION MONEY / SECURITY DEPOSIT</t>
  </si>
  <si>
    <t>INVENTORY</t>
  </si>
  <si>
    <t>2.4.1</t>
  </si>
  <si>
    <t>RAW MATERIAL - INDIGENOUS</t>
  </si>
  <si>
    <t>2.4.2</t>
  </si>
  <si>
    <t>RAW MATERIAL - IMPORTED</t>
  </si>
  <si>
    <t>2.4.3</t>
  </si>
  <si>
    <t>STOCK IN PROCESS</t>
  </si>
  <si>
    <t>2.4.4</t>
  </si>
  <si>
    <t>FINISHED GOODS</t>
  </si>
  <si>
    <t>2.4.5</t>
  </si>
  <si>
    <t>OTHER CONSUMABLE SPARES - INDIGENOUS</t>
  </si>
  <si>
    <t>2.4.6</t>
  </si>
  <si>
    <t>OTHER CONSUMABLE SPARES - IMPORTED</t>
  </si>
  <si>
    <t>2.4.7</t>
  </si>
  <si>
    <t>SUB TOTAL: OTHER CONSUMABLE SPARES</t>
  </si>
  <si>
    <t>2.4.8</t>
  </si>
  <si>
    <t>OTHER  STOCKS</t>
  </si>
  <si>
    <t>2.4.9</t>
  </si>
  <si>
    <t>SUB TOTAL: INVENTORY</t>
  </si>
  <si>
    <t>2.4.10</t>
  </si>
  <si>
    <t>ADVANCES TO SUPPLIERS OF RAW MATERIAL</t>
  </si>
  <si>
    <t>2.4.11</t>
  </si>
  <si>
    <t>ADVANCE PAYMENT OF TAX</t>
  </si>
  <si>
    <t>OTHER CURRENT ASSETS:</t>
  </si>
  <si>
    <t>2.5.1</t>
  </si>
  <si>
    <t>INTEREST ACCRUED</t>
  </si>
  <si>
    <t>2.5.2</t>
  </si>
  <si>
    <t>ADVANCE RECEIVABLE IN CASH OR KIND</t>
  </si>
  <si>
    <t>2.5.3</t>
  </si>
  <si>
    <t>SUNDRY DEPOSIT</t>
  </si>
  <si>
    <t>2.5.4</t>
  </si>
  <si>
    <t>MODVAT CREDIT RECEIVABLE</t>
  </si>
  <si>
    <t>2.5.5</t>
  </si>
  <si>
    <t>OTHER CURRENT ASSETS</t>
  </si>
  <si>
    <t>TOTAL CURRENT ASSETS</t>
  </si>
  <si>
    <t>FIXED ASSETS</t>
  </si>
  <si>
    <t>2.7.1</t>
  </si>
  <si>
    <t>(I) LAND</t>
  </si>
  <si>
    <t>2.7.2</t>
  </si>
  <si>
    <t>(II) BUILDING</t>
  </si>
  <si>
    <t>2.7.3</t>
  </si>
  <si>
    <t>(III) VEHICLES</t>
  </si>
  <si>
    <t>2.7.4</t>
  </si>
  <si>
    <t>(IV) PLANT &amp; MACHINERY</t>
  </si>
  <si>
    <t>2.7.5</t>
  </si>
  <si>
    <t>(V) FURNITURE &amp; FIXTURES</t>
  </si>
  <si>
    <t>2.7.6</t>
  </si>
  <si>
    <t>(VI) OTHER FIXED ASSETS</t>
  </si>
  <si>
    <t>2.7.7</t>
  </si>
  <si>
    <t>(VII) CAPITAL WIP</t>
  </si>
  <si>
    <t>2.7.8</t>
  </si>
  <si>
    <t>GROSS BLOCK</t>
  </si>
  <si>
    <t>2.7.9</t>
  </si>
  <si>
    <t>LESS: ACCUMULATED DEPRECIATION</t>
  </si>
  <si>
    <t>2.7.10</t>
  </si>
  <si>
    <t>NET BLOCK</t>
  </si>
  <si>
    <t>OTHER NON CURRENT ASSETS</t>
  </si>
  <si>
    <t>2.8.1</t>
  </si>
  <si>
    <t>(I) INVESTMENTS IN SUBSIDIARY COMPANIES/ AFFILIATES</t>
  </si>
  <si>
    <t>2.8.2</t>
  </si>
  <si>
    <t>(II) OTHER INVESTMENTS &amp; INVESTMENT FOR ACQUISITION</t>
  </si>
  <si>
    <t>2.8.3</t>
  </si>
  <si>
    <t>(III) DUE FROM SUBSIDIARIES</t>
  </si>
  <si>
    <t>2.8.4</t>
  </si>
  <si>
    <t>(IV) DEFERRED RECEIVABLES (MATURITY EXCEEDING 1 YEAR)</t>
  </si>
  <si>
    <t>2.8.5</t>
  </si>
  <si>
    <t>(V) MARGIN MONEY KEPT WITH BANKS.</t>
  </si>
  <si>
    <t>2.8.6</t>
  </si>
  <si>
    <t>(VI)DEBTORS MORE THAN 6 MONTHS</t>
  </si>
  <si>
    <t>2.8.7</t>
  </si>
  <si>
    <t>(VII) ADVANCE AGAINST MORTGAGE OF HOUSE PROPERTY</t>
  </si>
  <si>
    <t>2.8.8</t>
  </si>
  <si>
    <t>(VIII) DEFERRED REVENUE EXPENDITURE</t>
  </si>
  <si>
    <t>2.8.9</t>
  </si>
  <si>
    <t>(IX) OTHER NON CURRENT ASSETS (SURPLUS FOR FUTURE EXPANSION, LOANS &amp; ADVANCES NON CURRENT IN NATURE, ICD'S, DUES FROM DIRECTORS)</t>
  </si>
  <si>
    <t>2.8.10</t>
  </si>
  <si>
    <t>(X) BALANCE WITH GOVT. AUTHORITIES</t>
  </si>
  <si>
    <t>2.8.11</t>
  </si>
  <si>
    <t>(XI) SECURITY DEPOSITS</t>
  </si>
  <si>
    <t>2.8.12</t>
  </si>
  <si>
    <t>(XII) ALTERNATE MINIMUM TAX CREDIT</t>
  </si>
  <si>
    <t>2.8.13</t>
  </si>
  <si>
    <t>TOTAL OTHER NON CURRENT ASSETS</t>
  </si>
  <si>
    <t>INTANGIBLE ASSETS (PATENTS, GOODWILL, PRELIM. EXPENSES, BAD/DOUBTFUL EXPENSES NOT PROVIDED FOR)</t>
  </si>
  <si>
    <t>2.9.1</t>
  </si>
  <si>
    <t>(I) ACCUMULATED LOSSES, PRELIMINARY EXPENSES, MISCELLANEOUS EXPENDITURE NOT W/OFF, OTHER DEFERRED REVENUE EXPENSES</t>
  </si>
  <si>
    <t>2.9.2</t>
  </si>
  <si>
    <t>(II) DEFERRED TAX ASSET</t>
  </si>
  <si>
    <t>2.9.3</t>
  </si>
  <si>
    <t>TOTAL ASSETS</t>
  </si>
  <si>
    <t>TANGIBLE NETWORTH</t>
  </si>
  <si>
    <t>TOTAL LIABILITIES - TOTAL ASSETS</t>
  </si>
  <si>
    <r>
      <t>* </t>
    </r>
    <r>
      <rPr>
        <sz val="11"/>
        <rFont val="Calibri"/>
        <family val="2"/>
        <scheme val="minor"/>
      </rPr>
      <t>Credit to be Guaranteed (in Rs.)</t>
    </r>
  </si>
  <si>
    <r>
      <t xml:space="preserve"> * </t>
    </r>
    <r>
      <rPr>
        <sz val="11"/>
        <rFont val="Calibri"/>
        <family val="2"/>
        <scheme val="minor"/>
      </rPr>
      <t>Promotr's contribution in the entity(%)(If there are multiple contributors,((Between 0-100%))</t>
    </r>
  </si>
  <si>
    <r>
      <t>  * </t>
    </r>
    <r>
      <rPr>
        <sz val="11"/>
        <rFont val="Calibri"/>
        <family val="2"/>
        <scheme val="minor"/>
      </rPr>
      <t>Tenure (In Months)</t>
    </r>
  </si>
  <si>
    <t>Credit Bureau Name</t>
  </si>
  <si>
    <t>Credit Bureau Score</t>
  </si>
  <si>
    <t>CIBIL MSME Rank of the firm(if available)</t>
  </si>
  <si>
    <t>Experian Commerical Score(if available)</t>
  </si>
  <si>
    <t>Final Working capital Limits</t>
  </si>
  <si>
    <t>Tenant name</t>
  </si>
  <si>
    <t>Tenant Rating</t>
  </si>
  <si>
    <t>Gross Monthly Rent</t>
  </si>
  <si>
    <t>Net Rental</t>
  </si>
  <si>
    <t>UD FIELD 1</t>
  </si>
  <si>
    <t>Ownership detail</t>
  </si>
  <si>
    <t>Drop down</t>
  </si>
  <si>
    <t>UD FIELD 2</t>
  </si>
  <si>
    <t>Commercial Usage</t>
  </si>
  <si>
    <t>UD FIELD 3</t>
  </si>
  <si>
    <t>Rent Income from Property</t>
  </si>
  <si>
    <t>UD FIELD 4</t>
  </si>
  <si>
    <t>ALV</t>
  </si>
  <si>
    <t>UD FIELD 5</t>
  </si>
  <si>
    <t>MLV1</t>
  </si>
  <si>
    <t>UD FIELD 6</t>
  </si>
  <si>
    <t>MLV2 value</t>
  </si>
  <si>
    <t>UD FIELD 7</t>
  </si>
  <si>
    <t>Application Input date in LOS</t>
  </si>
  <si>
    <t>Input date</t>
  </si>
  <si>
    <t>UD FIELD 8</t>
  </si>
  <si>
    <t>pd done date- dd/mm/yyyy</t>
  </si>
  <si>
    <t>Kindly input date in PD sheet(MM/DD/YYYY)</t>
  </si>
  <si>
    <t>UD FIELD 9</t>
  </si>
  <si>
    <t>RARBM for Mortgages or Rating for BIL/TWC cases</t>
  </si>
  <si>
    <t>Kindly fill details in Rating sheet</t>
  </si>
  <si>
    <t>UD FIELD 10</t>
  </si>
  <si>
    <t>PSL subsector Code</t>
  </si>
  <si>
    <t>UD FIELD 11</t>
  </si>
  <si>
    <t>Yes/No (PSL Sales Confirmation to be untouched by Underwriters)</t>
  </si>
  <si>
    <t>Update basis sales confirmation</t>
  </si>
  <si>
    <t>UD FIELD 12</t>
  </si>
  <si>
    <t>amount of unhedged foreign currency</t>
  </si>
  <si>
    <t>UD FIELD 13</t>
  </si>
  <si>
    <t>Mention PBDIT if case done in PBDIT or else NA</t>
  </si>
  <si>
    <t>Input value</t>
  </si>
  <si>
    <t>UD FIELD 14</t>
  </si>
  <si>
    <t>Combo case or else NA</t>
  </si>
  <si>
    <t>UD FIELD 15</t>
  </si>
  <si>
    <t>UD FIELD 16</t>
  </si>
  <si>
    <t>Applicable” / “Not Applicable</t>
  </si>
  <si>
    <t>UD FIELD 17</t>
  </si>
  <si>
    <t>UD FIELD 18</t>
  </si>
  <si>
    <t>Segment Classification</t>
  </si>
  <si>
    <t>Manufacturing Micro Minor</t>
  </si>
  <si>
    <t xml:space="preserve">Manufacturing Micro Major </t>
  </si>
  <si>
    <t xml:space="preserve">Manufacturing Small </t>
  </si>
  <si>
    <t xml:space="preserve">Manufacturing Medium </t>
  </si>
  <si>
    <t xml:space="preserve">Service Micro Minor </t>
  </si>
  <si>
    <t xml:space="preserve">Service Micro Major </t>
  </si>
  <si>
    <t xml:space="preserve">Service Small </t>
  </si>
  <si>
    <t xml:space="preserve">Service Medium </t>
  </si>
  <si>
    <t xml:space="preserve">Manufacturing Large </t>
  </si>
  <si>
    <t xml:space="preserve">Service Large </t>
  </si>
  <si>
    <t>Non-PSL Others</t>
  </si>
  <si>
    <t>UD FIELD 19</t>
  </si>
  <si>
    <t xml:space="preserve">&lt; INR 25 Crores and &lt; INR 25 Crores </t>
  </si>
  <si>
    <t>Total Banking Exposure</t>
  </si>
  <si>
    <t>UD FIELD 20</t>
  </si>
  <si>
    <t>FCE - Customer is in to foreign Exporter or not</t>
  </si>
  <si>
    <t xml:space="preserve">CGTMSE </t>
  </si>
  <si>
    <t>Backed by CGTMSE</t>
  </si>
  <si>
    <t>Letter of Credit - Eligibility</t>
  </si>
  <si>
    <t xml:space="preserve">Projected        </t>
  </si>
  <si>
    <t>Raw material to be purchased under LC during next 12 months</t>
  </si>
  <si>
    <t>C (lakhs/crores)</t>
  </si>
  <si>
    <t>Lead time from opening of credit to shipment</t>
  </si>
  <si>
    <t>L (No. of days)</t>
  </si>
  <si>
    <t>Transit period of goods till it arrives at the factory</t>
  </si>
  <si>
    <t>T (No. of days)</t>
  </si>
  <si>
    <t>D</t>
  </si>
  <si>
    <t>Average Usance period (Stock + creditors days)</t>
  </si>
  <si>
    <t>U (No of months * 30)</t>
  </si>
  <si>
    <t>no of month</t>
  </si>
  <si>
    <t>E</t>
  </si>
  <si>
    <t xml:space="preserve">Operating cycle of the borrower </t>
  </si>
  <si>
    <t>P 365/(L+T+U)</t>
  </si>
  <si>
    <t>F</t>
  </si>
  <si>
    <t>LC requirment</t>
  </si>
  <si>
    <t>C/P</t>
  </si>
  <si>
    <t>S No.</t>
  </si>
  <si>
    <t xml:space="preserve">Tenor of BG </t>
  </si>
  <si>
    <t>Total BG o/s as on date</t>
  </si>
  <si>
    <t xml:space="preserve">BG required for bid bond </t>
  </si>
  <si>
    <t>BG required for performance guarantee in next 12 months</t>
  </si>
  <si>
    <t>BG required for retention money in next 12 months</t>
  </si>
  <si>
    <t>Any other BG requirement in next 12 months</t>
  </si>
  <si>
    <t>BG will be returned in next 12 months</t>
  </si>
  <si>
    <t>G</t>
  </si>
  <si>
    <t>Total requirement in next 12 months (A+B+C+D+E-F)</t>
  </si>
  <si>
    <t>EMI on proposed DB mortgage loan (monthy)</t>
  </si>
  <si>
    <t>Magnus-Unsecured</t>
  </si>
  <si>
    <t>CGTMSE Input</t>
  </si>
  <si>
    <t>CGTMSE OUtput Sheet</t>
  </si>
  <si>
    <t>LC Eligibility</t>
  </si>
  <si>
    <t>BG Eligibilty</t>
  </si>
  <si>
    <t>HL PSL Calculator</t>
  </si>
  <si>
    <t>UD Fields</t>
  </si>
  <si>
    <t>Tenor (in Months)</t>
  </si>
  <si>
    <t>Purpose of facility</t>
  </si>
  <si>
    <t>Approved Facility Details (under CGTMSE backed)</t>
  </si>
  <si>
    <t>Date of Approval</t>
  </si>
  <si>
    <t>Paragon (GCRS) Check</t>
  </si>
  <si>
    <t>Name of Applicant - 2</t>
  </si>
  <si>
    <t>Name of Applicant - 3</t>
  </si>
  <si>
    <t>Delta</t>
  </si>
  <si>
    <t>PAN:</t>
  </si>
  <si>
    <t>Factory / Manufacturing / GSTN</t>
  </si>
  <si>
    <t>Year</t>
  </si>
  <si>
    <t>Year1</t>
  </si>
  <si>
    <t>Year2</t>
  </si>
  <si>
    <t>Year3</t>
  </si>
  <si>
    <t>Year4</t>
  </si>
  <si>
    <t>FY</t>
  </si>
  <si>
    <t>UBL/BIL CAT Version 7.6 - Jan 2020</t>
  </si>
  <si>
    <t>UBL/BIL - Personal Discussion format</t>
  </si>
  <si>
    <t>Factory / Godown Address :</t>
  </si>
  <si>
    <t>List of directors / partners</t>
  </si>
  <si>
    <t>Shareholding pattern / Stakeholders ( partnership firms)</t>
  </si>
  <si>
    <t>Relevant Qualification of Promoter</t>
  </si>
  <si>
    <t>Key man risk</t>
  </si>
  <si>
    <t>High</t>
  </si>
  <si>
    <t>20 Years &amp; 0 Months</t>
  </si>
  <si>
    <t>Ownership of Business premises/Key machine</t>
  </si>
  <si>
    <t>Manufacturing</t>
  </si>
  <si>
    <t>Entity has multiple product lines/product variants contributing to total revenue with contribution of top 3 products/customers to revenue is less than 20%</t>
  </si>
  <si>
    <t>Diversification of Revenue Base</t>
  </si>
  <si>
    <t>Limited number of customers/products (&gt;=3 to &lt;=7) and contribution of top 3 products/customers to revenue is less than 50%</t>
  </si>
  <si>
    <t>Limited number of customers/products (&gt;=3 to &lt;=7) and contribution of top 3 products/customers to revenue is more than 50%</t>
  </si>
  <si>
    <t>Presence of Local Competition</t>
  </si>
  <si>
    <t>Low</t>
  </si>
  <si>
    <t>Scalability of the business</t>
  </si>
  <si>
    <t>Low scalability due to captial intensive nature of business</t>
  </si>
  <si>
    <t>Very few (less than 3) customers/products resulting in high concentration risk</t>
  </si>
  <si>
    <t>Foreign Exchange Exposure (Deflator)</t>
  </si>
  <si>
    <t>High Risk</t>
  </si>
  <si>
    <t>Regulatory Concession (Deflator)</t>
  </si>
  <si>
    <t>Concessions likely to be withdrawn in near term (Within 3 years)</t>
  </si>
  <si>
    <t>Medium Term Working Capital</t>
  </si>
  <si>
    <t>Supplier Feedback</t>
  </si>
  <si>
    <t>Neutral</t>
  </si>
  <si>
    <t>Customer Feedback</t>
  </si>
  <si>
    <t>Supply to high risk industries - Deflator</t>
  </si>
  <si>
    <t>All other scenarios</t>
  </si>
  <si>
    <r>
      <t>Commercial / Residential / Chawl/ Factory / Warehouse /</t>
    </r>
    <r>
      <rPr>
        <b/>
        <sz val="12"/>
        <rFont val="Tahoma"/>
        <family val="2"/>
      </rPr>
      <t xml:space="preserve"> </t>
    </r>
    <r>
      <rPr>
        <sz val="12"/>
        <rFont val="Tahoma"/>
        <family val="2"/>
      </rPr>
      <t>Retail Shop</t>
    </r>
    <r>
      <rPr>
        <b/>
        <sz val="12"/>
        <color rgb="FF00B0F0"/>
        <rFont val="Tahoma"/>
        <family val="2"/>
      </rPr>
      <t xml:space="preserve"> </t>
    </r>
    <r>
      <rPr>
        <sz val="12"/>
        <rFont val="Tahoma"/>
        <family val="2"/>
      </rPr>
      <t>/ Office complex / Others ______________________________</t>
    </r>
  </si>
  <si>
    <r>
      <t>Owned / Rented /</t>
    </r>
    <r>
      <rPr>
        <b/>
        <sz val="12"/>
        <rFont val="Tahoma"/>
        <family val="2"/>
      </rPr>
      <t xml:space="preserve"> </t>
    </r>
    <r>
      <rPr>
        <sz val="12"/>
        <rFont val="Tahoma"/>
        <family val="2"/>
      </rPr>
      <t>Others</t>
    </r>
    <r>
      <rPr>
        <b/>
        <sz val="12"/>
        <rFont val="Tahoma"/>
        <family val="2"/>
      </rPr>
      <t xml:space="preserve"> </t>
    </r>
    <r>
      <rPr>
        <sz val="12"/>
        <rFont val="Tahoma"/>
        <family val="2"/>
      </rPr>
      <t>__________________________________________________</t>
    </r>
  </si>
  <si>
    <r>
      <t xml:space="preserve">           </t>
    </r>
    <r>
      <rPr>
        <sz val="12"/>
        <rFont val="Symbol"/>
        <family val="1"/>
        <charset val="2"/>
      </rPr>
      <t></t>
    </r>
    <r>
      <rPr>
        <sz val="12"/>
        <rFont val="Tahoma"/>
        <family val="2"/>
      </rPr>
      <t xml:space="preserve">          Recommended                       </t>
    </r>
    <r>
      <rPr>
        <sz val="12"/>
        <rFont val="Symbol"/>
        <family val="1"/>
        <charset val="2"/>
      </rPr>
      <t></t>
    </r>
    <r>
      <rPr>
        <sz val="12"/>
        <rFont val="Tahoma"/>
        <family val="2"/>
      </rPr>
      <t xml:space="preserve">            Not Recommended </t>
    </r>
  </si>
  <si>
    <t>Management Succession Plans</t>
  </si>
  <si>
    <t xml:space="preserve">Company is witnessing legal battles with respect to ownership. Succession related issues have affected the continuity of operations. Business shows uncertainty regarding the future allocation of key managerial roles. </t>
  </si>
  <si>
    <t xml:space="preserve">Extremely conservative management. Diversifications, if any, are in related areas, and have been implemented in a phase wise manner, so as to avoid strain on existing cash flows. Company avoids high risk investments such as ICDs to weak companies, etc. </t>
  </si>
  <si>
    <t>Competence/Technical skills of Management</t>
  </si>
  <si>
    <t>Faulty management decisions are known to have affected the company significantly in the past. Top management is underqualified to be leading the company. Company pursues fairly outdated systems and procedures</t>
  </si>
  <si>
    <t xml:space="preserve">Propensity to undertake expansions significant in relation to existing size. Moderate to high leveraging. </t>
  </si>
  <si>
    <t>Business &amp; Financial Policy</t>
  </si>
  <si>
    <t xml:space="preserve">The company has access to a large managerial pool for future leadership. The dependence on a single/small group is low. Company's operations are expected to proceed smoothly in the event of a change in top management. </t>
  </si>
  <si>
    <t xml:space="preserve">Gearing is on the higher side and needs to be controlled. Fairly conservative with respect to investment of short term surpluses. </t>
  </si>
  <si>
    <t xml:space="preserve">There is a little risk of infighting for the top posts subsequent to the exit of the present leadership and needs to be controlled in order to facilitate successful and effective management succession. </t>
  </si>
  <si>
    <t xml:space="preserve">Management is highly risk prone. Undertakes substantial risks in the form of debt funded expansion in unrelated areas, high risk investments, etc. </t>
  </si>
  <si>
    <t xml:space="preserve">Company's operations are fairly dependent on the present leadership for strategic direction. </t>
  </si>
  <si>
    <t>Management is highly qualified, and perceived to be of exceptional quality. The quality of senior personnel provides the company a definite competitive edge</t>
  </si>
  <si>
    <t>Qualified management held in high regard among peers but there is a need for improvement in decision making</t>
  </si>
  <si>
    <t>Capabilities of the top management perceived to be well below that of the industry leaders</t>
  </si>
  <si>
    <t>Impact of Government Policies</t>
  </si>
  <si>
    <t>Demand Supply Scenario</t>
  </si>
  <si>
    <t>Extremely favourable demand supply gap</t>
  </si>
  <si>
    <t>Supplier Concentration</t>
  </si>
  <si>
    <t>Top 5 suppliers accounting for 70% or more of raw materials</t>
  </si>
  <si>
    <t>Volatility in Raw Material Prices</t>
  </si>
  <si>
    <t>More than 40% increase</t>
  </si>
  <si>
    <t>More than 60% sales to high risk industries</t>
  </si>
  <si>
    <t>Competitive Advantage</t>
  </si>
  <si>
    <t xml:space="preserve">High competitive environment with large number of players </t>
  </si>
  <si>
    <t>Competition</t>
  </si>
  <si>
    <t>Highly fragmented players</t>
  </si>
  <si>
    <t xml:space="preserve">                                                                                                                                                         </t>
  </si>
  <si>
    <t>Nature of Technology Employed(Manufacturing)</t>
  </si>
  <si>
    <t>The most advanced and proven technology</t>
  </si>
  <si>
    <t>Capacity Utilization of installed capacity  (In %)</t>
  </si>
  <si>
    <t>PD - MSME</t>
  </si>
  <si>
    <t>PD - Others</t>
  </si>
  <si>
    <t>year</t>
  </si>
  <si>
    <t>fy</t>
  </si>
  <si>
    <t>report_type</t>
  </si>
  <si>
    <t>auditor_name</t>
  </si>
  <si>
    <t>PL01</t>
  </si>
  <si>
    <t>PL02</t>
  </si>
  <si>
    <t>PL03</t>
  </si>
  <si>
    <t>PL04</t>
  </si>
  <si>
    <t>PL05</t>
  </si>
  <si>
    <t>PL06</t>
  </si>
  <si>
    <t>PL07</t>
  </si>
  <si>
    <t>PL08</t>
  </si>
  <si>
    <t>PL09</t>
  </si>
  <si>
    <t>PL10</t>
  </si>
  <si>
    <t>PL11</t>
  </si>
  <si>
    <t>PL12</t>
  </si>
  <si>
    <t>PL13</t>
  </si>
  <si>
    <t>PL14</t>
  </si>
  <si>
    <t>PL15</t>
  </si>
  <si>
    <t>PL16</t>
  </si>
  <si>
    <t>PL17</t>
  </si>
  <si>
    <t>PL18</t>
  </si>
  <si>
    <t>PL19</t>
  </si>
  <si>
    <t>PL20</t>
  </si>
  <si>
    <t>PL21</t>
  </si>
  <si>
    <t>PL22</t>
  </si>
  <si>
    <t>PL23</t>
  </si>
  <si>
    <t>PL24</t>
  </si>
  <si>
    <t>PL25</t>
  </si>
  <si>
    <t>PL26</t>
  </si>
  <si>
    <t>PL27</t>
  </si>
  <si>
    <t>PL28</t>
  </si>
  <si>
    <t>BS01</t>
  </si>
  <si>
    <t>BS02</t>
  </si>
  <si>
    <t>BS03</t>
  </si>
  <si>
    <t>BS04</t>
  </si>
  <si>
    <t>BS05</t>
  </si>
  <si>
    <t>BS06</t>
  </si>
  <si>
    <t>BS07</t>
  </si>
  <si>
    <t>BS08</t>
  </si>
  <si>
    <t>BS09</t>
  </si>
  <si>
    <t>BS10</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</si>
  <si>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</si>
  <si>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</si>
  <si>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</si>
  <si>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</si>
  <si>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</si>
  <si>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</si>
  <si>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</si>
  <si>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</si>
  <si>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</si>
  <si>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</si>
  <si>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</si>
  <si>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</si>
  <si>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</si>
  <si>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</si>
  <si>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</si>
  <si>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</si>
  <si>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</si>
  <si>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</si>
  <si>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</si>
  <si>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</si>
  <si>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</si>
  <si>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</si>
  <si>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BS33</t>
  </si>
  <si>
    <t>BS34</t>
  </si>
  <si>
    <t>BS35</t>
  </si>
  <si>
    <t>BS36</t>
  </si>
  <si>
    <t>BS37</t>
  </si>
  <si>
    <t>BS38</t>
  </si>
  <si>
    <t>BS39</t>
  </si>
  <si>
    <t>BS40</t>
  </si>
  <si>
    <t>BS41</t>
  </si>
  <si>
    <t>BS42</t>
  </si>
  <si>
    <t>BS43</t>
  </si>
  <si>
    <t>BS44</t>
  </si>
  <si>
    <t>BS45</t>
  </si>
  <si>
    <t>BS46</t>
  </si>
  <si>
    <t>BS47</t>
  </si>
  <si>
    <t>Sal01</t>
  </si>
  <si>
    <t>Sal02</t>
  </si>
  <si>
    <t>Sal03</t>
  </si>
  <si>
    <t>Sal04</t>
  </si>
  <si>
    <t>Sal05</t>
  </si>
  <si>
    <t>Sal06</t>
  </si>
  <si>
    <t>Sal07</t>
  </si>
  <si>
    <t>Sal08</t>
  </si>
  <si>
    <t>Sal09</t>
  </si>
  <si>
    <t>Sal10</t>
  </si>
  <si>
    <t>Sal11</t>
  </si>
  <si>
    <t>Sal12</t>
  </si>
  <si>
    <t>Sal13</t>
  </si>
  <si>
    <t>Sal14</t>
  </si>
  <si>
    <t>Sal15</t>
  </si>
  <si>
    <t>Sal16</t>
  </si>
  <si>
    <t>Sal17</t>
  </si>
  <si>
    <t>Sal18</t>
  </si>
  <si>
    <t>Sal19</t>
  </si>
  <si>
    <t>Sal20</t>
  </si>
  <si>
    <t>Sal21</t>
  </si>
  <si>
    <t>HOME LOAN - PSL (Version 6.11)</t>
  </si>
  <si>
    <t>MSE PSL Template (Version 6.11)</t>
  </si>
  <si>
    <t>If it is a fresh facility in above, please confirm if the loan taken is for the purpose of business</t>
  </si>
  <si>
    <t>0006</t>
  </si>
  <si>
    <t>Answer this only when the assessed  loan being taken over, was used for the purpose of business</t>
  </si>
  <si>
    <t>0007</t>
  </si>
  <si>
    <t>Whether Udyam Received</t>
  </si>
  <si>
    <t>0008</t>
  </si>
  <si>
    <t>Udyam Date (DD-MMM-YY)</t>
  </si>
  <si>
    <t>0009</t>
  </si>
  <si>
    <t>Exisiting Sub Sector code  (incase customer having existing active lending relationship with DB)</t>
  </si>
  <si>
    <t>0010</t>
  </si>
  <si>
    <t>Exisiting MSME sector</t>
  </si>
  <si>
    <t>0011</t>
  </si>
  <si>
    <t>Classifying MSME basis:</t>
  </si>
  <si>
    <t>0012</t>
  </si>
  <si>
    <t>0013</t>
  </si>
  <si>
    <t xml:space="preserve">WDV in Plant &amp; Machinery or Equipment          </t>
  </si>
  <si>
    <t>0017</t>
  </si>
  <si>
    <t>NonMsme</t>
  </si>
  <si>
    <t>0018</t>
  </si>
  <si>
    <t>0031</t>
  </si>
  <si>
    <t>0032</t>
  </si>
  <si>
    <t>0033</t>
  </si>
  <si>
    <t>0034</t>
  </si>
  <si>
    <t>Type of Enterpise (Enterprse classification basis the defination effective July 2020)</t>
  </si>
  <si>
    <t>0035</t>
  </si>
  <si>
    <t>Is the case PSL/Non PSL</t>
  </si>
  <si>
    <t>0036</t>
  </si>
  <si>
    <t>0037</t>
  </si>
  <si>
    <t>Basis the new classification as calculated now, whether the customer will be updgraded or downgraded for MSME classification</t>
  </si>
  <si>
    <t>0038</t>
  </si>
  <si>
    <t>Date on which new sector code will be applicable</t>
  </si>
  <si>
    <t>0039</t>
  </si>
  <si>
    <t>If the customer availaing loan for the first time ever in banking system</t>
  </si>
  <si>
    <t>0040</t>
  </si>
  <si>
    <t>0044</t>
  </si>
  <si>
    <t>HOUSING LOAN NON PSL</t>
  </si>
  <si>
    <t>Only update cells in "Grey"</t>
  </si>
  <si>
    <t>Apr</t>
  </si>
  <si>
    <t>May</t>
  </si>
  <si>
    <t>Mar</t>
  </si>
  <si>
    <t>Jun</t>
  </si>
  <si>
    <t>Jul</t>
  </si>
  <si>
    <t>Balance</t>
  </si>
  <si>
    <t>Aug</t>
  </si>
  <si>
    <t>Sep</t>
  </si>
  <si>
    <t>01-Apr-</t>
  </si>
  <si>
    <t>Oct</t>
  </si>
  <si>
    <t>Nov</t>
  </si>
  <si>
    <t>Dec</t>
  </si>
  <si>
    <t>Jan</t>
  </si>
  <si>
    <t>Feb</t>
  </si>
  <si>
    <t>Aarbur</t>
  </si>
  <si>
    <t>CIBIL of Aarbur</t>
  </si>
  <si>
    <t>Commercial Cibil</t>
  </si>
  <si>
    <t>3-AUTO LOAN-SELF</t>
  </si>
  <si>
    <t>4-AUTO LOAN-SELF</t>
  </si>
  <si>
    <t>5-AUTO LOAN-SELF</t>
  </si>
  <si>
    <t>6-AUTO LOAN-SELF</t>
  </si>
  <si>
    <t>TransUnion</t>
  </si>
  <si>
    <t>AAFFA3584J</t>
  </si>
  <si>
    <t>CMR-3</t>
  </si>
  <si>
    <t>1 - 0</t>
  </si>
  <si>
    <t>2 - 0</t>
  </si>
  <si>
    <t>3 - 0</t>
  </si>
  <si>
    <t>9 - 0</t>
  </si>
  <si>
    <t xml:space="preserve"> AGTR1G-Credit relationship experience is of multiple business cycles_x000D_ CIBIL MSME Rank CMR-3 FFTL3G-Moderate financial flexibility due to moderate amortization of_x000D_ term loan_x000D_</t>
  </si>
  <si>
    <t>Aarbur was established in 1987 as a 100% export - oriented unit specialising in the manufacture of jute bags. With over 40 years in the business, today it has established itself as the premier manufacturer and exporter of jute bags from India. Last year, the firm exported 1.2 million shopping bags to the United States, Germany, Spain, Portugal, Argentina, Sweden, Denmark, among other countries. With increased production capacities, the firm has set itself an export target of 2.00 million bags this year.
The firm has a simple philosophy which guides its activities: respect for nature and mankind. This finds expression in everything the firm does: from the purchase of raw materials to the packing of the finished products. Each stage is carefully monitored to ensure that we remain ‘eco-friendly’.Our Certifications
Our Certifications
CGTA CERTIFICATE
FIEO CERTIFICATE
NJB CERTIFICATE
Quality Compliance
Natural
Grown without pesticides
Naturally water resistant
Low thermal conductivity
High Tensile strength
Heavy-weight and durable
Antistatic properties
100% Sustainable and Biodegradable
Manufacturing Facilities
Manufacturing Facilities
Located on the outskirts of Calcutta, the Aarbur factory is an interesting contrast of modernity in its quiet, semi-urban environs. Spread over an area of 9600 square yards, the factory is equipped with state-of-the-art lamination, cutting, printing and stitching machines, a veritable 'one-stop-shop' for the manufacture of jute bags.
Conscious of its commitment to the environment, every stage in the production process remains environment friendly. The work force is skilled and trained to ensure that each product with the Aarbur label meets the most exacting standards. In fact, Aarbur is the only Jute Shopping Bag Manufacturing company in India with in-house lamination and table drying facilities. Aarbur is known not just for the quality of product as also for the warmth it extends to any relationship: be it towards its work force, suppliers or buyers.</t>
  </si>
  <si>
    <t>https://www.indiamart.com/aarbur/aboutus.html</t>
  </si>
  <si>
    <t>www.aarbur.com</t>
  </si>
  <si>
    <t>N/A</t>
  </si>
  <si>
    <t>AARBUR</t>
  </si>
  <si>
    <t>AXIG56160353</t>
  </si>
  <si>
    <t>No Risk</t>
  </si>
  <si>
    <t>Court Records do not have any impact on financial liability of the person.</t>
  </si>
  <si>
    <t>https://crime.getupforchange.com/api/v3/downloadReport/1627705449747/namastecredit-sandbox</t>
  </si>
  <si>
    <t xml:space="preserve">AARBUR </t>
  </si>
  <si>
    <t>SHEKHAR BURMAN</t>
  </si>
  <si>
    <t>SATYAJEET BURMAN</t>
  </si>
  <si>
    <t>KYC is captured from the kyc documents</t>
  </si>
  <si>
    <t>2 CA membership details is caputred from the financials</t>
  </si>
  <si>
    <t>Shareholding pattern is captured from the financials</t>
  </si>
  <si>
    <t>Income tax is captured from the ITR</t>
  </si>
  <si>
    <t>ESIC information is not available</t>
  </si>
  <si>
    <t>It is involved in manufacturing of jute bags</t>
  </si>
  <si>
    <t>Non HRP</t>
  </si>
  <si>
    <t>KOLKATA</t>
  </si>
  <si>
    <t>Partner</t>
  </si>
  <si>
    <t>AFOPB3328M</t>
  </si>
  <si>
    <t>AFQPB0078Q</t>
  </si>
  <si>
    <t>Male</t>
  </si>
  <si>
    <t>Married</t>
  </si>
  <si>
    <t>INDIAN</t>
  </si>
  <si>
    <t>CIBIL</t>
  </si>
  <si>
    <t>9831006240</t>
  </si>
  <si>
    <t xml:space="preserve">CMR - 3 </t>
  </si>
  <si>
    <t>New</t>
  </si>
  <si>
    <t>Sunflower Court Flat 4B 7 Love Lock Place Ballygunge Ballygunge. Kolkata West Bengal - 700019</t>
  </si>
  <si>
    <t>9831069489</t>
  </si>
  <si>
    <t>58/1 Ballygunge Circular Road 53-C Saptaparni Ballygunge S.O Ballygunge Kolkata West Bengal 700019</t>
  </si>
  <si>
    <t>Audited</t>
  </si>
  <si>
    <t>ANAND MUSKARA</t>
  </si>
  <si>
    <t>RIMMI AGARWAL</t>
  </si>
  <si>
    <t xml:space="preserve">MANUFACTURING </t>
  </si>
  <si>
    <t>CIBIL OF SHEKHAR BURMAN</t>
  </si>
  <si>
    <t xml:space="preserve">PROPERTY LOAN - JOINT </t>
  </si>
  <si>
    <t>CONSUMER LOAN - INDIVIDUAL</t>
  </si>
  <si>
    <t>CIBIL OF SATYAJEET BURMAN</t>
  </si>
  <si>
    <t xml:space="preserve">PERSONEL LOAN - JOINT </t>
  </si>
  <si>
    <t>PERSONEL LOAN - GUARANTOR</t>
  </si>
  <si>
    <t>Clear track</t>
  </si>
  <si>
    <t>JOINT CIBIL OF SHEKHAR BURMAN AND SATYAJEET BURMAN</t>
  </si>
  <si>
    <t>JOINT CIBIL of Aarbur AND SHEKHAR BURMAN</t>
  </si>
  <si>
    <t>DB</t>
  </si>
  <si>
    <t>Other income is captured under the head excetional income/non-operating income</t>
  </si>
  <si>
    <t>Commission is captured under the head refund/commission(+)/discount(-)</t>
  </si>
  <si>
    <t xml:space="preserve">Finance cost is captured under the head interest on loan </t>
  </si>
  <si>
    <t>Direct expenses &amp; rent, Freight is captured under the head direct expenses</t>
  </si>
  <si>
    <t>OD is captured under the head bank overdraft a/c</t>
  </si>
  <si>
    <t>Advance from customers is deducted under the head sundry debtors</t>
  </si>
  <si>
    <t>19AAFFA3584J1Z6</t>
  </si>
  <si>
    <t>Active</t>
  </si>
  <si>
    <t>Regular</t>
  </si>
  <si>
    <t>327, DR B C ROY ROAD, D JAGADDAOL, DINGELPOTA, Kolkata, West Bengal, 700151</t>
  </si>
  <si>
    <t>(JURISDICTION - CENTER)
Commissionerate - KOLKATA-SOUTH
Division - BISHNUPUR DIVISION
Range - RANGE-I</t>
  </si>
  <si>
    <t>(JURISDICTION - STATE)
Commissionerate - West Bengal
Circle - BEHALA
Charge - BARUIPUR</t>
  </si>
  <si>
    <t>GSTR3B</t>
  </si>
  <si>
    <t>2021-2022</t>
  </si>
  <si>
    <t>June</t>
  </si>
  <si>
    <t>22/07/2021</t>
  </si>
  <si>
    <t>Filed</t>
  </si>
  <si>
    <t>April</t>
  </si>
  <si>
    <t>2020-2021</t>
  </si>
  <si>
    <t>March</t>
  </si>
  <si>
    <t>19/04/2021</t>
  </si>
  <si>
    <t>February</t>
  </si>
  <si>
    <t>18/03/2021</t>
  </si>
  <si>
    <t>January</t>
  </si>
  <si>
    <t>18/02/2021</t>
  </si>
  <si>
    <t>December</t>
  </si>
  <si>
    <t>20/01/2021</t>
  </si>
  <si>
    <t>November</t>
  </si>
  <si>
    <t>24/12/2020</t>
  </si>
  <si>
    <t>October</t>
  </si>
  <si>
    <t>21/11/2020</t>
  </si>
  <si>
    <t>September</t>
  </si>
  <si>
    <t>Available</t>
  </si>
  <si>
    <t>active</t>
  </si>
  <si>
    <t>MUSKARA &amp; ASSOCIATES</t>
  </si>
  <si>
    <t>322887E</t>
  </si>
  <si>
    <t>Kolkata</t>
  </si>
  <si>
    <t xml:space="preserve">MUSKARA A D' </t>
  </si>
  <si>
    <t xml:space="preserve"> 'RIMMI AGARWAL' </t>
  </si>
  <si>
    <t xml:space="preserve"> '057243' </t>
  </si>
  <si>
    <t xml:space="preserve"> '300516' </t>
  </si>
  <si>
    <t>WBCAL0033245000</t>
  </si>
  <si>
    <t>INDUSTRIES SPECIFIED IN SCH.1 AND 20 OR MORE PERSONS ARE EMPLOYED</t>
  </si>
  <si>
    <t>PRINTING</t>
  </si>
  <si>
    <t>327,DR. B.C. ROY ROAD, P.O.-DINGALCHOWHATI</t>
  </si>
  <si>
    <t>WEST BENGAL, NORTH EAST AND JHARKHAND</t>
  </si>
  <si>
    <t>WB - KOLKATA</t>
  </si>
  <si>
    <t>PF: UNEXEMPTED, PENSION: UNEXEMPTED, EDLI: UNEXEMPTED</t>
  </si>
  <si>
    <t>LIVE ESTABLISHMENT</t>
  </si>
  <si>
    <t>0001(3)(b)</t>
  </si>
  <si>
    <t>ACTIONABLE ESTABLISHMENT</t>
  </si>
  <si>
    <t>YES</t>
  </si>
  <si>
    <t>327 DR B C ROY ROAD P O DIGALPOTA, , Dakshin Jagatdal SO, South 24 Parganas, WEST BENGAL, 700151</t>
  </si>
  <si>
    <t>Get the latest Aarbur Point Maintenance Private Limited News, Aarbur Point  GROUND FLOOR MANSAROVAR BUILDING KOLKATA West Bengal INDIA 700016  Time has come to define limits of sedition law: Supreme Court  We wonder if a sedition case has been filed against the TV channel yet for showing the video </t>
  </si>
  <si>
    <t>https://economictimes.indiatimes.com/company/aarbur-point-maintenance-private-limited/U74900WB2016PTC209923</t>
  </si>
  <si>
    <r>
      <rPr>
        <b/>
        <sz val="10"/>
        <rFont val="Arial"/>
        <family val="2"/>
      </rPr>
      <t>Reasons for comment on cibil</t>
    </r>
    <r>
      <rPr>
        <sz val="10"/>
        <rFont val="Arial"/>
        <family val="2"/>
      </rPr>
      <t xml:space="preserve"> - AGTR1G-Credit relationship experience is of multiple business cycles
FFTL3G-Moderate financial flexibility due to moderate amortization of
term loan</t>
    </r>
  </si>
  <si>
    <t>DPD;0, No open dates available</t>
  </si>
  <si>
    <t>STD, No open dates available</t>
  </si>
  <si>
    <t>No Relavant Industry Type found from the Dropdown But the firm is involved in Manufacturing of f luggage, handbags and the like sa
ddler and harness</t>
  </si>
  <si>
    <t>Income from licence, Foreign Exchange Fluctuations, Export Benefit are treated as Direct Or Operaational income</t>
  </si>
  <si>
    <t>Sticky Debtors Not found</t>
  </si>
  <si>
    <t>No Audit report</t>
  </si>
  <si>
    <t>Financials</t>
  </si>
  <si>
    <t>Loan of Rs.3200000 with POS Rs.3063545 last reported on 2017 hence not captured</t>
  </si>
  <si>
    <t>No Open Dates or Sancitoned Dates available for Individual CIBIL</t>
  </si>
  <si>
    <t>ICICI Bank, India-CAA-266505000008</t>
  </si>
  <si>
    <t>Narration</t>
  </si>
  <si>
    <t>LACALXX89949 JAN21 Aarbur</t>
  </si>
  <si>
    <t>LACALXX89949 FEB21 Aarbur</t>
  </si>
  <si>
    <t>Loan Recovery For266555000001</t>
  </si>
  <si>
    <t>LACALXX89949 MAR21 Aarbur</t>
  </si>
  <si>
    <t>LACALXX89949 APR21 Aarbur</t>
  </si>
  <si>
    <t>LACALXX89949 MAY21 Aarbur</t>
  </si>
  <si>
    <t>LACALXX89949 JUN21 Aarbur</t>
  </si>
  <si>
    <t>LOAN RECOVERY FOR266555000001</t>
  </si>
  <si>
    <t>ICICI Bank, India-CAA-266505000100</t>
  </si>
  <si>
    <t>Deutsche Bank, India-Current Account-000029376900019</t>
  </si>
  <si>
    <t>BANKING of AARBUR</t>
  </si>
  <si>
    <t>Auto loan, clean track</t>
  </si>
  <si>
    <t>1 &amp; 26</t>
  </si>
  <si>
    <t>Next Month Emi's are paid in previos months</t>
  </si>
  <si>
    <t>No Information about EMI track from Perfios</t>
  </si>
  <si>
    <t>No cheque Bounces found from Banking</t>
  </si>
  <si>
    <t>NC EWS</t>
  </si>
  <si>
    <t>Sheet</t>
  </si>
  <si>
    <t>Section</t>
  </si>
  <si>
    <t>Changes</t>
  </si>
  <si>
    <t>Risk Level</t>
  </si>
  <si>
    <t>Low Risk</t>
  </si>
  <si>
    <t>CA Firm</t>
  </si>
  <si>
    <t>Medium Risk</t>
  </si>
  <si>
    <t>Filling Details</t>
  </si>
  <si>
    <t>Payment Details</t>
  </si>
  <si>
    <t>No of Employes Enrolled</t>
  </si>
  <si>
    <t>Negative Information</t>
  </si>
  <si>
    <t>Opening Balance</t>
  </si>
  <si>
    <t>Closing Balance</t>
  </si>
  <si>
    <t>Count</t>
  </si>
  <si>
    <t>INTER-FIRM</t>
  </si>
  <si>
    <t>RTGS</t>
  </si>
  <si>
    <t>TRANSFER</t>
  </si>
  <si>
    <t>CHQ</t>
  </si>
  <si>
    <t>FOREX-TRANSFER</t>
  </si>
  <si>
    <t>NEFT</t>
  </si>
  <si>
    <t>LOAN-CREDIT</t>
  </si>
  <si>
    <t>CASH</t>
  </si>
  <si>
    <t>OTHER-TRANSFER</t>
  </si>
  <si>
    <t>Transaction-Analysis</t>
  </si>
  <si>
    <t>Credits</t>
  </si>
  <si>
    <t>Debits</t>
  </si>
  <si>
    <t>Full Month</t>
  </si>
  <si>
    <t>OTHER-STATUTORY</t>
  </si>
  <si>
    <t>PROMOTER</t>
  </si>
  <si>
    <t>EMI-DEBIT</t>
  </si>
  <si>
    <t>REVERSED</t>
  </si>
  <si>
    <t>INTEREST-PAID</t>
  </si>
  <si>
    <t>SALARY-PAID</t>
  </si>
  <si>
    <t>LOAN-DEBIT</t>
  </si>
  <si>
    <t>INSURANCE</t>
  </si>
  <si>
    <t>TRANSACTION-MISSING</t>
  </si>
  <si>
    <t>PHONE</t>
  </si>
  <si>
    <t>BANK-CHARGES</t>
  </si>
  <si>
    <t>Bank Provided Changes (TBD)</t>
  </si>
  <si>
    <t>ADB Trend</t>
  </si>
  <si>
    <t>Inter Firm Trend</t>
  </si>
  <si>
    <t>Daily Balance</t>
  </si>
  <si>
    <t>Monthly Avg</t>
  </si>
  <si>
    <t>Daily Avg</t>
  </si>
  <si>
    <t xml:space="preserve">Ex: </t>
  </si>
  <si>
    <t>pan, address, signature, nomination</t>
  </si>
  <si>
    <t>Bureau Data</t>
  </si>
  <si>
    <t>Cash Flow</t>
  </si>
  <si>
    <t>NC Banking Score</t>
  </si>
  <si>
    <t>EMI Debits</t>
  </si>
  <si>
    <t>EMI Returns</t>
  </si>
  <si>
    <t>Cheque Bounces</t>
  </si>
  <si>
    <t>Cash Transactions</t>
  </si>
  <si>
    <t>Debit Summation</t>
  </si>
  <si>
    <t>Large Dr/Cr Summation</t>
  </si>
  <si>
    <t>Namaste Credit Rating-o-Meter</t>
  </si>
  <si>
    <t>Quality</t>
  </si>
  <si>
    <t>Transactions</t>
  </si>
  <si>
    <t>Good</t>
  </si>
  <si>
    <t>NC Insights</t>
  </si>
  <si>
    <t>Statement Start date:</t>
  </si>
  <si>
    <t>Statement End date:</t>
  </si>
  <si>
    <t>Transaction Start date:</t>
  </si>
  <si>
    <t>Transaction End date:</t>
  </si>
  <si>
    <t>Account Opening date:</t>
  </si>
  <si>
    <t>Statement generated date:</t>
  </si>
  <si>
    <t>Account type</t>
  </si>
  <si>
    <t>CC/OD Account</t>
  </si>
  <si>
    <t>A/c No.:</t>
  </si>
  <si>
    <t>AXIS BANK LTD - CORPORATE</t>
  </si>
  <si>
    <t>Document Type:</t>
  </si>
  <si>
    <t>PDF</t>
  </si>
  <si>
    <t>Limit</t>
  </si>
  <si>
    <t>Pan Card:</t>
  </si>
  <si>
    <t>Fraud Check</t>
  </si>
  <si>
    <t>Indicators</t>
  </si>
  <si>
    <t>Y/N</t>
  </si>
  <si>
    <t>•</t>
  </si>
  <si>
    <t>First Transaction Date &gt; Account Opening Date</t>
  </si>
  <si>
    <t>Last Transaction Date &gt; NC Report Date</t>
  </si>
  <si>
    <t>Transactions Missing</t>
  </si>
  <si>
    <t>Description Missing</t>
  </si>
  <si>
    <t xml:space="preserve">RTGS transaction &lt; Rs. 2 Lakh </t>
  </si>
  <si>
    <t>IMPS transaction &gt; Rs. 2 Lakh</t>
  </si>
  <si>
    <t>Transactions on Holidays</t>
  </si>
  <si>
    <t>&gt;</t>
  </si>
  <si>
    <t>Cash Withdrawal from Branch</t>
  </si>
  <si>
    <t>Cheque Transactions</t>
  </si>
  <si>
    <t>RTGS on RBI holidays</t>
  </si>
  <si>
    <t>Bill Discounted, Loan Credit, PC</t>
  </si>
  <si>
    <t>Salary</t>
  </si>
  <si>
    <t>Forex transactions</t>
  </si>
  <si>
    <t>Taxes paid  in round figures</t>
  </si>
  <si>
    <t>ESIC &amp; PF paid are more than Salary-Paid</t>
  </si>
  <si>
    <t>ATM withdrawn more than permissible limit</t>
  </si>
  <si>
    <t>Analysis carried out from Sep-17 to Mar-18 (7 Months,  Days)</t>
  </si>
  <si>
    <t>Avg Monthly Credits &amp; Debits are 23,552,850 &amp; 24,999,203 respectively</t>
  </si>
  <si>
    <t>Avg Monthly Bank Balance maintained is -16,841,975. which is -90% of Avg Monthly Business Credits (AMBC) i.e. 18,669,932</t>
  </si>
  <si>
    <t>No instances of Minimum Balance charges occurred during the period</t>
  </si>
  <si>
    <t>Latest Month EMI obligation is 167,374. i.e. 1% of AMBC.</t>
  </si>
  <si>
    <t>Total Credits has 0% of Cash (Cr) transactions</t>
  </si>
  <si>
    <t>No Cheque bounced during the period</t>
  </si>
  <si>
    <t>* Minimum 3 Months Bank Transaction data is required for NC Rating</t>
  </si>
  <si>
    <t>** For better accuracy we recommend atleast 6 Months of Bank Transaction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</si>
</sst>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5" formatCode="&quot;₹&quot;\ #,##0;&quot;₹&quot;\ \-#,##0"/>
    <numFmt numFmtId="43" formatCode="_ * #,##0.00_ ;_ * \-#,##0.00_ ;_ * &quot;-&quot;??_ ;_ @_ "/>
    <numFmt numFmtId="164" formatCode="_(* #,##0.00_);_(* \(#,##0.00\);_(* &quot;-&quot;??_);_(@_)"/>
    <numFmt numFmtId="165" formatCode="_(* #,##0_);_(* \(#,##0\);_(* &quot;-&quot;??_);_(@_)"/>
    <numFmt numFmtId="166" formatCode="[$-409]dd\-mmm\-yy;@"/>
    <numFmt numFmtId="167" formatCode="[$-409]mmm\-yy;@"/>
    <numFmt numFmtId="168" formatCode="#,##0;\(#,##0\);\-#"/>
    <numFmt numFmtId="169" formatCode="[$-409]d\-mmm\-yy;@"/>
    <numFmt numFmtId="170" formatCode="mmmm\ d\,\ yyyy"/>
    <numFmt numFmtId="171" formatCode="_-* #,##0.00_-;\-* #,##0.00_-;_-* &quot;-&quot;??_-;_-@_-"/>
    <numFmt numFmtId="172" formatCode="_-* #,##0.00_-;_-* #,##0.00\-;_-* &quot;-&quot;??_-;_-@_-"/>
    <numFmt numFmtId="173" formatCode="_(* #,##0.0000_);_(* \(#,##0.0000\);_(* &quot;-&quot;??_);_(@_)"/>
    <numFmt numFmtId="174" formatCode="[$-409]d/mmm/yy;@"/>
    <numFmt numFmtId="175" formatCode="General;General;\-"/>
    <numFmt numFmtId="176" formatCode="&quot;₹&quot;\ #,##0;&quot;₹&quot;\ \-#,##0;\-"/>
    <numFmt numFmtId="177" formatCode="_-* dd/mm/yyyy\ hh:mm;\-*dd/mm/yyyy\ hh:mm;\-"/>
    <numFmt numFmtId="178" formatCode="0.00000000000%"/>
    <numFmt numFmtId="179" formatCode="&quot;FY-&quot;yyyy"/>
    <numFmt numFmtId="180" formatCode="dd/mmm/yyyy"/>
    <numFmt numFmtId="181" formatCode="mmmm/yyyy"/>
    <numFmt numFmtId="182" formatCode="0;;;@"/>
    <numFmt numFmtId="183" formatCode="[&gt;99999]##\,##\,##0;[&lt;-99999.99]\-##\,##\,##0;##,##0"/>
    <numFmt numFmtId="184" formatCode="[$-F800]dddd\,\ mmmm\ dd\,\ yyyy"/>
    <numFmt numFmtId="185" formatCode="yyyy"/>
    <numFmt numFmtId="186" formatCode="[$-14009]yyyy/mm/dd;@"/>
    <numFmt numFmtId="187" formatCode="#,##0;\-#,##0;\-"/>
  </numFmts>
  <fonts count="1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color indexed="81"/>
      <name val="Tahoma"/>
      <family val="2"/>
    </font>
    <font>
      <sz val="10"/>
      <color rgb="FFFF0000"/>
      <name val="Arial"/>
      <family val="2"/>
    </font>
    <font>
      <sz val="11"/>
      <name val="Arial"/>
      <family val="2"/>
    </font>
    <font>
      <b/>
      <sz val="12"/>
      <name val="Arial"/>
      <family val="2"/>
    </font>
    <font>
      <b/>
      <sz val="13"/>
      <color theme="0"/>
      <name val="Arial"/>
      <family val="2"/>
    </font>
    <font>
      <sz val="11"/>
      <color theme="0"/>
      <name val="Arial"/>
      <family val="2"/>
    </font>
    <font>
      <b/>
      <sz val="11"/>
      <color theme="0"/>
      <name val="Arial"/>
      <family val="2"/>
    </font>
    <font>
      <sz val="12"/>
      <name val="Arial"/>
      <family val="2"/>
    </font>
    <font>
      <b/>
      <sz val="12"/>
      <color theme="0"/>
      <name val="Arial"/>
      <family val="2"/>
    </font>
    <font>
      <sz val="12"/>
      <color theme="0"/>
      <name val="Arial"/>
      <family val="2"/>
    </font>
    <font>
      <b/>
      <sz val="8"/>
      <color indexed="81"/>
      <name val="Tahoma"/>
      <family val="2"/>
    </font>
    <font>
      <sz val="11"/>
      <color indexed="81"/>
      <name val="Tahoma"/>
      <family val="2"/>
    </font>
    <font>
      <b/>
      <sz val="11"/>
      <color theme="1"/>
      <name val="Calibri"/>
      <family val="2"/>
      <scheme val="minor"/>
    </font>
    <font>
      <b/>
      <sz val="11"/>
      <name val="Arial"/>
      <family val="2"/>
    </font>
    <font>
      <sz val="11"/>
      <name val="Calibri"/>
      <family val="2"/>
      <scheme val="minor"/>
    </font>
    <font>
      <sz val="12"/>
      <color rgb="FFFF0000"/>
      <name val="Arial"/>
      <family val="2"/>
    </font>
    <font>
      <sz val="12"/>
      <name val="Calibri"/>
      <family val="2"/>
      <scheme val="minor"/>
    </font>
    <font>
      <b/>
      <sz val="10"/>
      <color indexed="9"/>
      <name val="Arial"/>
      <family val="2"/>
    </font>
    <font>
      <sz val="9"/>
      <name val="Arial"/>
      <family val="2"/>
    </font>
    <font>
      <b/>
      <sz val="12"/>
      <color indexed="12"/>
      <name val="Arial"/>
      <family val="2"/>
    </font>
    <font>
      <sz val="11"/>
      <color indexed="8"/>
      <name val="Calibri"/>
      <family val="2"/>
    </font>
    <font>
      <b/>
      <i/>
      <u/>
      <sz val="12"/>
      <name val="Arial"/>
      <family val="2"/>
    </font>
    <font>
      <sz val="10"/>
      <name val="Times New Roman"/>
      <family val="1"/>
    </font>
    <font>
      <b/>
      <sz val="10"/>
      <color indexed="10"/>
      <name val="Arial"/>
      <family val="2"/>
    </font>
    <font>
      <sz val="10"/>
      <color theme="1"/>
      <name val="Arial"/>
      <family val="2"/>
    </font>
    <font>
      <b/>
      <sz val="10"/>
      <color theme="1"/>
      <name val="Arial"/>
      <family val="2"/>
    </font>
    <font>
      <sz val="13"/>
      <color theme="0"/>
      <name val="Arial"/>
      <family val="2"/>
    </font>
    <font>
      <sz val="10"/>
      <color theme="0"/>
      <name val="Arial"/>
      <family val="2"/>
    </font>
    <font>
      <b/>
      <sz val="10"/>
      <color indexed="18"/>
      <name val="Arial"/>
      <family val="2"/>
    </font>
    <font>
      <sz val="10"/>
      <color indexed="8"/>
      <name val="Calibri"/>
      <family val="2"/>
    </font>
    <font>
      <b/>
      <sz val="10"/>
      <color theme="1"/>
      <name val="Calibri"/>
      <family val="2"/>
      <scheme val="minor"/>
    </font>
    <font>
      <b/>
      <sz val="10"/>
      <color theme="0"/>
      <name val="Arial"/>
      <family val="2"/>
    </font>
    <font>
      <b/>
      <sz val="8"/>
      <name val="Arial"/>
      <family val="2"/>
    </font>
    <font>
      <sz val="8"/>
      <name val="Arial"/>
      <family val="2"/>
    </font>
    <font>
      <b/>
      <sz val="8"/>
      <color theme="1"/>
      <name val="Calibri"/>
      <family val="2"/>
      <scheme val="minor"/>
    </font>
    <font>
      <b/>
      <sz val="9"/>
      <name val="Arial"/>
      <family val="2"/>
    </font>
    <font>
      <sz val="15"/>
      <name val="Arial"/>
      <family val="2"/>
    </font>
    <font>
      <b/>
      <i/>
      <sz val="15"/>
      <color indexed="8"/>
      <name val="Calibri"/>
      <family val="2"/>
    </font>
    <font>
      <sz val="10"/>
      <color indexed="8"/>
      <name val="Arial"/>
      <family val="2"/>
    </font>
    <font>
      <u/>
      <sz val="10"/>
      <color indexed="12"/>
      <name val="Arial"/>
      <family val="2"/>
    </font>
    <font>
      <sz val="10"/>
      <name val="Tahoma"/>
      <family val="2"/>
    </font>
    <font>
      <u/>
      <sz val="12"/>
      <color indexed="12"/>
      <name val="Calibri"/>
      <family val="2"/>
      <scheme val="minor"/>
    </font>
    <font>
      <b/>
      <sz val="12"/>
      <color theme="0"/>
      <name val="Calibri"/>
      <family val="2"/>
      <scheme val="minor"/>
    </font>
    <font>
      <b/>
      <sz val="12"/>
      <color rgb="FFFF0000"/>
      <name val="Calibri"/>
      <family val="2"/>
      <scheme val="minor"/>
    </font>
    <font>
      <sz val="12"/>
      <color theme="1"/>
      <name val="Calibri"/>
      <family val="2"/>
      <scheme val="minor"/>
    </font>
    <font>
      <sz val="10"/>
      <name val="Calibri"/>
      <family val="2"/>
    </font>
    <font>
      <b/>
      <sz val="10"/>
      <name val="Calibri"/>
      <family val="2"/>
    </font>
    <font>
      <b/>
      <u/>
      <sz val="10"/>
      <name val="Calibri"/>
      <family val="2"/>
    </font>
    <font>
      <b/>
      <sz val="11"/>
      <name val="Calibri"/>
      <family val="2"/>
    </font>
    <font>
      <b/>
      <sz val="11"/>
      <color theme="0"/>
      <name val="Calibri"/>
      <family val="2"/>
      <scheme val="minor"/>
    </font>
    <font>
      <b/>
      <i/>
      <sz val="10"/>
      <name val="Arial"/>
      <family val="2"/>
    </font>
    <font>
      <b/>
      <sz val="10"/>
      <color indexed="12"/>
      <name val="Arial"/>
      <family val="2"/>
    </font>
    <font>
      <b/>
      <u/>
      <sz val="10"/>
      <name val="Arial"/>
      <family val="2"/>
    </font>
    <font>
      <i/>
      <sz val="8"/>
      <name val="Arial"/>
      <family val="2"/>
    </font>
    <font>
      <u/>
      <sz val="10"/>
      <name val="Arial"/>
      <family val="2"/>
    </font>
    <font>
      <sz val="10"/>
      <color indexed="12"/>
      <name val="Arial"/>
      <family val="2"/>
    </font>
    <font>
      <sz val="10"/>
      <color theme="1"/>
      <name val="Calibri"/>
      <family val="2"/>
      <scheme val="minor"/>
    </font>
    <font>
      <b/>
      <sz val="12"/>
      <color theme="0"/>
      <name val="Tahoma"/>
      <family val="2"/>
    </font>
    <font>
      <sz val="12"/>
      <name val="Tahoma"/>
      <family val="2"/>
    </font>
    <font>
      <b/>
      <sz val="12"/>
      <color indexed="9"/>
      <name val="Tahoma"/>
      <family val="2"/>
    </font>
    <font>
      <b/>
      <sz val="12"/>
      <name val="Tahoma"/>
      <family val="2"/>
    </font>
    <font>
      <sz val="11"/>
      <color rgb="FFFF0000"/>
      <name val="Calibri"/>
      <family val="2"/>
      <scheme val="minor"/>
    </font>
    <font>
      <sz val="12"/>
      <color indexed="12"/>
      <name val="Calibri"/>
      <family val="2"/>
      <scheme val="minor"/>
    </font>
    <font>
      <b/>
      <sz val="12"/>
      <color theme="1"/>
      <name val="Arial"/>
      <family val="2"/>
    </font>
    <font>
      <b/>
      <sz val="10"/>
      <color theme="0"/>
      <name val="Calibri"/>
      <family val="2"/>
      <scheme val="minor"/>
    </font>
    <font>
      <b/>
      <sz val="14"/>
      <color theme="0"/>
      <name val="Arial"/>
      <family val="2"/>
    </font>
    <font>
      <sz val="10"/>
      <name val="MS Sans Serif"/>
      <family val="2"/>
    </font>
    <font>
      <sz val="12"/>
      <color rgb="FF000000"/>
      <name val="Verdana"/>
      <family val="2"/>
    </font>
    <font>
      <u/>
      <sz val="11"/>
      <color theme="10"/>
      <name val="Calibri"/>
      <family val="2"/>
      <scheme val="minor"/>
    </font>
    <font>
      <sz val="11"/>
      <color indexed="8"/>
      <name val="Calibri"/>
      <family val="2"/>
      <scheme val="minor"/>
    </font>
    <font>
      <sz val="11"/>
      <color theme="1"/>
      <name val="Arial"/>
      <family val="2"/>
    </font>
    <font>
      <b/>
      <sz val="14"/>
      <name val="Arial"/>
      <family val="2"/>
    </font>
    <font>
      <sz val="10"/>
      <color theme="2" tint="-9.9978637043366805E-2"/>
      <name val="Arial"/>
      <family val="2"/>
    </font>
    <font>
      <b/>
      <sz val="12"/>
      <color rgb="FFFF0000"/>
      <name val="Arial"/>
      <family val="2"/>
    </font>
    <font>
      <b/>
      <sz val="9"/>
      <color indexed="81"/>
      <name val="Tahoma"/>
      <family val="2"/>
    </font>
    <font>
      <strike/>
      <sz val="10"/>
      <name val="Arial"/>
      <family val="2"/>
    </font>
    <font>
      <b/>
      <sz val="12"/>
      <color indexed="81"/>
      <name val="Tahoma"/>
      <family val="2"/>
    </font>
    <font>
      <b/>
      <sz val="10"/>
      <name val="Calibri"/>
      <family val="2"/>
      <scheme val="minor"/>
    </font>
    <font>
      <b/>
      <sz val="14"/>
      <color rgb="FFFFFFFF"/>
      <name val="Arial"/>
      <family val="2"/>
    </font>
    <font>
      <b/>
      <sz val="11"/>
      <color rgb="FFFFFFFF"/>
      <name val="Arial"/>
      <family val="2"/>
    </font>
    <font>
      <sz val="9"/>
      <color theme="1"/>
      <name val="Arial"/>
      <family val="2"/>
    </font>
    <font>
      <b/>
      <sz val="11"/>
      <color theme="1"/>
      <name val="Arial"/>
      <family val="2"/>
    </font>
    <font>
      <b/>
      <sz val="12"/>
      <name val="Calibri"/>
      <family val="2"/>
      <scheme val="minor"/>
    </font>
    <font>
      <sz val="16"/>
      <name val="Arial"/>
      <family val="2"/>
    </font>
    <font>
      <sz val="14"/>
      <name val="Arial"/>
      <family val="2"/>
    </font>
    <font>
      <sz val="14"/>
      <color rgb="FFFF0000"/>
      <name val="Arial"/>
      <family val="2"/>
    </font>
    <font>
      <sz val="9"/>
      <color indexed="81"/>
      <name val="Tahoma"/>
      <family val="2"/>
    </font>
    <font>
      <b/>
      <sz val="10"/>
      <color indexed="81"/>
      <name val="Arial"/>
      <family val="2"/>
    </font>
    <font>
      <sz val="10"/>
      <color indexed="81"/>
      <name val="Arial"/>
      <family val="2"/>
    </font>
    <font>
      <b/>
      <i/>
      <sz val="12"/>
      <name val="Arial"/>
      <family val="2"/>
    </font>
    <font>
      <b/>
      <sz val="11"/>
      <color rgb="FFFF0000"/>
      <name val="Arial"/>
      <family val="2"/>
    </font>
    <font>
      <sz val="12"/>
      <color theme="1"/>
      <name val="Arial"/>
      <family val="2"/>
    </font>
    <font>
      <sz val="9"/>
      <color rgb="FFFF0000"/>
      <name val="Arial"/>
      <family val="2"/>
    </font>
    <font>
      <sz val="10"/>
      <color theme="1"/>
      <name val="Times New Roman"/>
      <family val="1"/>
    </font>
    <font>
      <sz val="10"/>
      <color rgb="FF333333"/>
      <name val="Arial"/>
      <family val="2"/>
    </font>
    <font>
      <u/>
      <sz val="10"/>
      <color theme="10"/>
      <name val="Arial"/>
      <family val="2"/>
    </font>
    <font>
      <sz val="8"/>
      <color theme="0"/>
      <name val="Arial"/>
      <family val="2"/>
    </font>
    <font>
      <b/>
      <sz val="8"/>
      <color theme="0"/>
      <name val="Arial"/>
      <family val="2"/>
    </font>
    <font>
      <sz val="13"/>
      <color theme="1"/>
      <name val="Arial"/>
      <family val="2"/>
    </font>
    <font>
      <b/>
      <sz val="12"/>
      <color indexed="9"/>
      <name val="Arial"/>
      <family val="2"/>
    </font>
    <font>
      <b/>
      <sz val="9"/>
      <color theme="0"/>
      <name val="Calibri"/>
      <family val="2"/>
      <scheme val="minor"/>
    </font>
    <font>
      <b/>
      <sz val="11"/>
      <color indexed="8"/>
      <name val="Arial"/>
      <family val="2"/>
    </font>
    <font>
      <sz val="11"/>
      <color indexed="8"/>
      <name val="Arial"/>
      <family val="2"/>
    </font>
    <font>
      <sz val="8"/>
      <color indexed="18"/>
      <name val="Arial"/>
      <family val="2"/>
    </font>
    <font>
      <sz val="8"/>
      <color rgb="FF002060"/>
      <name val="Arial"/>
      <family val="2"/>
    </font>
    <font>
      <b/>
      <sz val="8"/>
      <color indexed="18"/>
      <name val="Arial"/>
      <family val="2"/>
    </font>
    <font>
      <b/>
      <sz val="8"/>
      <color rgb="FF002060"/>
      <name val="Arial"/>
      <family val="2"/>
    </font>
    <font>
      <sz val="7"/>
      <name val="Arial"/>
      <family val="2"/>
    </font>
    <font>
      <u/>
      <sz val="11"/>
      <name val="Arial"/>
      <family val="2"/>
    </font>
    <font>
      <i/>
      <u/>
      <sz val="11"/>
      <name val="Arial"/>
      <family val="2"/>
    </font>
    <font>
      <sz val="10"/>
      <color rgb="FF000000"/>
      <name val="Arial"/>
      <family val="2"/>
    </font>
    <font>
      <b/>
      <sz val="10"/>
      <color rgb="FF000000"/>
      <name val="Arial"/>
      <family val="2"/>
    </font>
    <font>
      <i/>
      <sz val="10"/>
      <color rgb="FF000000"/>
      <name val="Arial"/>
      <family val="2"/>
    </font>
    <font>
      <b/>
      <sz val="14"/>
      <color theme="0"/>
      <name val="Calibri"/>
      <family val="2"/>
      <scheme val="minor"/>
    </font>
    <font>
      <sz val="9"/>
      <color theme="1"/>
      <name val="Calibri"/>
      <family val="2"/>
      <scheme val="minor"/>
    </font>
    <font>
      <b/>
      <sz val="16"/>
      <color theme="1"/>
      <name val="Calibri"/>
      <family val="2"/>
      <scheme val="minor"/>
    </font>
    <font>
      <sz val="11"/>
      <color theme="8"/>
      <name val="Calibri"/>
      <family val="2"/>
      <scheme val="minor"/>
    </font>
    <font>
      <i/>
      <sz val="11"/>
      <name val="Calibri"/>
      <family val="2"/>
      <scheme val="minor"/>
    </font>
    <font>
      <b/>
      <sz val="14"/>
      <color theme="1"/>
      <name val="Calibri"/>
      <family val="2"/>
      <scheme val="minor"/>
    </font>
    <font>
      <b/>
      <sz val="8"/>
      <color theme="1"/>
      <name val="Arial"/>
      <family val="2"/>
    </font>
    <font>
      <b/>
      <sz val="10"/>
      <color rgb="FFFF0000"/>
      <name val="Arial"/>
      <family val="2"/>
    </font>
    <font>
      <b/>
      <sz val="8"/>
      <color rgb="FFFF0000"/>
      <name val="Arial"/>
      <family val="2"/>
    </font>
    <font>
      <b/>
      <sz val="14"/>
      <color rgb="FF00B050"/>
      <name val="Calibri"/>
      <family val="2"/>
      <scheme val="minor"/>
    </font>
    <font>
      <b/>
      <sz val="14"/>
      <color rgb="FFFF0000"/>
      <name val="Calibri"/>
      <family val="2"/>
      <scheme val="minor"/>
    </font>
    <font>
      <sz val="11"/>
      <color rgb="FF00B050"/>
      <name val="Calibri"/>
      <family val="2"/>
      <scheme val="minor"/>
    </font>
    <font>
      <sz val="11"/>
      <color rgb="FFC00000"/>
      <name val="Calibri"/>
      <family val="2"/>
      <scheme val="minor"/>
    </font>
    <font>
      <sz val="11"/>
      <color rgb="FF000000"/>
      <name val="Calibri"/>
      <family val="2"/>
      <scheme val="minor"/>
    </font>
    <font>
      <b/>
      <sz val="9"/>
      <name val="Arial"/>
      <family val="2"/>
    </font>
    <font>
      <sz val="8"/>
      <name val="Arial"/>
      <family val="2"/>
    </font>
    <font>
      <b/>
      <sz val="8"/>
      <name val="Arial"/>
      <family val="2"/>
    </font>
    <font>
      <sz val="11"/>
      <color rgb="FF000000"/>
      <name val="Calibri"/>
      <family val="2"/>
    </font>
    <font>
      <b/>
      <sz val="11"/>
      <color rgb="FF000000"/>
      <name val="Calibri"/>
      <family val="2"/>
    </font>
    <font>
      <b/>
      <sz val="12"/>
      <color rgb="FF00B0F0"/>
      <name val="Tahoma"/>
      <family val="2"/>
    </font>
    <font>
      <sz val="12"/>
      <name val="Symbol"/>
      <family val="1"/>
      <charset val="2"/>
    </font>
    <font>
      <sz val="12"/>
      <color indexed="81"/>
      <name val="Tahoma"/>
      <family val="2"/>
    </font>
    <font>
      <sz val="10"/>
      <color rgb="FF000000"/>
      <name val="Calibri"/>
      <family val="2"/>
    </font>
    <font>
      <sz val="11"/>
      <color theme="1" tint="4.9989318521683403E-2"/>
      <name val="Calibri"/>
      <family val="2"/>
      <scheme val="minor"/>
    </font>
    <font>
      <sz val="10"/>
      <color theme="1" tint="4.9989318521683403E-2"/>
      <name val="Calibri"/>
      <family val="2"/>
      <scheme val="minor"/>
    </font>
    <font>
      <sz val="11"/>
      <color theme="1"/>
      <name val="Arial"/>
      <family val="2"/>
    </font>
    <font>
      <sz val="10"/>
      <color theme="1"/>
      <name val="Arial"/>
      <family val="2"/>
    </font>
    <font>
      <sz val="9"/>
      <color rgb="FF000000"/>
      <name val="Arial"/>
      <family val="2"/>
    </font>
    <font>
      <b/>
      <sz val="11"/>
      <color rgb="FF000000"/>
      <name val="Calibri"/>
      <family val="2"/>
    </font>
    <font>
      <sz val="11"/>
      <color rgb="FF000000"/>
      <name val="Calibri"/>
      <family val="2"/>
    </font>
    <font>
      <b/>
      <sz val="10"/>
      <color rgb="FFFFFFFF"/>
      <name val="Arial"/>
      <family val="2"/>
    </font>
    <font>
      <sz val="14"/>
      <color theme="1"/>
      <name val="Arial"/>
      <family val="2"/>
    </font>
    <font>
      <u/>
      <sz val="10"/>
      <color rgb="FF000000"/>
      <name val="Arial"/>
      <family val="2"/>
    </font>
    <font>
      <b/>
      <sz val="12"/>
      <color theme="1"/>
      <name val="Calibri"/>
      <family val="2"/>
    </font>
    <font>
      <b/>
      <sz val="11"/>
      <color theme="1"/>
      <name val="Calibri"/>
      <family val="2"/>
    </font>
    <font>
      <sz val="11"/>
      <color theme="1"/>
      <name val="Calibri"/>
      <family val="2"/>
    </font>
    <font>
      <sz val="10"/>
      <color rgb="FFFFFFFF"/>
      <name val="Arial"/>
      <family val="2"/>
    </font>
    <font>
      <b/>
      <sz val="18"/>
      <color theme="0"/>
      <name val="Calibri"/>
      <family val="2"/>
    </font>
    <font>
      <sz val="11"/>
      <color theme="0"/>
      <name val="Calibri"/>
      <family val="2"/>
    </font>
    <font>
      <b/>
      <sz val="11"/>
      <color theme="0"/>
      <name val="Calibri"/>
      <family val="2"/>
    </font>
    <font>
      <sz val="30"/>
      <color theme="1"/>
      <name val="Calibri"/>
      <family val="2"/>
    </font>
    <font>
      <b/>
      <u/>
      <sz val="11"/>
      <color theme="1"/>
      <name val="Calibri"/>
      <family val="2"/>
    </font>
    <font>
      <sz val="11"/>
      <color rgb="FF548135"/>
      <name val="Calibri"/>
      <family val="2"/>
    </font>
    <font>
      <sz val="8"/>
      <color theme="1"/>
      <name val="Calibri"/>
      <family val="2"/>
    </font>
  </fonts>
  <fills count="62">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bgColor indexed="64"/>
      </patternFill>
    </fill>
    <fill>
      <patternFill patternType="solid">
        <fgColor rgb="FFFF0000"/>
        <bgColor indexed="64"/>
      </patternFill>
    </fill>
    <fill>
      <patternFill patternType="solid">
        <fgColor theme="4" tint="0.59999389629810485"/>
        <bgColor indexed="8"/>
      </patternFill>
    </fill>
    <fill>
      <patternFill patternType="solid">
        <fgColor theme="2" tint="-0.249977111117893"/>
        <bgColor indexed="64"/>
      </patternFill>
    </fill>
    <fill>
      <patternFill patternType="solid">
        <fgColor theme="3" tint="0.79998168889431442"/>
        <bgColor indexed="8"/>
      </patternFill>
    </fill>
    <fill>
      <patternFill patternType="solid">
        <fgColor theme="0" tint="-0.14999847407452621"/>
        <bgColor indexed="8"/>
      </patternFill>
    </fill>
    <fill>
      <patternFill patternType="solid">
        <fgColor theme="4" tint="0.59999389629810485"/>
        <bgColor indexed="64"/>
      </patternFill>
    </fill>
    <fill>
      <patternFill patternType="solid">
        <fgColor theme="4" tint="0.39997558519241921"/>
        <bgColor indexed="8"/>
      </patternFill>
    </fill>
    <fill>
      <patternFill patternType="solid">
        <fgColor theme="0" tint="-0.499984740745262"/>
        <bgColor indexed="64"/>
      </patternFill>
    </fill>
    <fill>
      <patternFill patternType="solid">
        <fgColor theme="4"/>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indexed="55"/>
        <bgColor indexed="64"/>
      </patternFill>
    </fill>
    <fill>
      <patternFill patternType="solid">
        <fgColor indexed="44"/>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A5A5A5"/>
      </patternFill>
    </fill>
    <fill>
      <patternFill patternType="solid">
        <fgColor indexed="22"/>
        <bgColor indexed="64"/>
      </patternFill>
    </fill>
    <fill>
      <patternFill patternType="solid">
        <fgColor indexed="42"/>
        <bgColor indexed="64"/>
      </patternFill>
    </fill>
    <fill>
      <patternFill patternType="solid">
        <fgColor indexed="45"/>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theme="4"/>
        <bgColor indexed="8"/>
      </patternFill>
    </fill>
    <fill>
      <patternFill patternType="solid">
        <fgColor theme="2" tint="-9.9978637043366805E-2"/>
        <bgColor indexed="64"/>
      </patternFill>
    </fill>
    <fill>
      <patternFill patternType="solid">
        <fgColor theme="0" tint="-0.249977111117893"/>
        <bgColor indexed="64"/>
      </patternFill>
    </fill>
    <fill>
      <patternFill patternType="solid">
        <fgColor theme="3" tint="-0.499984740745262"/>
        <bgColor indexed="64"/>
      </patternFill>
    </fill>
    <fill>
      <patternFill patternType="solid">
        <fgColor rgb="FFFFFF99"/>
        <bgColor indexed="64"/>
      </patternFill>
    </fill>
    <fill>
      <patternFill patternType="solid">
        <fgColor rgb="FFB4C6E7"/>
        <bgColor indexed="64"/>
      </patternFill>
    </fill>
    <fill>
      <patternFill patternType="solid">
        <fgColor rgb="FFEDF1F9"/>
        <bgColor indexed="64"/>
      </patternFill>
    </fill>
    <fill>
      <patternFill patternType="solid">
        <fgColor theme="7" tint="0.59999389629810485"/>
        <bgColor indexed="64"/>
      </patternFill>
    </fill>
    <fill>
      <patternFill patternType="solid">
        <fgColor rgb="FFFFFFFF"/>
        <bgColor indexed="64"/>
      </patternFill>
    </fill>
    <fill>
      <patternFill patternType="solid">
        <fgColor indexed="31"/>
        <bgColor indexed="64"/>
      </patternFill>
    </fill>
    <fill>
      <patternFill patternType="solid">
        <fgColor theme="7" tint="0.39997558519241921"/>
        <bgColor indexed="64"/>
      </patternFill>
    </fill>
    <fill>
      <patternFill patternType="solid">
        <fgColor theme="5"/>
        <bgColor indexed="64"/>
      </patternFill>
    </fill>
    <fill>
      <patternFill patternType="solid">
        <fgColor theme="9" tint="0.59999389629810485"/>
        <bgColor indexed="64"/>
      </patternFill>
    </fill>
    <fill>
      <patternFill patternType="solid">
        <fgColor indexed="57"/>
        <bgColor indexed="64"/>
      </patternFill>
    </fill>
    <fill>
      <patternFill patternType="solid">
        <fgColor rgb="FF143264"/>
        <bgColor rgb="FF143264"/>
      </patternFill>
    </fill>
    <fill>
      <patternFill patternType="solid">
        <fgColor rgb="FFD9E1F2"/>
        <bgColor rgb="FFD9E1F2"/>
      </patternFill>
    </fill>
    <fill>
      <patternFill patternType="solid">
        <fgColor rgb="FF8EA9DB"/>
        <bgColor rgb="FF8EA9DB"/>
      </patternFill>
    </fill>
    <fill>
      <patternFill patternType="solid">
        <fgColor theme="0"/>
        <bgColor theme="0"/>
      </patternFill>
    </fill>
    <fill>
      <patternFill patternType="solid">
        <fgColor rgb="FFB4C6E7"/>
        <bgColor rgb="FFB4C6E7"/>
      </patternFill>
    </fill>
    <fill>
      <patternFill patternType="solid">
        <fgColor rgb="FFFF0000"/>
        <bgColor rgb="FFFF0000"/>
      </patternFill>
    </fill>
    <fill>
      <patternFill patternType="solid">
        <fgColor rgb="FF1F3864"/>
        <bgColor rgb="FF1F3864"/>
      </patternFill>
    </fill>
  </fills>
  <borders count="17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medium">
        <color indexed="64"/>
      </top>
      <bottom/>
      <diagonal/>
    </border>
    <border>
      <left/>
      <right/>
      <top style="hair">
        <color indexed="18"/>
      </top>
      <bottom style="hair">
        <color indexed="18"/>
      </bottom>
      <diagonal/>
    </border>
    <border>
      <left style="hair">
        <color indexed="18"/>
      </left>
      <right style="hair">
        <color indexed="18"/>
      </right>
      <top style="hair">
        <color indexed="18"/>
      </top>
      <bottom style="hair">
        <color indexed="18"/>
      </bottom>
      <diagonal/>
    </border>
    <border>
      <left style="hair">
        <color indexed="18"/>
      </left>
      <right style="hair">
        <color indexed="18"/>
      </right>
      <top style="hair">
        <color indexed="18"/>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indexed="64"/>
      </left>
      <right style="thin">
        <color indexed="64"/>
      </right>
      <top style="medium">
        <color theme="1"/>
      </top>
      <bottom/>
      <diagonal/>
    </border>
    <border>
      <left style="medium">
        <color indexed="64"/>
      </left>
      <right style="medium">
        <color indexed="64"/>
      </right>
      <top/>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rgb="FF7030A0"/>
      </right>
      <top style="thin">
        <color indexed="64"/>
      </top>
      <bottom/>
      <diagonal/>
    </border>
    <border>
      <left style="thin">
        <color rgb="FF7030A0"/>
      </left>
      <right style="thin">
        <color rgb="FF7030A0"/>
      </right>
      <top/>
      <bottom style="thin">
        <color rgb="FF7030A0"/>
      </bottom>
      <diagonal/>
    </border>
    <border>
      <left/>
      <right style="thin">
        <color rgb="FF7030A0"/>
      </right>
      <top/>
      <bottom style="thin">
        <color rgb="FF7030A0"/>
      </bottom>
      <diagonal/>
    </border>
    <border>
      <left style="thin">
        <color rgb="FF7030A0"/>
      </left>
      <right style="thin">
        <color rgb="FF7030A0"/>
      </right>
      <top style="thin">
        <color rgb="FF7030A0"/>
      </top>
      <bottom style="thin">
        <color rgb="FF7030A0"/>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thin">
        <color indexed="64"/>
      </right>
      <top style="medium">
        <color indexed="64"/>
      </top>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style="medium">
        <color indexed="64"/>
      </left>
      <right/>
      <top style="hair">
        <color indexed="18"/>
      </top>
      <bottom style="hair">
        <color indexed="18"/>
      </bottom>
      <diagonal/>
    </border>
    <border>
      <left/>
      <right style="medium">
        <color indexed="64"/>
      </right>
      <top style="hair">
        <color indexed="18"/>
      </top>
      <bottom style="hair">
        <color indexed="18"/>
      </bottom>
      <diagonal/>
    </border>
    <border>
      <left style="medium">
        <color indexed="64"/>
      </left>
      <right style="hair">
        <color indexed="18"/>
      </right>
      <top style="hair">
        <color indexed="18"/>
      </top>
      <bottom style="hair">
        <color indexed="18"/>
      </bottom>
      <diagonal/>
    </border>
    <border>
      <left style="hair">
        <color indexed="18"/>
      </left>
      <right style="medium">
        <color indexed="64"/>
      </right>
      <top style="hair">
        <color indexed="18"/>
      </top>
      <bottom style="hair">
        <color indexed="18"/>
      </bottom>
      <diagonal/>
    </border>
    <border>
      <left style="medium">
        <color indexed="64"/>
      </left>
      <right style="hair">
        <color indexed="18"/>
      </right>
      <top style="hair">
        <color indexed="18"/>
      </top>
      <bottom/>
      <diagonal/>
    </border>
    <border>
      <left style="medium">
        <color indexed="64"/>
      </left>
      <right style="hair">
        <color indexed="18"/>
      </right>
      <top style="hair">
        <color indexed="18"/>
      </top>
      <bottom style="medium">
        <color indexed="64"/>
      </bottom>
      <diagonal/>
    </border>
    <border>
      <left style="hair">
        <color indexed="18"/>
      </left>
      <right style="hair">
        <color indexed="18"/>
      </right>
      <top style="hair">
        <color indexed="18"/>
      </top>
      <bottom style="medium">
        <color indexed="64"/>
      </bottom>
      <diagonal/>
    </border>
    <border>
      <left style="hair">
        <color indexed="18"/>
      </left>
      <right style="medium">
        <color indexed="64"/>
      </right>
      <top style="hair">
        <color indexed="18"/>
      </top>
      <bottom style="medium">
        <color indexed="64"/>
      </bottom>
      <diagonal/>
    </border>
    <border>
      <left style="medium">
        <color indexed="64"/>
      </left>
      <right/>
      <top/>
      <bottom style="hair">
        <color indexed="18"/>
      </bottom>
      <diagonal/>
    </border>
    <border>
      <left/>
      <right/>
      <top/>
      <bottom style="hair">
        <color indexed="18"/>
      </bottom>
      <diagonal/>
    </border>
    <border>
      <left/>
      <right style="medium">
        <color indexed="64"/>
      </right>
      <top/>
      <bottom style="hair">
        <color indexed="18"/>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diagonal/>
    </border>
    <border>
      <left style="medium">
        <color rgb="FF000000"/>
      </left>
      <right/>
      <top style="thin">
        <color theme="0"/>
      </top>
      <bottom style="thin">
        <color theme="0"/>
      </bottom>
      <diagonal/>
    </border>
    <border>
      <left/>
      <right style="thin">
        <color theme="0"/>
      </right>
      <top style="thin">
        <color theme="0"/>
      </top>
      <bottom style="thin">
        <color theme="0"/>
      </bottom>
      <diagonal/>
    </border>
    <border>
      <left style="medium">
        <color rgb="FF000000"/>
      </left>
      <right style="thin">
        <color theme="0"/>
      </right>
      <top style="thin">
        <color theme="0"/>
      </top>
      <bottom style="thin">
        <color theme="0"/>
      </bottom>
      <diagonal/>
    </border>
    <border>
      <left style="thin">
        <color theme="0"/>
      </left>
      <right style="medium">
        <color rgb="FF000000"/>
      </right>
      <top style="thin">
        <color theme="0"/>
      </top>
      <bottom style="thin">
        <color theme="0"/>
      </bottom>
      <diagonal/>
    </border>
    <border>
      <left style="medium">
        <color rgb="FF000000"/>
      </left>
      <right style="thin">
        <color theme="1"/>
      </right>
      <top style="thin">
        <color theme="1"/>
      </top>
      <bottom style="medium">
        <color rgb="FF000000"/>
      </bottom>
      <diagonal/>
    </border>
    <border>
      <left style="thin">
        <color theme="1"/>
      </left>
      <right style="thin">
        <color theme="1"/>
      </right>
      <top style="thin">
        <color theme="1"/>
      </top>
      <bottom style="medium">
        <color rgb="FF000000"/>
      </bottom>
      <diagonal/>
    </border>
    <border>
      <left style="thin">
        <color theme="0"/>
      </left>
      <right style="thin">
        <color theme="0"/>
      </right>
      <top style="thin">
        <color theme="0"/>
      </top>
      <bottom style="medium">
        <color rgb="FF000000"/>
      </bottom>
      <diagonal/>
    </border>
    <border>
      <left style="thin">
        <color theme="0"/>
      </left>
      <right style="medium">
        <color rgb="FF000000"/>
      </right>
      <top style="thin">
        <color theme="0"/>
      </top>
      <bottom style="medium">
        <color rgb="FF000000"/>
      </bottom>
      <diagonal/>
    </border>
    <border>
      <left/>
      <right style="medium">
        <color rgb="FF000000"/>
      </right>
      <top style="medium">
        <color rgb="FF000000"/>
      </top>
      <bottom style="thin">
        <color theme="1"/>
      </bottom>
      <diagonal/>
    </border>
    <border>
      <left style="thin">
        <color theme="1"/>
      </left>
      <right/>
      <top style="thin">
        <color theme="1"/>
      </top>
      <bottom style="medium">
        <color rgb="FF000000"/>
      </bottom>
      <diagonal/>
    </border>
    <border>
      <left style="medium">
        <color rgb="FF000000"/>
      </left>
      <right/>
      <top style="thin">
        <color theme="1"/>
      </top>
      <bottom style="medium">
        <color rgb="FF000000"/>
      </bottom>
      <diagonal/>
    </border>
    <border>
      <left style="thin">
        <color theme="1"/>
      </left>
      <right style="medium">
        <color rgb="FF000000"/>
      </right>
      <top style="thin">
        <color theme="1"/>
      </top>
      <bottom style="medium">
        <color rgb="FF000000"/>
      </bottom>
      <diagonal/>
    </border>
    <border>
      <left style="medium">
        <color rgb="FF000000"/>
      </left>
      <right/>
      <top style="medium">
        <color rgb="FF000000"/>
      </top>
      <bottom style="thin">
        <color theme="1"/>
      </bottom>
      <diagonal/>
    </border>
    <border>
      <left/>
      <right/>
      <top style="medium">
        <color rgb="FF000000"/>
      </top>
      <bottom style="thin">
        <color theme="1"/>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theme="0"/>
      </right>
      <top style="medium">
        <color rgb="FF000000"/>
      </top>
      <bottom style="thin">
        <color theme="0"/>
      </bottom>
      <diagonal/>
    </border>
    <border>
      <left style="thin">
        <color theme="0"/>
      </left>
      <right style="thin">
        <color theme="0"/>
      </right>
      <top style="medium">
        <color rgb="FF000000"/>
      </top>
      <bottom style="thin">
        <color theme="0"/>
      </bottom>
      <diagonal/>
    </border>
    <border>
      <left style="thin">
        <color theme="0"/>
      </left>
      <right style="medium">
        <color rgb="FF000000"/>
      </right>
      <top style="medium">
        <color rgb="FF000000"/>
      </top>
      <bottom style="thin">
        <color theme="0"/>
      </bottom>
      <diagonal/>
    </border>
    <border>
      <left style="thin">
        <color theme="1"/>
      </left>
      <right/>
      <top style="medium">
        <color rgb="FF000000"/>
      </top>
      <bottom/>
      <diagonal/>
    </border>
    <border>
      <left style="thin">
        <color theme="1"/>
      </left>
      <right style="medium">
        <color rgb="FF000000"/>
      </right>
      <top style="medium">
        <color rgb="FF000000"/>
      </top>
      <bottom/>
      <diagonal/>
    </border>
    <border>
      <left/>
      <right/>
      <top style="thin">
        <color theme="0"/>
      </top>
      <bottom style="thin">
        <color theme="0"/>
      </bottom>
      <diagonal/>
    </border>
    <border>
      <left/>
      <right style="medium">
        <color rgb="FF000000"/>
      </right>
      <top style="thin">
        <color theme="0"/>
      </top>
      <bottom style="thin">
        <color theme="0"/>
      </bottom>
      <diagonal/>
    </border>
    <border>
      <left style="medium">
        <color rgb="FF000000"/>
      </left>
      <right/>
      <top style="thin">
        <color theme="1"/>
      </top>
      <bottom/>
      <diagonal/>
    </border>
    <border>
      <left style="thin">
        <color theme="1"/>
      </left>
      <right style="medium">
        <color rgb="FF000000"/>
      </right>
      <top style="thin">
        <color theme="1"/>
      </top>
      <bottom/>
      <diagonal/>
    </border>
    <border>
      <left style="medium">
        <color rgb="FF000000"/>
      </left>
      <right style="thin">
        <color theme="0"/>
      </right>
      <top style="thin">
        <color theme="0"/>
      </top>
      <bottom style="medium">
        <color rgb="FF000000"/>
      </bottom>
      <diagonal/>
    </border>
    <border>
      <left style="thin">
        <color theme="0"/>
      </left>
      <right style="thin">
        <color theme="0"/>
      </right>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style="thin">
        <color theme="1"/>
      </right>
      <top style="medium">
        <color rgb="FF000000"/>
      </top>
      <bottom style="medium">
        <color rgb="FF000000"/>
      </bottom>
      <diagonal/>
    </border>
    <border>
      <left style="medium">
        <color rgb="FF000000"/>
      </left>
      <right style="medium">
        <color rgb="FF000000"/>
      </right>
      <top style="thin">
        <color theme="1"/>
      </top>
      <bottom style="thin">
        <color theme="1"/>
      </bottom>
      <diagonal/>
    </border>
    <border>
      <left style="thin">
        <color theme="1"/>
      </left>
      <right style="thin">
        <color theme="1"/>
      </right>
      <top style="thin">
        <color theme="1"/>
      </top>
      <bottom style="thin">
        <color theme="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bottom style="dotted">
        <color rgb="FF000000"/>
      </bottom>
      <diagonal/>
    </border>
    <border>
      <left/>
      <right/>
      <top/>
      <bottom style="dotted">
        <color rgb="FF000000"/>
      </bottom>
      <diagonal/>
    </border>
    <border>
      <left/>
      <right style="medium">
        <color rgb="FF000000"/>
      </right>
      <top/>
      <bottom style="dotted">
        <color rgb="FF000000"/>
      </bottom>
      <diagonal/>
    </border>
    <border>
      <left style="medium">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medium">
        <color rgb="FF000000"/>
      </bottom>
      <diagonal/>
    </border>
  </borders>
  <cellStyleXfs count="113">
    <xf numFmtId="0" fontId="0" fillId="0" borderId="0"/>
    <xf numFmtId="164"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8" fillId="0" borderId="0" applyNumberFormat="0" applyFill="0" applyBorder="0" applyAlignment="0" applyProtection="0"/>
    <xf numFmtId="0" fontId="16" fillId="0" borderId="0"/>
    <xf numFmtId="0" fontId="16" fillId="0" borderId="0" applyNumberFormat="0" applyFill="0" applyBorder="0" applyAlignment="0" applyProtection="0"/>
    <xf numFmtId="0" fontId="15" fillId="0" borderId="0"/>
    <xf numFmtId="9" fontId="39" fillId="0" borderId="0" applyFont="0" applyFill="0" applyBorder="0" applyAlignment="0" applyProtection="0"/>
    <xf numFmtId="0" fontId="41" fillId="0" borderId="0"/>
    <xf numFmtId="0" fontId="39" fillId="0" borderId="0"/>
    <xf numFmtId="0" fontId="58" fillId="0" borderId="0" applyNumberFormat="0" applyFill="0" applyBorder="0" applyAlignment="0" applyProtection="0">
      <alignment vertical="top"/>
      <protection locked="0"/>
    </xf>
    <xf numFmtId="0" fontId="16" fillId="0" borderId="0"/>
    <xf numFmtId="164" fontId="16" fillId="0" borderId="0" applyFont="0" applyFill="0" applyBorder="0" applyAlignment="0" applyProtection="0"/>
    <xf numFmtId="0" fontId="68" fillId="29" borderId="65" applyNumberFormat="0" applyAlignment="0" applyProtection="0"/>
    <xf numFmtId="0" fontId="16" fillId="0" borderId="0"/>
    <xf numFmtId="0" fontId="14" fillId="0" borderId="0"/>
    <xf numFmtId="0" fontId="85" fillId="0" borderId="0"/>
    <xf numFmtId="0" fontId="14" fillId="0" borderId="0"/>
    <xf numFmtId="0" fontId="85" fillId="0" borderId="0"/>
    <xf numFmtId="0" fontId="85" fillId="0" borderId="0"/>
    <xf numFmtId="9" fontId="85" fillId="0" borderId="0" applyFont="0" applyFill="0" applyBorder="0" applyAlignment="0" applyProtection="0"/>
    <xf numFmtId="0" fontId="85" fillId="0" borderId="0"/>
    <xf numFmtId="0" fontId="14" fillId="0" borderId="0"/>
    <xf numFmtId="0" fontId="85" fillId="0" borderId="0"/>
    <xf numFmtId="9" fontId="85" fillId="0" borderId="0" applyFont="0" applyFill="0" applyBorder="0" applyAlignment="0" applyProtection="0"/>
    <xf numFmtId="172" fontId="14" fillId="0" borderId="0" applyFont="0" applyFill="0" applyBorder="0" applyAlignment="0" applyProtection="0"/>
    <xf numFmtId="9" fontId="14" fillId="0" borderId="0" applyFont="0" applyFill="0" applyBorder="0" applyAlignment="0" applyProtection="0"/>
    <xf numFmtId="0" fontId="26" fillId="0" borderId="0"/>
    <xf numFmtId="171" fontId="26" fillId="0" borderId="0" applyFont="0" applyFill="0" applyBorder="0" applyAlignment="0" applyProtection="0"/>
    <xf numFmtId="0" fontId="86" fillId="0" borderId="0" applyNumberFormat="0" applyBorder="0" applyProtection="0">
      <alignment vertical="top" wrapText="1"/>
    </xf>
    <xf numFmtId="0" fontId="14" fillId="0" borderId="0"/>
    <xf numFmtId="0" fontId="88" fillId="0" borderId="0"/>
    <xf numFmtId="0" fontId="14" fillId="0" borderId="0"/>
    <xf numFmtId="0" fontId="16" fillId="0" borderId="0" applyNumberFormat="0" applyFill="0" applyBorder="0" applyAlignment="0" applyProtection="0"/>
    <xf numFmtId="0" fontId="16" fillId="0" borderId="0" applyNumberFormat="0" applyFill="0" applyBorder="0" applyAlignment="0" applyProtection="0"/>
    <xf numFmtId="0" fontId="14" fillId="0" borderId="0"/>
    <xf numFmtId="0" fontId="87" fillId="0" borderId="0" applyNumberFormat="0" applyFill="0" applyBorder="0" applyAlignment="0" applyProtection="0"/>
    <xf numFmtId="9" fontId="14" fillId="0" borderId="0" applyFont="0" applyFill="0" applyBorder="0" applyAlignment="0" applyProtection="0"/>
    <xf numFmtId="43" fontId="16" fillId="0" borderId="0" applyFont="0" applyFill="0" applyBorder="0" applyAlignment="0" applyProtection="0"/>
    <xf numFmtId="0" fontId="16" fillId="0" borderId="0" applyNumberFormat="0" applyFill="0" applyBorder="0" applyAlignment="0" applyProtection="0"/>
    <xf numFmtId="9" fontId="1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72"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9" fontId="13"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0" fillId="0" borderId="0"/>
    <xf numFmtId="9" fontId="10" fillId="0" borderId="0" applyFont="0" applyFill="0" applyBorder="0" applyAlignment="0" applyProtection="0"/>
    <xf numFmtId="0" fontId="10" fillId="0" borderId="0"/>
    <xf numFmtId="0" fontId="16" fillId="0" borderId="0"/>
    <xf numFmtId="0" fontId="9" fillId="0" borderId="0"/>
    <xf numFmtId="43" fontId="16" fillId="0" borderId="0" applyFont="0" applyFill="0" applyBorder="0" applyAlignment="0" applyProtection="0"/>
    <xf numFmtId="0" fontId="9" fillId="0" borderId="0"/>
    <xf numFmtId="0" fontId="9" fillId="0" borderId="0"/>
    <xf numFmtId="0" fontId="9" fillId="0" borderId="0"/>
    <xf numFmtId="172"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xf numFmtId="43" fontId="16"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72"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8" fillId="0" borderId="0"/>
    <xf numFmtId="164" fontId="8" fillId="0" borderId="0" applyFont="0" applyFill="0" applyBorder="0" applyAlignment="0" applyProtection="0"/>
    <xf numFmtId="9" fontId="8" fillId="0" borderId="0" applyFont="0" applyFill="0" applyBorder="0" applyAlignment="0" applyProtection="0"/>
    <xf numFmtId="0" fontId="16" fillId="0" borderId="0"/>
    <xf numFmtId="0" fontId="7" fillId="0" borderId="0"/>
    <xf numFmtId="0" fontId="1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164" fontId="4" fillId="0" borderId="0" applyFont="0" applyFill="0" applyBorder="0" applyAlignment="0" applyProtection="0"/>
    <xf numFmtId="0" fontId="3" fillId="0" borderId="0"/>
    <xf numFmtId="0" fontId="2" fillId="0" borderId="0"/>
    <xf numFmtId="0" fontId="129" fillId="0" borderId="0"/>
    <xf numFmtId="0" fontId="1" fillId="0" borderId="0"/>
  </cellStyleXfs>
  <cellXfs count="3162">
    <xf numFmtId="0" fontId="0" fillId="0" borderId="0" xfId="0"/>
    <xf numFmtId="3" fontId="26" fillId="3" borderId="1" xfId="1" applyNumberFormat="1" applyFont="1" applyFill="1" applyBorder="1" applyAlignment="1" applyProtection="1">
      <alignment horizontal="center" vertical="center"/>
      <protection locked="0"/>
    </xf>
    <xf numFmtId="3" fontId="22" fillId="0" borderId="1" xfId="1" applyNumberFormat="1" applyFont="1" applyFill="1" applyBorder="1" applyAlignment="1" applyProtection="1">
      <alignment horizontal="center" vertical="center"/>
    </xf>
    <xf numFmtId="3" fontId="26" fillId="3" borderId="3" xfId="1" applyNumberFormat="1" applyFont="1" applyFill="1" applyBorder="1" applyAlignment="1" applyProtection="1">
      <alignment horizontal="center" vertical="center"/>
      <protection locked="0"/>
    </xf>
    <xf numFmtId="37" fontId="26" fillId="3" borderId="1" xfId="1" applyNumberFormat="1" applyFont="1" applyFill="1" applyBorder="1" applyAlignment="1" applyProtection="1">
      <alignment horizontal="center" vertical="center"/>
      <protection locked="0"/>
    </xf>
    <xf numFmtId="166" fontId="26" fillId="3" borderId="1" xfId="1" applyNumberFormat="1" applyFont="1" applyFill="1" applyBorder="1" applyAlignment="1" applyProtection="1">
      <alignment horizontal="center" vertical="center"/>
      <protection locked="0"/>
    </xf>
    <xf numFmtId="0" fontId="26" fillId="0" borderId="0" xfId="0" applyFont="1" applyAlignment="1" applyProtection="1">
      <alignment vertical="center"/>
      <protection locked="0"/>
    </xf>
    <xf numFmtId="49" fontId="26" fillId="3" borderId="27" xfId="0" applyNumberFormat="1" applyFont="1" applyFill="1" applyBorder="1" applyAlignment="1" applyProtection="1">
      <alignment vertical="center"/>
      <protection locked="0"/>
    </xf>
    <xf numFmtId="165" fontId="26" fillId="3" borderId="22" xfId="1" applyNumberFormat="1" applyFont="1" applyFill="1" applyBorder="1" applyAlignment="1" applyProtection="1">
      <alignment vertical="center"/>
      <protection locked="0"/>
    </xf>
    <xf numFmtId="49" fontId="26" fillId="3" borderId="3" xfId="0" applyNumberFormat="1" applyFont="1" applyFill="1" applyBorder="1" applyAlignment="1" applyProtection="1">
      <alignment vertical="center"/>
      <protection locked="0"/>
    </xf>
    <xf numFmtId="0" fontId="26" fillId="10" borderId="1" xfId="0" applyFont="1" applyFill="1" applyBorder="1" applyAlignment="1" applyProtection="1">
      <alignment horizontal="left" vertical="center" wrapText="1"/>
      <protection locked="0"/>
    </xf>
    <xf numFmtId="3" fontId="22" fillId="0" borderId="0" xfId="0" applyNumberFormat="1" applyFont="1" applyFill="1" applyBorder="1" applyAlignment="1" applyProtection="1">
      <alignment horizontal="center" vertical="center"/>
    </xf>
    <xf numFmtId="3" fontId="22" fillId="0" borderId="1" xfId="0" applyNumberFormat="1" applyFont="1" applyFill="1" applyBorder="1" applyAlignment="1" applyProtection="1">
      <alignment horizontal="center" vertical="center"/>
    </xf>
    <xf numFmtId="3" fontId="22" fillId="0" borderId="4" xfId="1" applyNumberFormat="1" applyFont="1" applyFill="1" applyBorder="1" applyAlignment="1" applyProtection="1">
      <alignment horizontal="center" vertical="center"/>
    </xf>
    <xf numFmtId="4" fontId="22" fillId="0" borderId="1" xfId="1" applyNumberFormat="1" applyFont="1" applyFill="1" applyBorder="1" applyAlignment="1" applyProtection="1">
      <alignment horizontal="center" vertical="center"/>
    </xf>
    <xf numFmtId="0" fontId="26" fillId="10" borderId="6" xfId="0" applyFont="1" applyFill="1" applyBorder="1" applyAlignment="1" applyProtection="1">
      <alignment horizontal="left" vertical="center" wrapText="1"/>
      <protection locked="0"/>
    </xf>
    <xf numFmtId="0" fontId="21" fillId="0" borderId="0" xfId="0" applyNumberFormat="1" applyFont="1" applyAlignment="1" applyProtection="1">
      <alignment vertical="center"/>
      <protection locked="0"/>
    </xf>
    <xf numFmtId="10" fontId="22" fillId="0" borderId="1" xfId="4" applyNumberFormat="1" applyFont="1" applyFill="1" applyBorder="1" applyAlignment="1" applyProtection="1">
      <alignment horizontal="center" vertical="center"/>
    </xf>
    <xf numFmtId="10" fontId="22" fillId="0" borderId="8" xfId="4" applyNumberFormat="1" applyFont="1" applyFill="1" applyBorder="1" applyAlignment="1" applyProtection="1">
      <alignment horizontal="center" vertical="center"/>
    </xf>
    <xf numFmtId="0" fontId="22" fillId="9" borderId="5" xfId="3" applyFont="1" applyFill="1" applyBorder="1" applyAlignment="1" applyProtection="1">
      <alignment vertical="center"/>
    </xf>
    <xf numFmtId="0" fontId="0" fillId="0" borderId="1" xfId="0" applyBorder="1"/>
    <xf numFmtId="0" fontId="22" fillId="9" borderId="1" xfId="3" applyFont="1" applyFill="1" applyBorder="1" applyAlignment="1" applyProtection="1">
      <alignment vertical="center"/>
    </xf>
    <xf numFmtId="9" fontId="26" fillId="3" borderId="1" xfId="1" applyNumberFormat="1" applyFont="1" applyFill="1" applyBorder="1" applyAlignment="1" applyProtection="1">
      <alignment horizontal="center" vertical="center"/>
      <protection locked="0"/>
    </xf>
    <xf numFmtId="0" fontId="16" fillId="0" borderId="1" xfId="5" applyFont="1" applyBorder="1" applyAlignment="1" applyProtection="1">
      <alignment vertical="center"/>
      <protection locked="0"/>
    </xf>
    <xf numFmtId="0" fontId="16" fillId="0" borderId="1" xfId="5" applyFont="1" applyBorder="1" applyAlignment="1" applyProtection="1">
      <alignment horizontal="right" vertical="center"/>
      <protection locked="0"/>
    </xf>
    <xf numFmtId="0" fontId="43" fillId="0" borderId="1" xfId="0" applyFont="1" applyBorder="1" applyAlignment="1" applyProtection="1">
      <alignment horizontal="center" vertical="center"/>
      <protection locked="0"/>
    </xf>
    <xf numFmtId="165" fontId="26" fillId="3" borderId="6" xfId="1" applyNumberFormat="1" applyFont="1" applyFill="1" applyBorder="1" applyAlignment="1" applyProtection="1">
      <alignment horizontal="center" vertical="center"/>
      <protection locked="0"/>
    </xf>
    <xf numFmtId="0" fontId="16" fillId="26" borderId="1" xfId="5" applyFont="1" applyFill="1" applyBorder="1" applyAlignment="1" applyProtection="1">
      <alignment horizontal="center" vertical="center"/>
      <protection locked="0"/>
    </xf>
    <xf numFmtId="1" fontId="16" fillId="26" borderId="1" xfId="5" applyNumberFormat="1" applyFont="1" applyFill="1" applyBorder="1" applyAlignment="1" applyProtection="1">
      <alignment horizontal="center" vertical="center"/>
      <protection locked="0"/>
    </xf>
    <xf numFmtId="10" fontId="16" fillId="26" borderId="1" xfId="5" applyNumberFormat="1" applyFont="1" applyFill="1" applyBorder="1" applyAlignment="1" applyProtection="1">
      <alignment horizontal="center" vertical="center"/>
      <protection locked="0"/>
    </xf>
    <xf numFmtId="9" fontId="48" fillId="26" borderId="1" xfId="9" applyFont="1" applyFill="1" applyBorder="1" applyAlignment="1" applyProtection="1">
      <protection locked="0"/>
    </xf>
    <xf numFmtId="0" fontId="0" fillId="0" borderId="5" xfId="0" applyBorder="1"/>
    <xf numFmtId="49" fontId="26" fillId="3" borderId="1" xfId="0" applyNumberFormat="1" applyFont="1" applyFill="1" applyBorder="1" applyAlignment="1" applyProtection="1">
      <alignment vertical="center" wrapText="1"/>
      <protection locked="0"/>
    </xf>
    <xf numFmtId="165" fontId="26" fillId="3" borderId="6" xfId="1" applyNumberFormat="1" applyFont="1" applyFill="1" applyBorder="1" applyAlignment="1" applyProtection="1">
      <alignment vertical="center"/>
      <protection locked="0"/>
    </xf>
    <xf numFmtId="0" fontId="52" fillId="0" borderId="0" xfId="0" applyFont="1"/>
    <xf numFmtId="0" fontId="37" fillId="0" borderId="0" xfId="0" applyFont="1"/>
    <xf numFmtId="0" fontId="51" fillId="0" borderId="0" xfId="0" applyFont="1"/>
    <xf numFmtId="0" fontId="22" fillId="19" borderId="1" xfId="0" applyFont="1" applyFill="1" applyBorder="1" applyAlignment="1" applyProtection="1">
      <alignment horizontal="left" vertical="center" wrapText="1"/>
    </xf>
    <xf numFmtId="0" fontId="60" fillId="4" borderId="1" xfId="12" applyFont="1" applyFill="1" applyBorder="1" applyAlignment="1" applyProtection="1"/>
    <xf numFmtId="0" fontId="60" fillId="19" borderId="1" xfId="12" applyFont="1" applyFill="1" applyBorder="1" applyAlignment="1" applyProtection="1"/>
    <xf numFmtId="0" fontId="61" fillId="5" borderId="1" xfId="0" applyFont="1" applyFill="1" applyBorder="1" applyAlignment="1" applyProtection="1">
      <alignment horizontal="center" vertical="center"/>
    </xf>
    <xf numFmtId="0" fontId="61" fillId="5" borderId="1" xfId="0" applyFont="1" applyFill="1" applyBorder="1" applyAlignment="1" applyProtection="1">
      <alignment horizontal="center" vertical="center" wrapText="1"/>
    </xf>
    <xf numFmtId="0" fontId="61" fillId="5" borderId="1" xfId="0" applyFont="1" applyFill="1" applyBorder="1" applyAlignment="1" applyProtection="1">
      <alignment horizontal="center" vertical="center" wrapText="1"/>
      <protection locked="0"/>
    </xf>
    <xf numFmtId="0" fontId="61" fillId="5" borderId="1" xfId="0" applyFont="1" applyFill="1" applyBorder="1" applyAlignment="1" applyProtection="1">
      <alignment horizontal="center" vertical="top" wrapText="1"/>
      <protection locked="0"/>
    </xf>
    <xf numFmtId="0" fontId="33" fillId="19" borderId="0" xfId="0" applyFont="1" applyFill="1" applyProtection="1">
      <protection locked="0"/>
    </xf>
    <xf numFmtId="0" fontId="35" fillId="19" borderId="1" xfId="0" applyFont="1" applyFill="1" applyBorder="1" applyAlignment="1" applyProtection="1">
      <alignment horizontal="center"/>
      <protection locked="0"/>
    </xf>
    <xf numFmtId="0" fontId="33" fillId="19" borderId="0" xfId="0" applyFont="1" applyFill="1" applyAlignment="1" applyProtection="1">
      <alignment horizontal="center"/>
      <protection locked="0"/>
    </xf>
    <xf numFmtId="0" fontId="26" fillId="0" borderId="0" xfId="0" applyFont="1" applyAlignment="1" applyProtection="1">
      <alignment vertical="center"/>
    </xf>
    <xf numFmtId="0" fontId="0" fillId="0" borderId="0" xfId="0" applyAlignment="1" applyProtection="1">
      <alignment vertical="center"/>
    </xf>
    <xf numFmtId="9" fontId="26" fillId="0" borderId="1" xfId="1" applyNumberFormat="1" applyFont="1" applyFill="1" applyBorder="1" applyAlignment="1" applyProtection="1">
      <alignment horizontal="center" vertical="center"/>
    </xf>
    <xf numFmtId="0" fontId="21" fillId="0" borderId="0" xfId="0" applyFont="1" applyAlignment="1" applyProtection="1">
      <alignment vertical="center"/>
    </xf>
    <xf numFmtId="0" fontId="22" fillId="9" borderId="57" xfId="0" applyFont="1" applyFill="1" applyBorder="1" applyAlignment="1" applyProtection="1">
      <alignment horizontal="left" vertical="center" wrapText="1"/>
      <protection locked="0"/>
    </xf>
    <xf numFmtId="0" fontId="0" fillId="19" borderId="0" xfId="0" applyFill="1" applyProtection="1"/>
    <xf numFmtId="3" fontId="26" fillId="0" borderId="1" xfId="1" applyNumberFormat="1" applyFont="1" applyFill="1" applyBorder="1" applyAlignment="1" applyProtection="1">
      <alignment horizontal="center" vertical="center"/>
    </xf>
    <xf numFmtId="165" fontId="16" fillId="0" borderId="1" xfId="1" applyNumberFormat="1" applyFont="1" applyFill="1" applyBorder="1" applyAlignment="1" applyProtection="1">
      <alignment horizontal="center" vertical="center"/>
    </xf>
    <xf numFmtId="3" fontId="16" fillId="19" borderId="1" xfId="0" applyNumberFormat="1" applyFont="1" applyFill="1" applyBorder="1" applyProtection="1"/>
    <xf numFmtId="0" fontId="16" fillId="19" borderId="1" xfId="0" applyFont="1" applyFill="1" applyBorder="1" applyProtection="1"/>
    <xf numFmtId="165" fontId="16" fillId="0" borderId="1" xfId="1" applyNumberFormat="1" applyFont="1" applyFill="1" applyBorder="1" applyAlignment="1" applyProtection="1">
      <alignment horizontal="right"/>
      <protection locked="0"/>
    </xf>
    <xf numFmtId="3" fontId="17" fillId="19" borderId="1" xfId="5" applyNumberFormat="1" applyFont="1" applyFill="1" applyBorder="1" applyAlignment="1" applyProtection="1">
      <alignment horizontal="center"/>
    </xf>
    <xf numFmtId="0" fontId="16" fillId="19" borderId="0" xfId="5" applyFont="1" applyFill="1" applyAlignment="1" applyProtection="1">
      <alignment horizontal="center"/>
      <protection locked="0"/>
    </xf>
    <xf numFmtId="0" fontId="17" fillId="3" borderId="1" xfId="5" applyFont="1" applyFill="1" applyBorder="1" applyAlignment="1" applyProtection="1">
      <alignment horizontal="center"/>
      <protection locked="0"/>
    </xf>
    <xf numFmtId="0" fontId="0" fillId="19" borderId="0" xfId="0" applyFill="1" applyProtection="1">
      <protection locked="0"/>
    </xf>
    <xf numFmtId="0" fontId="0" fillId="19" borderId="0" xfId="0" applyFill="1" applyAlignment="1" applyProtection="1">
      <alignment horizontal="center"/>
    </xf>
    <xf numFmtId="3" fontId="26" fillId="19" borderId="1" xfId="1" applyNumberFormat="1" applyFont="1" applyFill="1" applyBorder="1" applyAlignment="1" applyProtection="1">
      <alignment horizontal="center" vertical="center"/>
    </xf>
    <xf numFmtId="0" fontId="16" fillId="0" borderId="0" xfId="5" applyFont="1" applyAlignment="1" applyProtection="1">
      <alignment vertical="center" textRotation="90"/>
    </xf>
    <xf numFmtId="0" fontId="16" fillId="0" borderId="0" xfId="5" applyFont="1" applyAlignment="1" applyProtection="1">
      <alignment vertical="center"/>
    </xf>
    <xf numFmtId="0" fontId="16" fillId="0" borderId="0" xfId="5" applyFont="1" applyAlignment="1" applyProtection="1">
      <alignment horizontal="center" vertical="center" textRotation="90" wrapText="1"/>
    </xf>
    <xf numFmtId="0" fontId="16" fillId="0" borderId="0" xfId="5" applyFont="1" applyAlignment="1" applyProtection="1">
      <alignment horizontal="center" vertical="center" wrapText="1"/>
    </xf>
    <xf numFmtId="165" fontId="16" fillId="0" borderId="0" xfId="1" applyNumberFormat="1" applyFont="1" applyAlignment="1" applyProtection="1">
      <alignment vertical="center"/>
    </xf>
    <xf numFmtId="165" fontId="16" fillId="0" borderId="0" xfId="5" applyNumberFormat="1" applyFont="1" applyAlignment="1" applyProtection="1">
      <alignment vertical="center"/>
    </xf>
    <xf numFmtId="0" fontId="55" fillId="0" borderId="0" xfId="5" applyFont="1" applyAlignment="1" applyProtection="1">
      <alignment vertical="center" textRotation="90"/>
    </xf>
    <xf numFmtId="0" fontId="55" fillId="0" borderId="0" xfId="5" applyFont="1" applyAlignment="1" applyProtection="1">
      <alignment vertical="center"/>
    </xf>
    <xf numFmtId="0" fontId="16" fillId="0" borderId="0" xfId="8" applyFont="1" applyProtection="1"/>
    <xf numFmtId="10" fontId="49" fillId="24" borderId="1" xfId="9" applyNumberFormat="1" applyFont="1" applyFill="1" applyBorder="1" applyProtection="1">
      <protection locked="0"/>
    </xf>
    <xf numFmtId="0" fontId="26" fillId="9" borderId="10" xfId="0" applyNumberFormat="1" applyFont="1" applyFill="1" applyBorder="1" applyAlignment="1" applyProtection="1">
      <alignment vertical="center"/>
      <protection locked="0"/>
    </xf>
    <xf numFmtId="0" fontId="26" fillId="9" borderId="5" xfId="0" applyNumberFormat="1" applyFont="1" applyFill="1" applyBorder="1" applyAlignment="1" applyProtection="1">
      <alignment vertical="center"/>
      <protection locked="0"/>
    </xf>
    <xf numFmtId="0" fontId="26" fillId="9" borderId="5" xfId="0" applyNumberFormat="1" applyFont="1" applyFill="1" applyBorder="1" applyAlignment="1" applyProtection="1">
      <alignment vertical="center" wrapText="1"/>
      <protection locked="0"/>
    </xf>
    <xf numFmtId="0" fontId="26" fillId="9" borderId="26" xfId="0" applyNumberFormat="1" applyFont="1" applyFill="1" applyBorder="1" applyAlignment="1" applyProtection="1">
      <alignment vertical="center"/>
      <protection locked="0"/>
    </xf>
    <xf numFmtId="0" fontId="22" fillId="7" borderId="6" xfId="0" applyFont="1" applyFill="1" applyBorder="1" applyAlignment="1" applyProtection="1">
      <alignment horizontal="center" vertical="center" wrapText="1"/>
      <protection locked="0"/>
    </xf>
    <xf numFmtId="0" fontId="16" fillId="0" borderId="15" xfId="0" applyFont="1" applyBorder="1" applyAlignment="1" applyProtection="1">
      <protection locked="0"/>
    </xf>
    <xf numFmtId="165" fontId="16" fillId="26" borderId="1" xfId="1" applyNumberFormat="1" applyFont="1" applyFill="1" applyBorder="1" applyAlignment="1" applyProtection="1">
      <alignment horizontal="center" vertical="center"/>
      <protection locked="0"/>
    </xf>
    <xf numFmtId="0" fontId="16" fillId="0" borderId="0" xfId="8" applyFont="1" applyAlignment="1">
      <alignment wrapText="1"/>
    </xf>
    <xf numFmtId="0" fontId="70" fillId="2" borderId="20" xfId="8" applyFont="1" applyFill="1" applyBorder="1" applyAlignment="1">
      <alignment horizontal="left" wrapText="1"/>
    </xf>
    <xf numFmtId="0" fontId="70" fillId="2" borderId="33" xfId="8" applyFont="1" applyFill="1" applyBorder="1" applyAlignment="1">
      <alignment horizontal="left" wrapText="1"/>
    </xf>
    <xf numFmtId="0" fontId="70" fillId="2" borderId="34" xfId="8" applyFont="1" applyFill="1" applyBorder="1" applyAlignment="1">
      <alignment horizontal="left" wrapText="1"/>
    </xf>
    <xf numFmtId="0" fontId="70" fillId="2" borderId="44" xfId="8" applyFont="1" applyFill="1" applyBorder="1" applyAlignment="1">
      <alignment horizontal="left" wrapText="1"/>
    </xf>
    <xf numFmtId="0" fontId="16" fillId="2" borderId="0" xfId="8" applyFont="1" applyFill="1" applyAlignment="1">
      <alignment wrapText="1"/>
    </xf>
    <xf numFmtId="0" fontId="74" fillId="2" borderId="0" xfId="8" applyFont="1" applyFill="1" applyAlignment="1">
      <alignment wrapText="1"/>
    </xf>
    <xf numFmtId="10" fontId="26" fillId="3" borderId="1" xfId="1" applyNumberFormat="1" applyFont="1" applyFill="1" applyBorder="1" applyAlignment="1" applyProtection="1">
      <alignment horizontal="center" vertical="center"/>
      <protection locked="0"/>
    </xf>
    <xf numFmtId="3" fontId="42" fillId="24" borderId="1" xfId="10" applyNumberFormat="1" applyFont="1" applyFill="1" applyBorder="1" applyAlignment="1" applyProtection="1">
      <alignment horizontal="center"/>
      <protection locked="0"/>
    </xf>
    <xf numFmtId="0" fontId="16" fillId="9" borderId="1" xfId="0" applyFont="1" applyFill="1" applyBorder="1" applyAlignment="1" applyProtection="1">
      <alignment horizontal="left" vertical="center"/>
      <protection locked="0"/>
    </xf>
    <xf numFmtId="0" fontId="17" fillId="4" borderId="1" xfId="0" applyFont="1" applyFill="1" applyBorder="1" applyProtection="1">
      <protection locked="0"/>
    </xf>
    <xf numFmtId="17" fontId="16" fillId="0" borderId="1" xfId="5" applyNumberFormat="1" applyFont="1" applyBorder="1" applyAlignment="1" applyProtection="1">
      <alignment vertical="center"/>
      <protection locked="0"/>
    </xf>
    <xf numFmtId="0" fontId="35" fillId="19" borderId="1" xfId="0" quotePrefix="1" applyFont="1" applyFill="1" applyBorder="1" applyAlignment="1" applyProtection="1">
      <alignment horizontal="center"/>
      <protection locked="0"/>
    </xf>
    <xf numFmtId="0" fontId="22" fillId="9" borderId="38" xfId="0" applyFont="1" applyFill="1" applyBorder="1" applyAlignment="1" applyProtection="1">
      <alignment horizontal="left" vertical="center" wrapText="1"/>
      <protection locked="0"/>
    </xf>
    <xf numFmtId="3" fontId="26" fillId="3" borderId="1" xfId="1" applyNumberFormat="1" applyFont="1" applyFill="1" applyBorder="1" applyAlignment="1" applyProtection="1">
      <alignment horizontal="center" vertical="center"/>
    </xf>
    <xf numFmtId="0" fontId="64" fillId="19" borderId="0" xfId="0" applyFont="1" applyFill="1" applyAlignment="1">
      <alignment vertical="center"/>
    </xf>
    <xf numFmtId="0" fontId="65" fillId="0" borderId="1" xfId="0" applyFont="1" applyBorder="1" applyAlignment="1" applyProtection="1">
      <alignment horizontal="center" vertical="center"/>
    </xf>
    <xf numFmtId="0" fontId="65" fillId="22" borderId="1" xfId="0" applyFont="1" applyFill="1" applyBorder="1" applyAlignment="1" applyProtection="1">
      <alignment horizontal="center" vertical="center"/>
    </xf>
    <xf numFmtId="0" fontId="64" fillId="0" borderId="1" xfId="0" applyFont="1" applyBorder="1" applyAlignment="1" applyProtection="1">
      <alignment horizontal="center" vertical="center"/>
    </xf>
    <xf numFmtId="0" fontId="67" fillId="0" borderId="1" xfId="0" applyFont="1" applyBorder="1" applyAlignment="1" applyProtection="1">
      <alignment horizontal="center" vertical="center"/>
    </xf>
    <xf numFmtId="0" fontId="64" fillId="0" borderId="1" xfId="0" applyFont="1" applyBorder="1" applyAlignment="1" applyProtection="1">
      <alignment horizontal="left" vertical="center"/>
    </xf>
    <xf numFmtId="0" fontId="64" fillId="19" borderId="0" xfId="0" applyFont="1" applyFill="1" applyBorder="1" applyAlignment="1" applyProtection="1">
      <alignment horizontal="center" vertical="center"/>
    </xf>
    <xf numFmtId="0" fontId="64" fillId="19" borderId="0" xfId="0" applyFont="1" applyFill="1" applyBorder="1" applyAlignment="1" applyProtection="1">
      <alignment horizontal="left" vertical="center"/>
    </xf>
    <xf numFmtId="0" fontId="64" fillId="19" borderId="0" xfId="0" applyFont="1" applyFill="1" applyAlignment="1" applyProtection="1">
      <alignment vertical="center"/>
    </xf>
    <xf numFmtId="0" fontId="65" fillId="19" borderId="0" xfId="0" applyFont="1" applyFill="1" applyAlignment="1" applyProtection="1">
      <alignment horizontal="left" vertical="center"/>
    </xf>
    <xf numFmtId="0" fontId="64" fillId="19" borderId="0" xfId="0" applyFont="1" applyFill="1" applyAlignment="1" applyProtection="1">
      <alignment horizontal="center" vertical="center"/>
    </xf>
    <xf numFmtId="10" fontId="64" fillId="19" borderId="0" xfId="4" applyNumberFormat="1" applyFont="1" applyFill="1" applyAlignment="1" applyProtection="1">
      <alignment vertical="center"/>
    </xf>
    <xf numFmtId="0" fontId="64" fillId="0" borderId="3" xfId="0" applyFont="1" applyBorder="1" applyAlignment="1" applyProtection="1">
      <alignment vertical="center"/>
      <protection locked="0"/>
    </xf>
    <xf numFmtId="0" fontId="64" fillId="0" borderId="1" xfId="0" applyFont="1" applyBorder="1" applyAlignment="1" applyProtection="1">
      <alignment vertical="center"/>
      <protection locked="0"/>
    </xf>
    <xf numFmtId="0" fontId="65" fillId="0" borderId="1" xfId="0" applyFont="1" applyBorder="1" applyAlignment="1" applyProtection="1">
      <alignment vertical="center"/>
      <protection locked="0"/>
    </xf>
    <xf numFmtId="0" fontId="64" fillId="0" borderId="15" xfId="0" applyFont="1" applyBorder="1" applyAlignment="1" applyProtection="1">
      <alignment horizontal="left" vertical="center"/>
      <protection locked="0"/>
    </xf>
    <xf numFmtId="0" fontId="64" fillId="0" borderId="16" xfId="0" applyFont="1" applyBorder="1" applyAlignment="1" applyProtection="1">
      <alignment horizontal="left" vertical="center"/>
      <protection locked="0"/>
    </xf>
    <xf numFmtId="0" fontId="26" fillId="19" borderId="0" xfId="0" applyFont="1" applyFill="1" applyAlignment="1" applyProtection="1">
      <alignment vertical="center"/>
    </xf>
    <xf numFmtId="0" fontId="0" fillId="19" borderId="0" xfId="0" applyFill="1" applyAlignment="1" applyProtection="1">
      <alignment vertical="center"/>
    </xf>
    <xf numFmtId="165" fontId="22" fillId="11" borderId="60" xfId="1" applyNumberFormat="1" applyFont="1" applyFill="1" applyBorder="1" applyAlignment="1" applyProtection="1">
      <alignment horizontal="center" vertical="center" wrapText="1"/>
    </xf>
    <xf numFmtId="10" fontId="26" fillId="0" borderId="1" xfId="4" applyNumberFormat="1" applyFont="1" applyFill="1" applyBorder="1" applyAlignment="1" applyProtection="1">
      <alignment horizontal="center" vertical="center"/>
    </xf>
    <xf numFmtId="0" fontId="33" fillId="21" borderId="0" xfId="0" applyFont="1" applyFill="1" applyAlignment="1" applyProtection="1">
      <alignment horizontal="center" vertical="center" wrapText="1"/>
      <protection locked="0"/>
    </xf>
    <xf numFmtId="0" fontId="26" fillId="3" borderId="22" xfId="0" applyFont="1" applyFill="1" applyBorder="1" applyAlignment="1" applyProtection="1">
      <alignment vertical="center"/>
      <protection locked="0"/>
    </xf>
    <xf numFmtId="0" fontId="16" fillId="19" borderId="0" xfId="0" applyFont="1" applyFill="1" applyProtection="1"/>
    <xf numFmtId="0" fontId="26" fillId="19" borderId="1" xfId="0" applyFont="1" applyFill="1" applyBorder="1" applyProtection="1"/>
    <xf numFmtId="10" fontId="26" fillId="0" borderId="1" xfId="0" applyNumberFormat="1" applyFont="1" applyFill="1" applyBorder="1" applyProtection="1"/>
    <xf numFmtId="165" fontId="26" fillId="19" borderId="6" xfId="1" applyNumberFormat="1" applyFont="1" applyFill="1" applyBorder="1" applyProtection="1"/>
    <xf numFmtId="10" fontId="26" fillId="19" borderId="8" xfId="0" applyNumberFormat="1" applyFont="1" applyFill="1" applyBorder="1" applyProtection="1"/>
    <xf numFmtId="0" fontId="26" fillId="19" borderId="1" xfId="0" applyFont="1" applyFill="1" applyBorder="1" applyProtection="1">
      <protection locked="0"/>
    </xf>
    <xf numFmtId="0" fontId="35" fillId="19" borderId="1" xfId="12" applyFont="1" applyFill="1" applyBorder="1" applyAlignment="1" applyProtection="1"/>
    <xf numFmtId="0" fontId="49" fillId="19" borderId="1" xfId="0" applyFont="1" applyFill="1" applyBorder="1" applyAlignment="1" applyProtection="1">
      <alignment horizontal="left" vertical="center" wrapText="1"/>
      <protection locked="0"/>
    </xf>
    <xf numFmtId="9" fontId="16" fillId="3" borderId="1" xfId="5" applyNumberFormat="1" applyFont="1" applyFill="1" applyBorder="1" applyAlignment="1" applyProtection="1">
      <alignment horizontal="center" vertical="center" wrapText="1"/>
      <protection locked="0"/>
    </xf>
    <xf numFmtId="0" fontId="0" fillId="0" borderId="0" xfId="0" applyProtection="1"/>
    <xf numFmtId="9" fontId="0" fillId="0" borderId="0" xfId="0" applyNumberFormat="1" applyProtection="1"/>
    <xf numFmtId="17" fontId="0" fillId="0" borderId="0" xfId="0" applyNumberFormat="1" applyProtection="1"/>
    <xf numFmtId="17" fontId="16" fillId="0" borderId="0" xfId="5" applyNumberFormat="1" applyFont="1" applyBorder="1" applyAlignment="1" applyProtection="1">
      <alignment vertical="center"/>
      <protection locked="0"/>
    </xf>
    <xf numFmtId="0" fontId="16" fillId="0" borderId="0" xfId="5" applyFont="1" applyBorder="1" applyAlignment="1" applyProtection="1">
      <alignment vertical="center"/>
      <protection locked="0"/>
    </xf>
    <xf numFmtId="0" fontId="26" fillId="0" borderId="0" xfId="6" applyFont="1"/>
    <xf numFmtId="0" fontId="27" fillId="20" borderId="1" xfId="6" applyFont="1" applyFill="1" applyBorder="1" applyAlignment="1" applyProtection="1">
      <alignment horizontal="center" vertical="center" wrapText="1"/>
    </xf>
    <xf numFmtId="0" fontId="26" fillId="0" borderId="0" xfId="7" applyFont="1"/>
    <xf numFmtId="0" fontId="77" fillId="0" borderId="26" xfId="7" applyFont="1" applyBorder="1" applyAlignment="1" applyProtection="1">
      <alignment horizontal="left" vertical="center"/>
      <protection locked="0"/>
    </xf>
    <xf numFmtId="0" fontId="77" fillId="0" borderId="0" xfId="7" applyFont="1" applyBorder="1"/>
    <xf numFmtId="0" fontId="77" fillId="0" borderId="43" xfId="7" applyFont="1" applyBorder="1" applyAlignment="1" applyProtection="1">
      <alignment horizontal="left" vertical="center"/>
      <protection locked="0"/>
    </xf>
    <xf numFmtId="0" fontId="77" fillId="0" borderId="7" xfId="7" applyFont="1" applyBorder="1" applyAlignment="1" applyProtection="1">
      <alignment horizontal="left" vertical="center"/>
      <protection locked="0"/>
    </xf>
    <xf numFmtId="0" fontId="78" fillId="0" borderId="0" xfId="7" applyFont="1" applyFill="1" applyBorder="1" applyAlignment="1">
      <alignment vertical="center" wrapText="1"/>
    </xf>
    <xf numFmtId="0" fontId="77" fillId="0" borderId="0" xfId="7" applyFont="1" applyFill="1" applyBorder="1"/>
    <xf numFmtId="0" fontId="77" fillId="0" borderId="0" xfId="7" applyFont="1" applyFill="1"/>
    <xf numFmtId="0" fontId="77" fillId="0" borderId="5" xfId="7" applyFont="1" applyBorder="1" applyAlignment="1" applyProtection="1">
      <alignment vertical="center"/>
      <protection locked="0"/>
    </xf>
    <xf numFmtId="0" fontId="77" fillId="0" borderId="10" xfId="7" applyFont="1" applyBorder="1" applyAlignment="1" applyProtection="1">
      <alignment vertical="center"/>
      <protection locked="0"/>
    </xf>
    <xf numFmtId="0" fontId="77" fillId="0" borderId="5" xfId="7" applyFont="1" applyBorder="1" applyAlignment="1" applyProtection="1">
      <alignment vertical="center" wrapText="1"/>
      <protection locked="0"/>
    </xf>
    <xf numFmtId="0" fontId="77" fillId="0" borderId="26" xfId="7" applyFont="1" applyBorder="1" applyAlignment="1" applyProtection="1">
      <alignment vertical="center" wrapText="1"/>
      <protection locked="0"/>
    </xf>
    <xf numFmtId="0" fontId="77" fillId="0" borderId="51" xfId="7" applyFont="1" applyBorder="1" applyAlignment="1" applyProtection="1">
      <alignment vertical="center" wrapText="1"/>
      <protection locked="0"/>
    </xf>
    <xf numFmtId="0" fontId="77" fillId="0" borderId="10" xfId="7" applyFont="1" applyBorder="1" applyAlignment="1" applyProtection="1">
      <alignment horizontal="left" vertical="center"/>
      <protection locked="0"/>
    </xf>
    <xf numFmtId="0" fontId="77" fillId="0" borderId="5" xfId="7" applyFont="1" applyBorder="1" applyAlignment="1" applyProtection="1">
      <alignment horizontal="left" vertical="center"/>
      <protection locked="0"/>
    </xf>
    <xf numFmtId="0" fontId="79" fillId="11" borderId="69" xfId="7" applyFont="1" applyFill="1" applyBorder="1" applyAlignment="1" applyProtection="1">
      <alignment horizontal="center" vertical="center"/>
      <protection locked="0"/>
    </xf>
    <xf numFmtId="0" fontId="77" fillId="0" borderId="10" xfId="7" applyFont="1" applyBorder="1" applyAlignment="1" applyProtection="1">
      <alignment horizontal="left" vertical="center" wrapText="1"/>
      <protection locked="0"/>
    </xf>
    <xf numFmtId="0" fontId="77" fillId="0" borderId="7" xfId="7" applyFont="1" applyBorder="1" applyAlignment="1" applyProtection="1">
      <alignment vertical="center" wrapText="1"/>
      <protection locked="0"/>
    </xf>
    <xf numFmtId="0" fontId="79" fillId="11" borderId="5" xfId="7" applyFont="1" applyFill="1" applyBorder="1" applyAlignment="1" applyProtection="1">
      <alignment horizontal="center" vertical="center"/>
      <protection locked="0"/>
    </xf>
    <xf numFmtId="0" fontId="77" fillId="0" borderId="5" xfId="7" applyFont="1" applyFill="1" applyBorder="1" applyAlignment="1" applyProtection="1">
      <alignment vertical="center"/>
      <protection locked="0"/>
    </xf>
    <xf numFmtId="0" fontId="77" fillId="0" borderId="7" xfId="7" applyFont="1" applyFill="1" applyBorder="1" applyAlignment="1" applyProtection="1">
      <alignment vertical="center"/>
      <protection locked="0"/>
    </xf>
    <xf numFmtId="0" fontId="79" fillId="11" borderId="25" xfId="7" applyFont="1" applyFill="1" applyBorder="1" applyAlignment="1" applyProtection="1">
      <alignment horizontal="center" vertical="center"/>
      <protection locked="0"/>
    </xf>
    <xf numFmtId="0" fontId="79" fillId="0" borderId="59" xfId="7" applyFont="1" applyFill="1" applyBorder="1" applyAlignment="1" applyProtection="1">
      <alignment vertical="center"/>
      <protection locked="0"/>
    </xf>
    <xf numFmtId="0" fontId="77" fillId="11" borderId="10" xfId="7" applyFont="1" applyFill="1" applyBorder="1" applyAlignment="1">
      <alignment horizontal="left" vertical="center" wrapText="1"/>
    </xf>
    <xf numFmtId="0" fontId="77" fillId="11" borderId="5" xfId="7" applyFont="1" applyFill="1" applyBorder="1" applyAlignment="1">
      <alignment horizontal="left" vertical="center" wrapText="1"/>
    </xf>
    <xf numFmtId="0" fontId="77" fillId="11" borderId="1" xfId="7" applyFont="1" applyFill="1" applyBorder="1" applyAlignment="1">
      <alignment horizontal="left" vertical="center" wrapText="1"/>
    </xf>
    <xf numFmtId="0" fontId="77" fillId="0" borderId="0" xfId="7" applyFont="1" applyBorder="1" applyAlignment="1">
      <alignment horizontal="center" vertical="top" wrapText="1"/>
    </xf>
    <xf numFmtId="0" fontId="16" fillId="0" borderId="0" xfId="0" applyFont="1"/>
    <xf numFmtId="0" fontId="0" fillId="0" borderId="0" xfId="0"/>
    <xf numFmtId="0" fontId="0" fillId="0" borderId="0" xfId="0" applyAlignment="1">
      <alignment horizontal="left" vertical="center" wrapText="1"/>
    </xf>
    <xf numFmtId="0" fontId="16" fillId="0" borderId="0" xfId="0" applyFont="1" applyAlignment="1">
      <alignment horizontal="left" vertical="center" wrapText="1"/>
    </xf>
    <xf numFmtId="0" fontId="0" fillId="0" borderId="0" xfId="0" applyProtection="1"/>
    <xf numFmtId="0" fontId="0" fillId="0" borderId="0" xfId="0" applyAlignment="1"/>
    <xf numFmtId="0" fontId="0" fillId="0" borderId="0" xfId="0" applyFill="1" applyBorder="1"/>
    <xf numFmtId="0" fontId="16" fillId="0" borderId="0" xfId="0" applyFont="1" applyAlignment="1">
      <alignment horizontal="left" vertical="center"/>
    </xf>
    <xf numFmtId="0" fontId="0" fillId="0" borderId="0" xfId="0" applyAlignment="1">
      <alignment horizontal="left" vertical="center"/>
    </xf>
    <xf numFmtId="0" fontId="16" fillId="0" borderId="0" xfId="0" applyFont="1" applyAlignment="1"/>
    <xf numFmtId="0" fontId="0" fillId="0" borderId="0" xfId="0" applyFont="1"/>
    <xf numFmtId="0" fontId="0" fillId="0" borderId="0" xfId="0" applyNumberFormat="1" applyProtection="1"/>
    <xf numFmtId="0" fontId="0" fillId="0" borderId="0" xfId="0" applyProtection="1">
      <protection locked="0"/>
    </xf>
    <xf numFmtId="0" fontId="81" fillId="4" borderId="1" xfId="12" applyFont="1" applyFill="1" applyBorder="1" applyAlignment="1" applyProtection="1"/>
    <xf numFmtId="3" fontId="61" fillId="29" borderId="65" xfId="15" applyNumberFormat="1" applyFont="1" applyBorder="1" applyAlignment="1" applyProtection="1">
      <alignment horizontal="center"/>
    </xf>
    <xf numFmtId="3" fontId="68" fillId="29" borderId="65" xfId="15" applyNumberFormat="1" applyAlignment="1" applyProtection="1">
      <alignment horizontal="center"/>
    </xf>
    <xf numFmtId="9" fontId="26" fillId="0" borderId="3" xfId="1" applyNumberFormat="1" applyFont="1" applyFill="1" applyBorder="1" applyAlignment="1" applyProtection="1">
      <alignment horizontal="center" vertical="center"/>
    </xf>
    <xf numFmtId="165" fontId="16" fillId="24" borderId="1" xfId="1" applyNumberFormat="1" applyFont="1" applyFill="1" applyBorder="1" applyAlignment="1" applyProtection="1">
      <protection locked="0"/>
    </xf>
    <xf numFmtId="3" fontId="26" fillId="0" borderId="57" xfId="0" applyNumberFormat="1" applyFont="1" applyBorder="1" applyProtection="1">
      <protection locked="0"/>
    </xf>
    <xf numFmtId="0" fontId="0" fillId="0" borderId="0" xfId="0"/>
    <xf numFmtId="0" fontId="16" fillId="17" borderId="1" xfId="41" applyFont="1" applyFill="1" applyBorder="1" applyAlignment="1" applyProtection="1">
      <alignment horizontal="center" vertical="center" wrapText="1"/>
      <protection locked="0"/>
    </xf>
    <xf numFmtId="0" fontId="16" fillId="0" borderId="1" xfId="41" applyFont="1" applyBorder="1" applyAlignment="1" applyProtection="1">
      <alignment horizontal="center" vertical="center" wrapText="1"/>
      <protection locked="0"/>
    </xf>
    <xf numFmtId="0" fontId="16" fillId="0" borderId="1" xfId="41" applyFont="1" applyFill="1" applyBorder="1" applyAlignment="1" applyProtection="1">
      <alignment horizontal="center" vertical="center" wrapText="1"/>
      <protection locked="0"/>
    </xf>
    <xf numFmtId="0" fontId="17" fillId="15" borderId="1" xfId="41" applyFont="1" applyFill="1" applyBorder="1" applyAlignment="1" applyProtection="1">
      <alignment horizontal="center" vertical="center" wrapText="1"/>
      <protection locked="0"/>
    </xf>
    <xf numFmtId="173" fontId="17" fillId="15" borderId="1" xfId="40" applyNumberFormat="1" applyFont="1" applyFill="1" applyBorder="1" applyAlignment="1" applyProtection="1">
      <alignment horizontal="center" vertical="center" wrapText="1"/>
      <protection locked="0"/>
    </xf>
    <xf numFmtId="0" fontId="36" fillId="38" borderId="1" xfId="41" applyFont="1" applyFill="1" applyBorder="1" applyAlignment="1" applyProtection="1">
      <alignment horizontal="center" vertical="center" wrapText="1"/>
      <protection locked="0"/>
    </xf>
    <xf numFmtId="0" fontId="16" fillId="2" borderId="0" xfId="0" applyFont="1" applyFill="1"/>
    <xf numFmtId="0" fontId="46" fillId="2" borderId="0" xfId="0" applyFont="1" applyFill="1"/>
    <xf numFmtId="3" fontId="17" fillId="0" borderId="1" xfId="1" applyNumberFormat="1" applyFont="1" applyBorder="1" applyAlignment="1" applyProtection="1">
      <alignment horizontal="center" vertical="center"/>
      <protection locked="0"/>
    </xf>
    <xf numFmtId="3" fontId="17" fillId="0" borderId="6" xfId="0" applyNumberFormat="1" applyFont="1" applyBorder="1" applyAlignment="1" applyProtection="1">
      <alignment horizontal="center" vertical="center"/>
      <protection locked="0"/>
    </xf>
    <xf numFmtId="0" fontId="17" fillId="9" borderId="47" xfId="0" applyFont="1" applyFill="1" applyBorder="1" applyAlignment="1" applyProtection="1">
      <alignment horizontal="left" vertical="center"/>
      <protection locked="0"/>
    </xf>
    <xf numFmtId="1" fontId="16" fillId="0" borderId="21" xfId="0" applyNumberFormat="1" applyFont="1" applyBorder="1" applyAlignment="1" applyProtection="1">
      <alignment horizontal="center" vertical="center"/>
      <protection locked="0"/>
    </xf>
    <xf numFmtId="0" fontId="17" fillId="9" borderId="57" xfId="0" applyFont="1" applyFill="1" applyBorder="1" applyAlignment="1" applyProtection="1">
      <alignment horizontal="left" vertical="center"/>
      <protection locked="0"/>
    </xf>
    <xf numFmtId="0" fontId="16" fillId="0" borderId="15" xfId="0" applyFont="1" applyBorder="1" applyAlignment="1" applyProtection="1">
      <alignment horizontal="center"/>
      <protection locked="0"/>
    </xf>
    <xf numFmtId="0" fontId="17" fillId="9" borderId="1" xfId="0" applyFont="1" applyFill="1" applyBorder="1" applyAlignment="1" applyProtection="1">
      <alignment horizontal="center" vertical="center"/>
      <protection locked="0"/>
    </xf>
    <xf numFmtId="0" fontId="17" fillId="9" borderId="5" xfId="0" applyFont="1" applyFill="1" applyBorder="1" applyAlignment="1" applyProtection="1">
      <alignment horizontal="left" vertical="center"/>
      <protection locked="0"/>
    </xf>
    <xf numFmtId="0" fontId="17" fillId="9" borderId="29" xfId="0" applyFont="1" applyFill="1" applyBorder="1" applyAlignment="1" applyProtection="1">
      <alignment horizontal="left" vertical="center"/>
      <protection locked="0"/>
    </xf>
    <xf numFmtId="0" fontId="46" fillId="2" borderId="0" xfId="0" applyFont="1" applyFill="1" applyAlignment="1">
      <alignment horizontal="center" vertical="center"/>
    </xf>
    <xf numFmtId="0" fontId="46" fillId="2" borderId="0" xfId="0" quotePrefix="1" applyFont="1" applyFill="1" applyAlignment="1">
      <alignment horizontal="center"/>
    </xf>
    <xf numFmtId="0" fontId="17" fillId="9" borderId="62" xfId="0" applyFont="1" applyFill="1" applyBorder="1" applyAlignment="1" applyProtection="1">
      <alignment horizontal="left" vertical="center" wrapText="1"/>
      <protection locked="0"/>
    </xf>
    <xf numFmtId="0" fontId="17" fillId="9" borderId="5" xfId="0" applyFont="1" applyFill="1" applyBorder="1" applyAlignment="1" applyProtection="1">
      <alignment horizontal="left" vertical="center" wrapText="1"/>
      <protection locked="0"/>
    </xf>
    <xf numFmtId="0" fontId="17" fillId="9" borderId="10" xfId="0" applyFont="1" applyFill="1" applyBorder="1" applyAlignment="1" applyProtection="1">
      <alignment horizontal="left" vertical="center" wrapText="1"/>
      <protection locked="0"/>
    </xf>
    <xf numFmtId="0" fontId="17" fillId="9" borderId="1" xfId="0" applyFont="1" applyFill="1" applyBorder="1" applyAlignment="1" applyProtection="1">
      <alignment horizontal="center" vertical="center" wrapText="1"/>
      <protection locked="0"/>
    </xf>
    <xf numFmtId="0" fontId="17" fillId="9" borderId="43" xfId="0" applyFont="1" applyFill="1" applyBorder="1" applyAlignment="1" applyProtection="1">
      <alignment horizontal="left" vertical="center" wrapText="1"/>
      <protection locked="0"/>
    </xf>
    <xf numFmtId="0" fontId="16" fillId="0" borderId="45" xfId="0" applyFont="1" applyBorder="1" applyAlignment="1" applyProtection="1">
      <alignment horizontal="center" vertical="center"/>
      <protection locked="0"/>
    </xf>
    <xf numFmtId="0" fontId="46" fillId="0" borderId="0" xfId="0" applyFont="1"/>
    <xf numFmtId="0" fontId="17" fillId="9" borderId="26" xfId="0" applyFont="1" applyFill="1" applyBorder="1" applyAlignment="1" applyProtection="1">
      <alignment horizontal="left" vertical="center" wrapText="1"/>
      <protection locked="0"/>
    </xf>
    <xf numFmtId="0" fontId="16" fillId="0" borderId="6" xfId="0" applyFont="1" applyBorder="1" applyAlignment="1" applyProtection="1">
      <alignment wrapText="1"/>
      <protection locked="0"/>
    </xf>
    <xf numFmtId="0" fontId="22" fillId="8" borderId="16" xfId="54" applyFont="1" applyFill="1" applyBorder="1" applyAlignment="1" applyProtection="1">
      <alignment vertical="center"/>
      <protection locked="0"/>
    </xf>
    <xf numFmtId="0" fontId="12" fillId="19" borderId="0" xfId="54" applyFill="1" applyProtection="1">
      <protection locked="0"/>
    </xf>
    <xf numFmtId="0" fontId="12" fillId="0" borderId="0" xfId="54" applyProtection="1">
      <protection locked="0"/>
    </xf>
    <xf numFmtId="0" fontId="91" fillId="26" borderId="1" xfId="54" applyFont="1" applyFill="1" applyBorder="1" applyAlignment="1" applyProtection="1">
      <alignment horizontal="center" vertical="center"/>
      <protection locked="0"/>
    </xf>
    <xf numFmtId="0" fontId="12" fillId="26" borderId="1" xfId="54" applyFill="1" applyBorder="1" applyAlignment="1" applyProtection="1">
      <alignment horizontal="center" vertical="center"/>
      <protection locked="0"/>
    </xf>
    <xf numFmtId="9" fontId="0" fillId="26" borderId="1" xfId="55" applyFont="1" applyFill="1" applyBorder="1" applyAlignment="1" applyProtection="1">
      <alignment horizontal="center" vertical="center"/>
      <protection locked="0"/>
    </xf>
    <xf numFmtId="0" fontId="16" fillId="19" borderId="0" xfId="54" applyFont="1" applyFill="1" applyAlignment="1" applyProtection="1">
      <alignment horizontal="left" vertical="center"/>
      <protection locked="0"/>
    </xf>
    <xf numFmtId="0" fontId="16" fillId="19" borderId="0" xfId="54" applyFont="1" applyFill="1" applyProtection="1">
      <protection locked="0"/>
    </xf>
    <xf numFmtId="0" fontId="12" fillId="26" borderId="1" xfId="54" applyFill="1" applyBorder="1" applyAlignment="1">
      <alignment horizontal="center" vertical="center"/>
    </xf>
    <xf numFmtId="0" fontId="16" fillId="19" borderId="0" xfId="54" applyFont="1" applyFill="1" applyAlignment="1" applyProtection="1">
      <alignment horizontal="center" vertical="center" wrapText="1"/>
      <protection locked="0"/>
    </xf>
    <xf numFmtId="0" fontId="12" fillId="26" borderId="16" xfId="54" applyFill="1" applyBorder="1" applyAlignment="1" applyProtection="1">
      <alignment horizontal="center" vertical="center"/>
      <protection locked="0"/>
    </xf>
    <xf numFmtId="0" fontId="26" fillId="9" borderId="1" xfId="54" applyFont="1" applyFill="1" applyBorder="1" applyAlignment="1" applyProtection="1">
      <alignment horizontal="left" vertical="center" wrapText="1"/>
      <protection locked="0"/>
    </xf>
    <xf numFmtId="169" fontId="26" fillId="26" borderId="1" xfId="54" applyNumberFormat="1" applyFont="1" applyFill="1" applyBorder="1" applyAlignment="1" applyProtection="1">
      <alignment horizontal="left" vertical="center"/>
      <protection locked="0"/>
    </xf>
    <xf numFmtId="0" fontId="26" fillId="26" borderId="1" xfId="54" applyFont="1" applyFill="1" applyBorder="1" applyAlignment="1" applyProtection="1">
      <alignment horizontal="left" vertical="center"/>
      <protection locked="0"/>
    </xf>
    <xf numFmtId="0" fontId="94" fillId="19" borderId="0" xfId="54" applyFont="1" applyFill="1" applyProtection="1">
      <protection locked="0"/>
    </xf>
    <xf numFmtId="0" fontId="94" fillId="0" borderId="0" xfId="54" applyFont="1" applyProtection="1">
      <protection locked="0"/>
    </xf>
    <xf numFmtId="0" fontId="22" fillId="19" borderId="0" xfId="54" applyFont="1" applyFill="1" applyAlignment="1" applyProtection="1">
      <alignment vertical="center"/>
      <protection locked="0"/>
    </xf>
    <xf numFmtId="0" fontId="26" fillId="26" borderId="1" xfId="54" applyFont="1" applyFill="1" applyBorder="1" applyAlignment="1" applyProtection="1">
      <alignment horizontal="center" vertical="center"/>
      <protection locked="0"/>
    </xf>
    <xf numFmtId="37" fontId="26" fillId="26" borderId="1" xfId="54" applyNumberFormat="1" applyFont="1" applyFill="1" applyBorder="1" applyAlignment="1" applyProtection="1">
      <alignment horizontal="center" vertical="center"/>
      <protection locked="0"/>
    </xf>
    <xf numFmtId="0" fontId="26" fillId="26" borderId="1" xfId="54" quotePrefix="1" applyFont="1" applyFill="1" applyBorder="1" applyAlignment="1" applyProtection="1">
      <alignment horizontal="center" vertical="center"/>
      <protection locked="0"/>
    </xf>
    <xf numFmtId="9" fontId="26" fillId="26" borderId="1" xfId="54" applyNumberFormat="1" applyFont="1" applyFill="1" applyBorder="1" applyAlignment="1" applyProtection="1">
      <alignment horizontal="center" vertical="center"/>
      <protection locked="0"/>
    </xf>
    <xf numFmtId="3" fontId="26" fillId="26" borderId="1" xfId="54" applyNumberFormat="1" applyFont="1" applyFill="1" applyBorder="1" applyAlignment="1" applyProtection="1">
      <alignment horizontal="center" vertical="center"/>
      <protection locked="0"/>
    </xf>
    <xf numFmtId="43" fontId="26" fillId="26" borderId="15" xfId="56" applyFont="1" applyFill="1" applyBorder="1" applyAlignment="1" applyProtection="1">
      <alignment horizontal="center" vertical="center"/>
      <protection locked="0"/>
    </xf>
    <xf numFmtId="0" fontId="54" fillId="7" borderId="1" xfId="54" applyFont="1" applyFill="1" applyBorder="1" applyAlignment="1" applyProtection="1">
      <alignment horizontal="center" vertical="center"/>
      <protection locked="0"/>
    </xf>
    <xf numFmtId="0" fontId="17" fillId="0" borderId="0" xfId="54" applyFont="1"/>
    <xf numFmtId="3" fontId="17" fillId="0" borderId="21" xfId="1" applyNumberFormat="1" applyFont="1" applyFill="1" applyBorder="1" applyAlignment="1" applyProtection="1">
      <alignment horizontal="center" vertical="center"/>
      <protection locked="0"/>
    </xf>
    <xf numFmtId="3" fontId="17" fillId="0" borderId="49" xfId="1" applyNumberFormat="1" applyFont="1" applyFill="1" applyBorder="1" applyAlignment="1" applyProtection="1">
      <alignment horizontal="center" vertical="center"/>
      <protection locked="0"/>
    </xf>
    <xf numFmtId="10" fontId="16" fillId="0" borderId="0" xfId="4" applyNumberFormat="1" applyFont="1" applyFill="1" applyAlignment="1" applyProtection="1">
      <protection locked="0"/>
    </xf>
    <xf numFmtId="37" fontId="26" fillId="36" borderId="1" xfId="1" applyNumberFormat="1" applyFont="1" applyFill="1" applyBorder="1" applyAlignment="1" applyProtection="1">
      <alignment horizontal="center" vertical="center"/>
    </xf>
    <xf numFmtId="0" fontId="89" fillId="0" borderId="80" xfId="57" applyFont="1" applyBorder="1" applyAlignment="1">
      <alignment vertical="center"/>
    </xf>
    <xf numFmtId="0" fontId="89" fillId="0" borderId="81" xfId="57" applyFont="1" applyBorder="1" applyAlignment="1">
      <alignment vertical="center"/>
    </xf>
    <xf numFmtId="0" fontId="89" fillId="0" borderId="82" xfId="57" applyFont="1" applyBorder="1" applyAlignment="1">
      <alignment vertical="center"/>
    </xf>
    <xf numFmtId="0" fontId="89" fillId="0" borderId="83" xfId="57" applyFont="1" applyBorder="1" applyAlignment="1">
      <alignment vertical="center"/>
    </xf>
    <xf numFmtId="0" fontId="89" fillId="0" borderId="84" xfId="57" applyFont="1" applyBorder="1" applyAlignment="1">
      <alignment vertical="center"/>
    </xf>
    <xf numFmtId="0" fontId="11" fillId="0" borderId="0" xfId="57"/>
    <xf numFmtId="10" fontId="17" fillId="0" borderId="15" xfId="4" applyNumberFormat="1" applyFont="1" applyFill="1" applyBorder="1" applyAlignment="1" applyProtection="1">
      <alignment horizontal="center" vertical="center"/>
      <protection locked="0"/>
    </xf>
    <xf numFmtId="3" fontId="22" fillId="43" borderId="1" xfId="1" applyNumberFormat="1" applyFont="1" applyFill="1" applyBorder="1" applyAlignment="1" applyProtection="1">
      <alignment horizontal="center" vertical="center"/>
      <protection locked="0"/>
    </xf>
    <xf numFmtId="10" fontId="22" fillId="42" borderId="1" xfId="4" applyNumberFormat="1" applyFont="1" applyFill="1" applyBorder="1" applyAlignment="1" applyProtection="1">
      <alignment horizontal="center" vertical="center"/>
    </xf>
    <xf numFmtId="0" fontId="26" fillId="9" borderId="1" xfId="0" applyNumberFormat="1" applyFont="1" applyFill="1" applyBorder="1" applyAlignment="1" applyProtection="1">
      <alignment vertical="center"/>
    </xf>
    <xf numFmtId="0" fontId="26" fillId="9" borderId="4" xfId="0" applyNumberFormat="1" applyFont="1" applyFill="1" applyBorder="1" applyAlignment="1" applyProtection="1">
      <alignment vertical="center"/>
    </xf>
    <xf numFmtId="9" fontId="26" fillId="0" borderId="8" xfId="1" applyNumberFormat="1" applyFont="1" applyFill="1" applyBorder="1" applyAlignment="1" applyProtection="1">
      <alignment horizontal="center" vertical="center"/>
    </xf>
    <xf numFmtId="0" fontId="22" fillId="7" borderId="28" xfId="0" applyFont="1" applyFill="1" applyBorder="1" applyAlignment="1" applyProtection="1">
      <alignment horizontal="center" vertical="center" wrapText="1"/>
      <protection locked="0"/>
    </xf>
    <xf numFmtId="0" fontId="16" fillId="0" borderId="0" xfId="16" applyProtection="1">
      <protection locked="0"/>
    </xf>
    <xf numFmtId="0" fontId="17" fillId="0" borderId="0" xfId="16" applyFont="1"/>
    <xf numFmtId="0" fontId="96" fillId="0" borderId="0" xfId="16" applyFont="1" applyAlignment="1">
      <alignment horizontal="center"/>
    </xf>
    <xf numFmtId="0" fontId="26" fillId="0" borderId="0" xfId="16" applyFont="1" applyProtection="1">
      <protection locked="0"/>
    </xf>
    <xf numFmtId="0" fontId="17" fillId="0" borderId="0" xfId="16" applyFont="1" applyAlignment="1">
      <alignment vertical="center"/>
    </xf>
    <xf numFmtId="3" fontId="26" fillId="0" borderId="57" xfId="16" applyNumberFormat="1" applyFont="1" applyBorder="1" applyProtection="1">
      <protection locked="0"/>
    </xf>
    <xf numFmtId="3" fontId="26" fillId="0" borderId="3" xfId="16" applyNumberFormat="1" applyFont="1" applyBorder="1" applyProtection="1">
      <protection locked="0"/>
    </xf>
    <xf numFmtId="0" fontId="26" fillId="0" borderId="3" xfId="16" applyFont="1" applyBorder="1" applyProtection="1">
      <protection locked="0"/>
    </xf>
    <xf numFmtId="0" fontId="21" fillId="0" borderId="0" xfId="16" applyFont="1" applyAlignment="1" applyProtection="1">
      <alignment horizontal="center" vertical="center"/>
      <protection locked="0"/>
    </xf>
    <xf numFmtId="0" fontId="21" fillId="0" borderId="3" xfId="16" applyFont="1" applyBorder="1" applyAlignment="1" applyProtection="1">
      <alignment horizontal="center" vertical="center"/>
      <protection locked="0"/>
    </xf>
    <xf numFmtId="0" fontId="26" fillId="0" borderId="1" xfId="16" applyFont="1" applyBorder="1" applyProtection="1">
      <protection locked="0"/>
    </xf>
    <xf numFmtId="0" fontId="21" fillId="0" borderId="1" xfId="16" applyFont="1" applyBorder="1" applyAlignment="1" applyProtection="1">
      <alignment horizontal="center" vertical="center"/>
      <protection locked="0"/>
    </xf>
    <xf numFmtId="9" fontId="26" fillId="43" borderId="0" xfId="16" applyNumberFormat="1" applyFont="1" applyFill="1" applyAlignment="1" applyProtection="1">
      <alignment horizontal="center" vertical="center"/>
      <protection locked="0"/>
    </xf>
    <xf numFmtId="0" fontId="16" fillId="37" borderId="39" xfId="16" applyFill="1" applyBorder="1" applyProtection="1">
      <protection locked="0"/>
    </xf>
    <xf numFmtId="0" fontId="16" fillId="37" borderId="42" xfId="16" applyFill="1" applyBorder="1" applyProtection="1">
      <protection locked="0"/>
    </xf>
    <xf numFmtId="3" fontId="16" fillId="0" borderId="0" xfId="16" applyNumberFormat="1" applyProtection="1">
      <protection locked="0"/>
    </xf>
    <xf numFmtId="0" fontId="21" fillId="0" borderId="0" xfId="16" applyFont="1" applyProtection="1">
      <protection locked="0"/>
    </xf>
    <xf numFmtId="0" fontId="16" fillId="19" borderId="0" xfId="16" applyFill="1" applyProtection="1">
      <protection locked="0"/>
    </xf>
    <xf numFmtId="0" fontId="22" fillId="0" borderId="0" xfId="16" applyFont="1"/>
    <xf numFmtId="0" fontId="50" fillId="0" borderId="0" xfId="16" applyFont="1"/>
    <xf numFmtId="0" fontId="101" fillId="0" borderId="0" xfId="16" applyFont="1" applyAlignment="1">
      <alignment horizontal="center"/>
    </xf>
    <xf numFmtId="0" fontId="83" fillId="0" borderId="0" xfId="16" applyFont="1" applyAlignment="1">
      <alignment horizontal="center"/>
    </xf>
    <xf numFmtId="0" fontId="26" fillId="19" borderId="0" xfId="16" applyFont="1" applyFill="1" applyProtection="1">
      <protection locked="0"/>
    </xf>
    <xf numFmtId="0" fontId="22" fillId="0" borderId="0" xfId="16" applyFont="1" applyAlignment="1">
      <alignment vertical="center"/>
    </xf>
    <xf numFmtId="0" fontId="50" fillId="0" borderId="0" xfId="16" applyFont="1" applyAlignment="1">
      <alignment vertical="center"/>
    </xf>
    <xf numFmtId="0" fontId="26" fillId="19" borderId="1" xfId="16" applyFont="1" applyFill="1" applyBorder="1" applyAlignment="1" applyProtection="1">
      <alignment horizontal="center" vertical="center"/>
      <protection locked="0"/>
    </xf>
    <xf numFmtId="0" fontId="22" fillId="0" borderId="0" xfId="16" applyFont="1" applyAlignment="1">
      <alignment wrapText="1"/>
    </xf>
    <xf numFmtId="169" fontId="16" fillId="19" borderId="0" xfId="16" applyNumberFormat="1" applyFill="1" applyProtection="1">
      <protection locked="0"/>
    </xf>
    <xf numFmtId="0" fontId="16" fillId="45" borderId="1" xfId="16" applyFill="1" applyBorder="1" applyAlignment="1" applyProtection="1">
      <alignment horizontal="center" vertical="center"/>
      <protection locked="0"/>
    </xf>
    <xf numFmtId="169" fontId="16" fillId="0" borderId="0" xfId="16" applyNumberFormat="1" applyProtection="1">
      <protection locked="0"/>
    </xf>
    <xf numFmtId="0" fontId="22" fillId="19" borderId="0" xfId="16" applyFont="1" applyFill="1" applyAlignment="1">
      <alignment vertical="center"/>
    </xf>
    <xf numFmtId="0" fontId="50" fillId="19" borderId="0" xfId="16" applyFont="1" applyFill="1"/>
    <xf numFmtId="0" fontId="22" fillId="19" borderId="0" xfId="16" applyFont="1" applyFill="1"/>
    <xf numFmtId="169" fontId="26" fillId="36" borderId="1" xfId="16" applyNumberFormat="1" applyFont="1" applyFill="1" applyBorder="1" applyAlignment="1" applyProtection="1">
      <alignment horizontal="center" vertical="center" wrapText="1"/>
      <protection locked="0"/>
    </xf>
    <xf numFmtId="2" fontId="16" fillId="19" borderId="0" xfId="16" applyNumberFormat="1" applyFill="1" applyProtection="1">
      <protection locked="0"/>
    </xf>
    <xf numFmtId="14" fontId="16" fillId="19" borderId="0" xfId="16" applyNumberFormat="1" applyFill="1" applyProtection="1">
      <protection locked="0"/>
    </xf>
    <xf numFmtId="0" fontId="50" fillId="19" borderId="0" xfId="16" applyFont="1" applyFill="1" applyAlignment="1">
      <alignment vertical="center"/>
    </xf>
    <xf numFmtId="0" fontId="16" fillId="0" borderId="0" xfId="16" applyAlignment="1" applyProtection="1">
      <alignment wrapText="1"/>
      <protection locked="0"/>
    </xf>
    <xf numFmtId="0" fontId="26" fillId="3" borderId="1" xfId="16" applyFont="1" applyFill="1" applyBorder="1" applyAlignment="1" applyProtection="1">
      <alignment vertical="center" wrapText="1"/>
      <protection locked="0"/>
    </xf>
    <xf numFmtId="0" fontId="50" fillId="0" borderId="0" xfId="16" applyFont="1" applyAlignment="1">
      <alignment vertical="center" wrapText="1"/>
    </xf>
    <xf numFmtId="0" fontId="22" fillId="0" borderId="0" xfId="16" applyFont="1" applyAlignment="1">
      <alignment vertical="center" wrapText="1"/>
    </xf>
    <xf numFmtId="179" fontId="22" fillId="4" borderId="1" xfId="1" applyNumberFormat="1" applyFont="1" applyFill="1" applyBorder="1" applyAlignment="1" applyProtection="1">
      <alignment horizontal="center" vertical="center" wrapText="1"/>
    </xf>
    <xf numFmtId="165" fontId="26" fillId="3" borderId="4" xfId="1" applyNumberFormat="1" applyFont="1" applyFill="1" applyBorder="1" applyAlignment="1" applyProtection="1">
      <alignment horizontal="center" vertical="center"/>
      <protection locked="0"/>
    </xf>
    <xf numFmtId="0" fontId="22" fillId="7" borderId="25" xfId="0" applyFont="1" applyFill="1" applyBorder="1" applyAlignment="1">
      <alignment vertical="center" wrapText="1"/>
    </xf>
    <xf numFmtId="0" fontId="22" fillId="7" borderId="27" xfId="0" applyFont="1" applyFill="1" applyBorder="1" applyAlignment="1">
      <alignment horizontal="center" vertical="center" wrapText="1"/>
    </xf>
    <xf numFmtId="0" fontId="22" fillId="7" borderId="22" xfId="0" applyFont="1" applyFill="1" applyBorder="1" applyAlignment="1">
      <alignment horizontal="center" vertical="center" wrapText="1"/>
    </xf>
    <xf numFmtId="0" fontId="26" fillId="9" borderId="5" xfId="0" applyFont="1" applyFill="1" applyBorder="1" applyAlignment="1">
      <alignment vertical="center" wrapText="1"/>
    </xf>
    <xf numFmtId="165" fontId="26" fillId="3" borderId="1" xfId="1" applyNumberFormat="1" applyFont="1" applyFill="1" applyBorder="1" applyAlignment="1" applyProtection="1">
      <alignment horizontal="center" vertical="center" wrapText="1"/>
      <protection locked="0"/>
    </xf>
    <xf numFmtId="37" fontId="26" fillId="7" borderId="9" xfId="0" applyNumberFormat="1" applyFont="1" applyFill="1" applyBorder="1" applyAlignment="1" applyProtection="1">
      <alignment horizontal="right" vertical="center" wrapText="1"/>
      <protection locked="0"/>
    </xf>
    <xf numFmtId="0" fontId="26" fillId="9" borderId="25" xfId="0" applyFont="1" applyFill="1" applyBorder="1" applyAlignment="1">
      <alignment vertical="center" wrapText="1"/>
    </xf>
    <xf numFmtId="0" fontId="26" fillId="7" borderId="21" xfId="0" applyFont="1" applyFill="1" applyBorder="1" applyAlignment="1" applyProtection="1">
      <alignment vertical="center" wrapText="1"/>
      <protection locked="0"/>
    </xf>
    <xf numFmtId="165" fontId="26" fillId="3" borderId="93" xfId="1" applyNumberFormat="1" applyFont="1" applyFill="1" applyBorder="1" applyAlignment="1" applyProtection="1">
      <alignment vertical="center" wrapText="1"/>
      <protection locked="0"/>
    </xf>
    <xf numFmtId="165" fontId="26" fillId="3" borderId="46" xfId="1" quotePrefix="1" applyNumberFormat="1" applyFont="1" applyFill="1" applyBorder="1" applyAlignment="1" applyProtection="1">
      <alignment vertical="center" wrapText="1"/>
      <protection locked="0"/>
    </xf>
    <xf numFmtId="0" fontId="26" fillId="7" borderId="5" xfId="0" applyFont="1" applyFill="1" applyBorder="1" applyAlignment="1">
      <alignment vertical="center"/>
    </xf>
    <xf numFmtId="0" fontId="26" fillId="7" borderId="1" xfId="0" applyFont="1" applyFill="1" applyBorder="1" applyAlignment="1">
      <alignment vertical="center"/>
    </xf>
    <xf numFmtId="0" fontId="26" fillId="7" borderId="26" xfId="0" applyFont="1" applyFill="1" applyBorder="1" applyAlignment="1">
      <alignment vertical="center"/>
    </xf>
    <xf numFmtId="0" fontId="26" fillId="9" borderId="5" xfId="0" applyFont="1" applyFill="1" applyBorder="1" applyAlignment="1">
      <alignment vertical="center"/>
    </xf>
    <xf numFmtId="0" fontId="26" fillId="9" borderId="1" xfId="0" applyFont="1" applyFill="1" applyBorder="1" applyAlignment="1">
      <alignment vertical="center"/>
    </xf>
    <xf numFmtId="0" fontId="26" fillId="9" borderId="1" xfId="2" applyFont="1" applyFill="1" applyBorder="1" applyAlignment="1" applyProtection="1">
      <alignment vertical="center"/>
      <protection locked="0"/>
    </xf>
    <xf numFmtId="0" fontId="26" fillId="3" borderId="1" xfId="0" applyFont="1" applyFill="1" applyBorder="1" applyAlignment="1" applyProtection="1">
      <alignment horizontal="center" vertical="center" wrapText="1"/>
      <protection locked="0"/>
    </xf>
    <xf numFmtId="9" fontId="26" fillId="3" borderId="1" xfId="4" applyFont="1" applyFill="1" applyBorder="1" applyAlignment="1" applyProtection="1">
      <alignment horizontal="center" vertical="center"/>
      <protection locked="0"/>
    </xf>
    <xf numFmtId="0" fontId="26" fillId="3" borderId="1" xfId="0" applyFont="1" applyFill="1" applyBorder="1" applyAlignment="1" applyProtection="1">
      <alignment horizontal="left" vertical="center" wrapText="1"/>
      <protection locked="0"/>
    </xf>
    <xf numFmtId="0" fontId="26" fillId="3" borderId="1" xfId="0" applyFont="1" applyFill="1" applyBorder="1" applyAlignment="1" applyProtection="1">
      <alignment vertical="center"/>
      <protection locked="0"/>
    </xf>
    <xf numFmtId="0" fontId="28" fillId="5" borderId="55" xfId="0" applyFont="1" applyFill="1" applyBorder="1" applyAlignment="1">
      <alignment vertical="center"/>
    </xf>
    <xf numFmtId="0" fontId="28" fillId="5" borderId="45" xfId="0" applyFont="1" applyFill="1" applyBorder="1" applyAlignment="1">
      <alignment vertical="center"/>
    </xf>
    <xf numFmtId="0" fontId="22" fillId="7" borderId="12" xfId="0" applyFont="1" applyFill="1" applyBorder="1" applyAlignment="1">
      <alignment horizontal="left" vertical="center" wrapText="1"/>
    </xf>
    <xf numFmtId="0" fontId="22" fillId="7" borderId="14" xfId="0" applyFont="1" applyFill="1" applyBorder="1" applyAlignment="1">
      <alignment horizontal="center" vertical="center" wrapText="1"/>
    </xf>
    <xf numFmtId="0" fontId="27" fillId="0" borderId="0" xfId="0" applyFont="1" applyAlignment="1" applyProtection="1">
      <alignment horizontal="center" vertical="center"/>
      <protection locked="0"/>
    </xf>
    <xf numFmtId="165" fontId="26" fillId="3" borderId="3" xfId="1" applyNumberFormat="1" applyFont="1" applyFill="1" applyBorder="1" applyAlignment="1" applyProtection="1">
      <alignment vertical="center"/>
      <protection locked="0"/>
    </xf>
    <xf numFmtId="9" fontId="26" fillId="3" borderId="3" xfId="4" applyFont="1" applyFill="1" applyBorder="1" applyAlignment="1" applyProtection="1">
      <alignment vertical="center"/>
      <protection locked="0"/>
    </xf>
    <xf numFmtId="165" fontId="26" fillId="4" borderId="11" xfId="1" applyNumberFormat="1" applyFont="1" applyFill="1" applyBorder="1" applyAlignment="1" applyProtection="1">
      <alignment horizontal="center" vertical="center"/>
    </xf>
    <xf numFmtId="164" fontId="26" fillId="0" borderId="0" xfId="1" applyFont="1" applyFill="1" applyBorder="1" applyAlignment="1" applyProtection="1">
      <alignment vertical="center"/>
    </xf>
    <xf numFmtId="0" fontId="26" fillId="0" borderId="0" xfId="0" applyFont="1" applyAlignment="1" applyProtection="1">
      <alignment horizontal="center" vertical="center"/>
      <protection locked="0"/>
    </xf>
    <xf numFmtId="165" fontId="26" fillId="4" borderId="6" xfId="1" applyNumberFormat="1" applyFont="1" applyFill="1" applyBorder="1" applyAlignment="1" applyProtection="1">
      <alignment horizontal="center" vertical="center"/>
    </xf>
    <xf numFmtId="0" fontId="28" fillId="0" borderId="0" xfId="0" applyFont="1" applyAlignment="1" applyProtection="1">
      <alignment horizontal="left" vertical="center"/>
      <protection locked="0"/>
    </xf>
    <xf numFmtId="164" fontId="26" fillId="0" borderId="0" xfId="1" applyFont="1" applyFill="1" applyBorder="1" applyAlignment="1" applyProtection="1">
      <alignment horizontal="left" vertical="center"/>
    </xf>
    <xf numFmtId="165" fontId="22" fillId="4" borderId="9" xfId="1" applyNumberFormat="1" applyFont="1" applyFill="1" applyBorder="1" applyAlignment="1" applyProtection="1">
      <alignment horizontal="center" vertical="center"/>
    </xf>
    <xf numFmtId="0" fontId="22" fillId="11" borderId="25" xfId="0" applyFont="1" applyFill="1" applyBorder="1" applyAlignment="1">
      <alignment horizontal="left" vertical="center" wrapText="1"/>
    </xf>
    <xf numFmtId="0" fontId="26" fillId="7" borderId="27" xfId="0" applyFont="1" applyFill="1" applyBorder="1" applyAlignment="1">
      <alignment horizontal="center" vertical="center" wrapText="1"/>
    </xf>
    <xf numFmtId="0" fontId="22" fillId="7" borderId="5" xfId="0" applyFont="1" applyFill="1" applyBorder="1" applyAlignment="1">
      <alignment horizontal="left" vertical="center" wrapText="1"/>
    </xf>
    <xf numFmtId="0" fontId="26" fillId="11" borderId="1" xfId="0" applyFont="1" applyFill="1" applyBorder="1" applyAlignment="1">
      <alignment vertical="center"/>
    </xf>
    <xf numFmtId="0" fontId="26" fillId="7" borderId="1" xfId="0" applyFont="1" applyFill="1" applyBorder="1" applyAlignment="1">
      <alignment horizontal="center" vertical="center" wrapText="1"/>
    </xf>
    <xf numFmtId="0" fontId="26" fillId="7" borderId="5" xfId="0" applyFont="1" applyFill="1" applyBorder="1" applyAlignment="1">
      <alignment horizontal="left" vertical="center" wrapText="1"/>
    </xf>
    <xf numFmtId="169" fontId="26" fillId="10" borderId="1" xfId="0" applyNumberFormat="1" applyFont="1" applyFill="1" applyBorder="1" applyAlignment="1" applyProtection="1">
      <alignment horizontal="left" vertical="center" wrapText="1"/>
      <protection locked="0"/>
    </xf>
    <xf numFmtId="164" fontId="26" fillId="0" borderId="0" xfId="1" quotePrefix="1" applyFont="1" applyFill="1" applyBorder="1" applyAlignment="1" applyProtection="1">
      <alignment horizontal="left" vertical="center"/>
    </xf>
    <xf numFmtId="0" fontId="26" fillId="0" borderId="0" xfId="0" applyFont="1" applyAlignment="1" applyProtection="1">
      <alignment horizontal="left" vertical="center"/>
      <protection locked="0"/>
    </xf>
    <xf numFmtId="169" fontId="26" fillId="10" borderId="6" xfId="0" applyNumberFormat="1" applyFont="1" applyFill="1" applyBorder="1" applyAlignment="1" applyProtection="1">
      <alignment horizontal="left" vertical="center" wrapText="1"/>
      <protection locked="0"/>
    </xf>
    <xf numFmtId="0" fontId="26" fillId="11" borderId="1" xfId="0" applyFont="1" applyFill="1" applyBorder="1" applyAlignment="1">
      <alignment vertical="center" wrapText="1"/>
    </xf>
    <xf numFmtId="0" fontId="26" fillId="7" borderId="8" xfId="0" applyFont="1" applyFill="1" applyBorder="1" applyAlignment="1">
      <alignment horizontal="left" vertical="center" wrapText="1"/>
    </xf>
    <xf numFmtId="10" fontId="26" fillId="10" borderId="9" xfId="4" applyNumberFormat="1" applyFont="1" applyFill="1" applyBorder="1" applyAlignment="1" applyProtection="1">
      <alignment horizontal="right" vertical="center" wrapText="1"/>
      <protection locked="0"/>
    </xf>
    <xf numFmtId="0" fontId="34" fillId="0" borderId="0" xfId="0" applyFont="1" applyAlignment="1" applyProtection="1">
      <alignment horizontal="left" vertical="center"/>
      <protection locked="0"/>
    </xf>
    <xf numFmtId="0" fontId="26" fillId="4" borderId="25" xfId="0" applyFont="1" applyFill="1" applyBorder="1" applyAlignment="1">
      <alignment vertical="center"/>
    </xf>
    <xf numFmtId="49" fontId="26" fillId="3" borderId="27" xfId="0" applyNumberFormat="1" applyFont="1" applyFill="1" applyBorder="1" applyAlignment="1" applyProtection="1">
      <alignment horizontal="center" vertical="center" wrapText="1"/>
      <protection locked="0"/>
    </xf>
    <xf numFmtId="0" fontId="26" fillId="4" borderId="27" xfId="0" applyFont="1" applyFill="1" applyBorder="1" applyAlignment="1">
      <alignment vertical="center"/>
    </xf>
    <xf numFmtId="0" fontId="26" fillId="4" borderId="26" xfId="0" applyFont="1" applyFill="1" applyBorder="1" applyAlignment="1">
      <alignment vertical="center"/>
    </xf>
    <xf numFmtId="0" fontId="26" fillId="4" borderId="4" xfId="0" applyFont="1" applyFill="1" applyBorder="1" applyAlignment="1">
      <alignment vertical="center"/>
    </xf>
    <xf numFmtId="165" fontId="26" fillId="3" borderId="4" xfId="1" applyNumberFormat="1" applyFont="1" applyFill="1" applyBorder="1" applyAlignment="1" applyProtection="1">
      <alignment vertical="center"/>
      <protection locked="0"/>
    </xf>
    <xf numFmtId="0" fontId="26" fillId="4" borderId="7" xfId="0" applyFont="1" applyFill="1" applyBorder="1" applyAlignment="1">
      <alignment vertical="center"/>
    </xf>
    <xf numFmtId="165" fontId="26" fillId="3" borderId="8" xfId="1" applyNumberFormat="1" applyFont="1" applyFill="1" applyBorder="1" applyAlignment="1" applyProtection="1">
      <alignment horizontal="center" vertical="center"/>
      <protection locked="0"/>
    </xf>
    <xf numFmtId="0" fontId="26" fillId="4" borderId="8" xfId="0" applyFont="1" applyFill="1" applyBorder="1" applyAlignment="1">
      <alignment vertical="center"/>
    </xf>
    <xf numFmtId="165" fontId="26" fillId="3" borderId="8" xfId="1" applyNumberFormat="1" applyFont="1" applyFill="1" applyBorder="1" applyAlignment="1" applyProtection="1">
      <alignment vertical="center"/>
      <protection locked="0"/>
    </xf>
    <xf numFmtId="0" fontId="26" fillId="4" borderId="10" xfId="0" applyFont="1" applyFill="1" applyBorder="1" applyAlignment="1">
      <alignment vertical="center"/>
    </xf>
    <xf numFmtId="0" fontId="26" fillId="4" borderId="3" xfId="0" applyFont="1" applyFill="1" applyBorder="1" applyAlignment="1">
      <alignment vertical="center"/>
    </xf>
    <xf numFmtId="0" fontId="26" fillId="9" borderId="25" xfId="0" applyFont="1" applyFill="1" applyBorder="1" applyAlignment="1">
      <alignment horizontal="left" vertical="center" wrapText="1"/>
    </xf>
    <xf numFmtId="0" fontId="26" fillId="9" borderId="27" xfId="0" applyFont="1" applyFill="1" applyBorder="1" applyAlignment="1">
      <alignment horizontal="left" vertical="center" wrapText="1"/>
    </xf>
    <xf numFmtId="0" fontId="26" fillId="9" borderId="5" xfId="0" applyFont="1" applyFill="1" applyBorder="1" applyAlignment="1">
      <alignment horizontal="left" vertical="center" wrapText="1"/>
    </xf>
    <xf numFmtId="0" fontId="26" fillId="9" borderId="1" xfId="0" applyFont="1" applyFill="1" applyBorder="1" applyAlignment="1">
      <alignment horizontal="left" vertical="center" wrapText="1"/>
    </xf>
    <xf numFmtId="0" fontId="26" fillId="9" borderId="7" xfId="0" applyFont="1" applyFill="1" applyBorder="1" applyAlignment="1">
      <alignment horizontal="left" vertical="center" wrapText="1"/>
    </xf>
    <xf numFmtId="0" fontId="26" fillId="9" borderId="8" xfId="0" applyFont="1" applyFill="1" applyBorder="1" applyAlignment="1">
      <alignment horizontal="left" vertical="center" wrapText="1"/>
    </xf>
    <xf numFmtId="0" fontId="26" fillId="3" borderId="53" xfId="0" applyFont="1" applyFill="1" applyBorder="1" applyAlignment="1" applyProtection="1">
      <alignment horizontal="left" vertical="center"/>
      <protection locked="0"/>
    </xf>
    <xf numFmtId="0" fontId="26" fillId="3" borderId="40" xfId="0" applyFont="1" applyFill="1" applyBorder="1" applyAlignment="1" applyProtection="1">
      <alignment vertical="center"/>
      <protection locked="0"/>
    </xf>
    <xf numFmtId="3" fontId="16" fillId="3" borderId="3" xfId="1" applyNumberFormat="1" applyFont="1" applyFill="1" applyBorder="1" applyAlignment="1" applyProtection="1">
      <alignment horizontal="center" vertical="center"/>
      <protection locked="0"/>
    </xf>
    <xf numFmtId="9" fontId="16" fillId="0" borderId="3" xfId="1" applyNumberFormat="1" applyFont="1" applyFill="1" applyBorder="1" applyAlignment="1" applyProtection="1">
      <alignment horizontal="center" vertical="center"/>
    </xf>
    <xf numFmtId="0" fontId="16" fillId="19" borderId="0" xfId="0" applyFont="1" applyFill="1" applyAlignment="1" applyProtection="1">
      <alignment vertical="center"/>
    </xf>
    <xf numFmtId="0" fontId="44" fillId="11" borderId="1" xfId="92" applyFont="1" applyFill="1" applyBorder="1" applyAlignment="1">
      <alignment horizontal="center" vertical="center" wrapText="1"/>
    </xf>
    <xf numFmtId="0" fontId="44" fillId="11" borderId="5" xfId="92" applyFont="1" applyFill="1" applyBorder="1" applyAlignment="1">
      <alignment horizontal="center" vertical="center" wrapText="1"/>
    </xf>
    <xf numFmtId="0" fontId="44" fillId="11" borderId="6" xfId="92" applyFont="1" applyFill="1" applyBorder="1" applyAlignment="1">
      <alignment horizontal="center" vertical="center" wrapText="1"/>
    </xf>
    <xf numFmtId="0" fontId="43" fillId="19" borderId="0" xfId="35" applyFont="1" applyFill="1"/>
    <xf numFmtId="0" fontId="46" fillId="19" borderId="0" xfId="35" applyFont="1" applyFill="1"/>
    <xf numFmtId="0" fontId="44" fillId="11" borderId="3" xfId="35" applyFont="1" applyFill="1" applyBorder="1" applyAlignment="1">
      <alignment horizontal="right" vertical="center"/>
    </xf>
    <xf numFmtId="0" fontId="46" fillId="0" borderId="0" xfId="35" applyFont="1"/>
    <xf numFmtId="0" fontId="43" fillId="0" borderId="0" xfId="35" applyFont="1"/>
    <xf numFmtId="0" fontId="43" fillId="19" borderId="5" xfId="35" applyFont="1" applyFill="1" applyBorder="1"/>
    <xf numFmtId="0" fontId="44" fillId="11" borderId="1" xfId="35" applyFont="1" applyFill="1" applyBorder="1" applyAlignment="1">
      <alignment horizontal="left" vertical="center"/>
    </xf>
    <xf numFmtId="0" fontId="44" fillId="11" borderId="1" xfId="35" applyFont="1" applyFill="1" applyBorder="1" applyAlignment="1">
      <alignment horizontal="right" vertical="center"/>
    </xf>
    <xf numFmtId="0" fontId="43" fillId="19" borderId="51" xfId="35" applyFont="1" applyFill="1" applyBorder="1"/>
    <xf numFmtId="0" fontId="25" fillId="28" borderId="1" xfId="35" applyFont="1" applyFill="1" applyBorder="1" applyAlignment="1">
      <alignment horizontal="left" vertical="center"/>
    </xf>
    <xf numFmtId="0" fontId="44" fillId="11" borderId="1" xfId="35" applyFont="1" applyFill="1" applyBorder="1" applyAlignment="1">
      <alignment vertical="center"/>
    </xf>
    <xf numFmtId="0" fontId="43" fillId="19" borderId="0" xfId="35" applyFont="1" applyFill="1" applyAlignment="1">
      <alignment wrapText="1"/>
    </xf>
    <xf numFmtId="0" fontId="44" fillId="11" borderId="1" xfId="35" applyFont="1" applyFill="1" applyBorder="1" applyAlignment="1">
      <alignment vertical="center" wrapText="1"/>
    </xf>
    <xf numFmtId="0" fontId="16" fillId="0" borderId="1" xfId="0" applyFont="1" applyBorder="1"/>
    <xf numFmtId="0" fontId="0" fillId="0" borderId="9" xfId="0" applyBorder="1"/>
    <xf numFmtId="0" fontId="34" fillId="0" borderId="0" xfId="0" applyFont="1" applyAlignment="1" applyProtection="1">
      <alignment vertical="center"/>
      <protection locked="0"/>
    </xf>
    <xf numFmtId="0" fontId="21" fillId="0" borderId="0" xfId="0" applyFont="1" applyAlignment="1" applyProtection="1">
      <alignment vertical="center"/>
      <protection locked="0"/>
    </xf>
    <xf numFmtId="165" fontId="22" fillId="43" borderId="1" xfId="1" applyNumberFormat="1" applyFont="1" applyFill="1" applyBorder="1" applyAlignment="1" applyProtection="1">
      <alignment horizontal="center" vertical="center" wrapText="1"/>
      <protection locked="0"/>
    </xf>
    <xf numFmtId="165" fontId="22" fillId="43" borderId="4" xfId="1" applyNumberFormat="1" applyFont="1" applyFill="1" applyBorder="1" applyAlignment="1" applyProtection="1">
      <alignment horizontal="center" vertical="center" wrapText="1"/>
      <protection locked="0"/>
    </xf>
    <xf numFmtId="2" fontId="26" fillId="0" borderId="1" xfId="1" applyNumberFormat="1" applyFont="1" applyFill="1" applyBorder="1" applyAlignment="1" applyProtection="1">
      <alignment horizontal="center" vertical="center"/>
    </xf>
    <xf numFmtId="0" fontId="0" fillId="0" borderId="5" xfId="0" applyBorder="1" applyAlignment="1">
      <alignment vertical="center"/>
    </xf>
    <xf numFmtId="0" fontId="0" fillId="0" borderId="6" xfId="0" applyBorder="1" applyAlignment="1">
      <alignment vertical="center"/>
    </xf>
    <xf numFmtId="0" fontId="16" fillId="0" borderId="6" xfId="0" applyFont="1" applyFill="1" applyBorder="1"/>
    <xf numFmtId="0" fontId="16" fillId="0" borderId="9" xfId="0" applyFont="1" applyFill="1" applyBorder="1"/>
    <xf numFmtId="0" fontId="8" fillId="0" borderId="0" xfId="96" applyProtection="1">
      <protection hidden="1"/>
    </xf>
    <xf numFmtId="0" fontId="27" fillId="20" borderId="1" xfId="6" applyFont="1" applyFill="1" applyBorder="1" applyAlignment="1">
      <alignment horizontal="center" vertical="center" wrapText="1"/>
    </xf>
    <xf numFmtId="0" fontId="43" fillId="0" borderId="0" xfId="96" applyFont="1" applyAlignment="1" applyProtection="1">
      <alignment horizontal="right"/>
      <protection hidden="1"/>
    </xf>
    <xf numFmtId="0" fontId="43" fillId="0" borderId="0" xfId="96" applyFont="1" applyProtection="1">
      <protection hidden="1"/>
    </xf>
    <xf numFmtId="0" fontId="43" fillId="0" borderId="0" xfId="96" applyFont="1" applyAlignment="1" applyProtection="1">
      <alignment horizontal="left"/>
      <protection hidden="1"/>
    </xf>
    <xf numFmtId="3" fontId="43" fillId="0" borderId="0" xfId="96" applyNumberFormat="1" applyFont="1" applyProtection="1">
      <protection hidden="1"/>
    </xf>
    <xf numFmtId="0" fontId="43" fillId="0" borderId="15" xfId="96" applyFont="1" applyBorder="1" applyAlignment="1" applyProtection="1">
      <alignment horizontal="right"/>
      <protection hidden="1"/>
    </xf>
    <xf numFmtId="0" fontId="44" fillId="0" borderId="0" xfId="96" applyFont="1" applyProtection="1">
      <protection hidden="1"/>
    </xf>
    <xf numFmtId="0" fontId="43" fillId="0" borderId="16" xfId="96" applyFont="1" applyBorder="1" applyProtection="1">
      <protection hidden="1"/>
    </xf>
    <xf numFmtId="0" fontId="110" fillId="27" borderId="1" xfId="96" applyFont="1" applyFill="1" applyBorder="1" applyProtection="1">
      <protection locked="0"/>
    </xf>
    <xf numFmtId="0" fontId="110" fillId="0" borderId="0" xfId="96" applyFont="1" applyProtection="1">
      <protection hidden="1"/>
    </xf>
    <xf numFmtId="0" fontId="43" fillId="26" borderId="15" xfId="96" applyFont="1" applyFill="1" applyBorder="1" applyAlignment="1" applyProtection="1">
      <alignment horizontal="right"/>
      <protection hidden="1"/>
    </xf>
    <xf numFmtId="0" fontId="43" fillId="0" borderId="1" xfId="96" applyFont="1" applyBorder="1" applyProtection="1">
      <protection hidden="1"/>
    </xf>
    <xf numFmtId="0" fontId="43" fillId="27" borderId="1" xfId="96" applyFont="1" applyFill="1" applyBorder="1" applyAlignment="1" applyProtection="1">
      <alignment horizontal="left"/>
      <protection locked="0"/>
    </xf>
    <xf numFmtId="0" fontId="43" fillId="26" borderId="1" xfId="96" applyFont="1" applyFill="1" applyBorder="1" applyAlignment="1" applyProtection="1">
      <alignment horizontal="left"/>
      <protection hidden="1"/>
    </xf>
    <xf numFmtId="0" fontId="111" fillId="0" borderId="0" xfId="96" applyFont="1" applyProtection="1">
      <protection hidden="1"/>
    </xf>
    <xf numFmtId="0" fontId="99" fillId="0" borderId="0" xfId="96" applyFont="1" applyProtection="1">
      <protection hidden="1"/>
    </xf>
    <xf numFmtId="0" fontId="111" fillId="0" borderId="0" xfId="96" applyFont="1" applyAlignment="1" applyProtection="1">
      <alignment horizontal="left"/>
      <protection hidden="1"/>
    </xf>
    <xf numFmtId="3" fontId="82" fillId="27" borderId="1" xfId="96" applyNumberFormat="1" applyFont="1" applyFill="1" applyBorder="1" applyAlignment="1" applyProtection="1">
      <alignment horizontal="left"/>
      <protection locked="0"/>
    </xf>
    <xf numFmtId="0" fontId="20" fillId="0" borderId="0" xfId="96" applyFont="1" applyProtection="1">
      <protection hidden="1"/>
    </xf>
    <xf numFmtId="3" fontId="110" fillId="27" borderId="1" xfId="96" applyNumberFormat="1" applyFont="1" applyFill="1" applyBorder="1" applyAlignment="1" applyProtection="1">
      <alignment horizontal="left"/>
      <protection locked="0"/>
    </xf>
    <xf numFmtId="0" fontId="43" fillId="0" borderId="1" xfId="96" applyFont="1" applyBorder="1" applyAlignment="1" applyProtection="1">
      <alignment wrapText="1"/>
      <protection hidden="1"/>
    </xf>
    <xf numFmtId="0" fontId="44" fillId="0" borderId="1" xfId="96" applyFont="1" applyBorder="1" applyProtection="1">
      <protection hidden="1"/>
    </xf>
    <xf numFmtId="3" fontId="111" fillId="0" borderId="1" xfId="96" applyNumberFormat="1" applyFont="1" applyBorder="1" applyAlignment="1" applyProtection="1">
      <alignment horizontal="left"/>
      <protection hidden="1"/>
    </xf>
    <xf numFmtId="0" fontId="44" fillId="0" borderId="1" xfId="96" applyFont="1" applyBorder="1" applyAlignment="1" applyProtection="1">
      <alignment horizontal="left"/>
      <protection hidden="1"/>
    </xf>
    <xf numFmtId="3" fontId="43" fillId="27" borderId="1" xfId="96" applyNumberFormat="1" applyFont="1" applyFill="1" applyBorder="1" applyAlignment="1" applyProtection="1">
      <alignment horizontal="left"/>
      <protection locked="0"/>
    </xf>
    <xf numFmtId="0" fontId="43" fillId="0" borderId="1" xfId="96" applyFont="1" applyBorder="1" applyAlignment="1" applyProtection="1">
      <alignment horizontal="right"/>
      <protection hidden="1"/>
    </xf>
    <xf numFmtId="3" fontId="111" fillId="0" borderId="0" xfId="96" applyNumberFormat="1" applyFont="1" applyAlignment="1" applyProtection="1">
      <alignment horizontal="left"/>
      <protection hidden="1"/>
    </xf>
    <xf numFmtId="0" fontId="99" fillId="0" borderId="0" xfId="96" applyFont="1" applyAlignment="1" applyProtection="1">
      <alignment horizontal="left"/>
      <protection hidden="1"/>
    </xf>
    <xf numFmtId="184" fontId="43" fillId="27" borderId="1" xfId="96" applyNumberFormat="1" applyFont="1" applyFill="1" applyBorder="1" applyAlignment="1" applyProtection="1">
      <alignment horizontal="left"/>
      <protection locked="0"/>
    </xf>
    <xf numFmtId="0" fontId="43" fillId="0" borderId="1" xfId="96" applyFont="1" applyBorder="1" applyAlignment="1" applyProtection="1">
      <alignment horizontal="left" vertical="top" wrapText="1"/>
      <protection hidden="1"/>
    </xf>
    <xf numFmtId="0" fontId="43" fillId="27" borderId="1" xfId="96" applyFont="1" applyFill="1" applyBorder="1" applyAlignment="1" applyProtection="1">
      <alignment vertical="top" wrapText="1"/>
      <protection locked="0"/>
    </xf>
    <xf numFmtId="0" fontId="43" fillId="0" borderId="0" xfId="96" applyFont="1" applyAlignment="1" applyProtection="1">
      <alignment vertical="top" wrapText="1"/>
      <protection hidden="1"/>
    </xf>
    <xf numFmtId="0" fontId="44" fillId="26" borderId="2" xfId="96" applyFont="1" applyFill="1" applyBorder="1" applyAlignment="1" applyProtection="1">
      <alignment horizontal="center"/>
      <protection hidden="1"/>
    </xf>
    <xf numFmtId="0" fontId="44" fillId="26" borderId="16" xfId="96" applyFont="1" applyFill="1" applyBorder="1" applyAlignment="1" applyProtection="1">
      <alignment horizontal="center"/>
      <protection hidden="1"/>
    </xf>
    <xf numFmtId="0" fontId="43" fillId="26" borderId="1" xfId="96" applyFont="1" applyFill="1" applyBorder="1" applyAlignment="1" applyProtection="1">
      <alignment vertical="top" wrapText="1"/>
      <protection hidden="1"/>
    </xf>
    <xf numFmtId="0" fontId="43" fillId="0" borderId="18" xfId="96" applyFont="1" applyBorder="1" applyAlignment="1" applyProtection="1">
      <alignment horizontal="left"/>
      <protection hidden="1"/>
    </xf>
    <xf numFmtId="0" fontId="43" fillId="27" borderId="0" xfId="96" applyFont="1" applyFill="1" applyAlignment="1" applyProtection="1">
      <alignment horizontal="left"/>
      <protection locked="0"/>
    </xf>
    <xf numFmtId="184" fontId="43" fillId="27" borderId="0" xfId="96" applyNumberFormat="1" applyFont="1" applyFill="1" applyAlignment="1" applyProtection="1">
      <alignment horizontal="left"/>
      <protection locked="0"/>
    </xf>
    <xf numFmtId="0" fontId="112" fillId="0" borderId="0" xfId="96" applyFont="1" applyAlignment="1">
      <alignment vertical="center" wrapText="1"/>
    </xf>
    <xf numFmtId="0" fontId="17" fillId="11" borderId="27" xfId="23" applyFont="1" applyFill="1" applyBorder="1" applyAlignment="1">
      <alignment horizontal="left" vertical="center"/>
    </xf>
    <xf numFmtId="0" fontId="17" fillId="11" borderId="1" xfId="23" applyFont="1" applyFill="1" applyBorder="1" applyAlignment="1">
      <alignment horizontal="left" vertical="center"/>
    </xf>
    <xf numFmtId="0" fontId="22" fillId="7" borderId="13" xfId="0" applyFont="1" applyFill="1" applyBorder="1" applyAlignment="1">
      <alignment horizontal="center" vertical="center" wrapText="1"/>
    </xf>
    <xf numFmtId="0" fontId="27" fillId="19" borderId="0" xfId="54" applyFont="1" applyFill="1" applyAlignment="1" applyProtection="1">
      <alignment horizontal="center" vertical="center" wrapText="1"/>
      <protection locked="0"/>
    </xf>
    <xf numFmtId="0" fontId="17" fillId="11" borderId="1" xfId="23" applyFont="1" applyFill="1" applyBorder="1" applyAlignment="1">
      <alignment horizontal="left" vertical="center"/>
    </xf>
    <xf numFmtId="0" fontId="43" fillId="0" borderId="5" xfId="57" applyFont="1" applyFill="1" applyBorder="1" applyAlignment="1">
      <alignment vertical="center"/>
    </xf>
    <xf numFmtId="0" fontId="43" fillId="0" borderId="1" xfId="57" applyFont="1" applyFill="1" applyBorder="1" applyAlignment="1">
      <alignment vertical="center"/>
    </xf>
    <xf numFmtId="0" fontId="43" fillId="0" borderId="7" xfId="57" applyFont="1" applyFill="1" applyBorder="1" applyAlignment="1">
      <alignment vertical="center"/>
    </xf>
    <xf numFmtId="0" fontId="43" fillId="0" borderId="8" xfId="57" applyFont="1" applyFill="1" applyBorder="1" applyAlignment="1">
      <alignment vertical="center"/>
    </xf>
    <xf numFmtId="0" fontId="44" fillId="11" borderId="25" xfId="95" applyFont="1" applyFill="1" applyBorder="1" applyAlignment="1">
      <alignment horizontal="center" vertical="center" wrapText="1"/>
    </xf>
    <xf numFmtId="0" fontId="44" fillId="11" borderId="27" xfId="95" applyFont="1" applyFill="1" applyBorder="1" applyAlignment="1">
      <alignment horizontal="center" vertical="center" wrapText="1"/>
    </xf>
    <xf numFmtId="0" fontId="44" fillId="11" borderId="22" xfId="95" applyFont="1" applyFill="1" applyBorder="1" applyAlignment="1">
      <alignment horizontal="center" vertical="center" wrapText="1"/>
    </xf>
    <xf numFmtId="0" fontId="89" fillId="0" borderId="0" xfId="94" applyFont="1"/>
    <xf numFmtId="0" fontId="99" fillId="0" borderId="5" xfId="94" applyFont="1" applyBorder="1"/>
    <xf numFmtId="0" fontId="99" fillId="0" borderId="1" xfId="94" applyFont="1" applyBorder="1"/>
    <xf numFmtId="0" fontId="99" fillId="0" borderId="6" xfId="94" applyFont="1" applyBorder="1"/>
    <xf numFmtId="0" fontId="99" fillId="0" borderId="7" xfId="94" applyFont="1" applyBorder="1"/>
    <xf numFmtId="0" fontId="99" fillId="0" borderId="8" xfId="94" applyFont="1" applyBorder="1"/>
    <xf numFmtId="0" fontId="99" fillId="0" borderId="9" xfId="94" applyFont="1" applyBorder="1"/>
    <xf numFmtId="0" fontId="16" fillId="0" borderId="8" xfId="0" applyFont="1" applyBorder="1"/>
    <xf numFmtId="0" fontId="43" fillId="0" borderId="0" xfId="90" applyFont="1" applyAlignment="1">
      <alignment vertical="center" wrapText="1"/>
    </xf>
    <xf numFmtId="0" fontId="43" fillId="0" borderId="0" xfId="90" applyFont="1"/>
    <xf numFmtId="0" fontId="44" fillId="11" borderId="10" xfId="90" applyFont="1" applyFill="1" applyBorder="1" applyAlignment="1">
      <alignment vertical="center" wrapText="1"/>
    </xf>
    <xf numFmtId="0" fontId="43" fillId="0" borderId="11" xfId="90" applyFont="1" applyBorder="1" applyAlignment="1">
      <alignment vertical="center" wrapText="1"/>
    </xf>
    <xf numFmtId="0" fontId="44" fillId="11" borderId="5" xfId="90" applyFont="1" applyFill="1" applyBorder="1" applyAlignment="1">
      <alignment vertical="center" wrapText="1"/>
    </xf>
    <xf numFmtId="0" fontId="43" fillId="0" borderId="6" xfId="90" applyFont="1" applyBorder="1" applyAlignment="1">
      <alignment vertical="center" wrapText="1"/>
    </xf>
    <xf numFmtId="22" fontId="43" fillId="0" borderId="0" xfId="90" applyNumberFormat="1" applyFont="1"/>
    <xf numFmtId="3" fontId="43" fillId="0" borderId="0" xfId="90" applyNumberFormat="1" applyFont="1"/>
    <xf numFmtId="17" fontId="43" fillId="0" borderId="0" xfId="90" applyNumberFormat="1" applyFont="1"/>
    <xf numFmtId="15" fontId="43" fillId="0" borderId="6" xfId="90" applyNumberFormat="1" applyFont="1" applyBorder="1" applyAlignment="1">
      <alignment horizontal="left" vertical="center" wrapText="1"/>
    </xf>
    <xf numFmtId="15" fontId="43" fillId="0" borderId="6" xfId="90" applyNumberFormat="1" applyFont="1" applyBorder="1" applyAlignment="1">
      <alignment vertical="center" wrapText="1"/>
    </xf>
    <xf numFmtId="0" fontId="44" fillId="11" borderId="7" xfId="90" applyFont="1" applyFill="1" applyBorder="1" applyAlignment="1">
      <alignment vertical="center" wrapText="1"/>
    </xf>
    <xf numFmtId="22" fontId="43" fillId="0" borderId="9" xfId="90" applyNumberFormat="1" applyFont="1" applyBorder="1" applyAlignment="1">
      <alignment horizontal="left" vertical="center" wrapText="1"/>
    </xf>
    <xf numFmtId="0" fontId="44" fillId="11" borderId="10" xfId="90" applyFont="1" applyFill="1" applyBorder="1" applyAlignment="1">
      <alignment horizontal="center" vertical="center" wrapText="1"/>
    </xf>
    <xf numFmtId="0" fontId="44" fillId="11" borderId="3" xfId="90" applyFont="1" applyFill="1" applyBorder="1" applyAlignment="1">
      <alignment horizontal="center" vertical="center" wrapText="1"/>
    </xf>
    <xf numFmtId="0" fontId="44" fillId="11" borderId="3" xfId="90" applyFont="1" applyFill="1" applyBorder="1" applyAlignment="1">
      <alignment horizontal="center"/>
    </xf>
    <xf numFmtId="0" fontId="44" fillId="11" borderId="17" xfId="90" applyFont="1" applyFill="1" applyBorder="1" applyAlignment="1">
      <alignment horizontal="center"/>
    </xf>
    <xf numFmtId="0" fontId="44" fillId="11" borderId="11" xfId="90" applyFont="1" applyFill="1" applyBorder="1" applyAlignment="1">
      <alignment horizontal="center"/>
    </xf>
    <xf numFmtId="22" fontId="43" fillId="0" borderId="5" xfId="90" applyNumberFormat="1" applyFont="1" applyBorder="1" applyAlignment="1">
      <alignment vertical="center" wrapText="1"/>
    </xf>
    <xf numFmtId="3" fontId="43" fillId="0" borderId="1" xfId="90" applyNumberFormat="1" applyFont="1" applyBorder="1" applyAlignment="1">
      <alignment horizontal="center" vertical="center" wrapText="1"/>
    </xf>
    <xf numFmtId="17" fontId="43" fillId="0" borderId="1" xfId="90" applyNumberFormat="1" applyFont="1" applyBorder="1" applyAlignment="1">
      <alignment horizontal="center"/>
    </xf>
    <xf numFmtId="0" fontId="43" fillId="0" borderId="15" xfId="90" applyFont="1" applyBorder="1" applyAlignment="1">
      <alignment horizontal="center"/>
    </xf>
    <xf numFmtId="0" fontId="43" fillId="0" borderId="6" xfId="90" applyFont="1" applyBorder="1" applyAlignment="1">
      <alignment horizontal="center"/>
    </xf>
    <xf numFmtId="22" fontId="43" fillId="0" borderId="7" xfId="90" applyNumberFormat="1" applyFont="1" applyBorder="1" applyAlignment="1">
      <alignment vertical="center" wrapText="1"/>
    </xf>
    <xf numFmtId="3" fontId="43" fillId="0" borderId="8" xfId="90" applyNumberFormat="1" applyFont="1" applyBorder="1" applyAlignment="1">
      <alignment horizontal="center" vertical="center" wrapText="1"/>
    </xf>
    <xf numFmtId="17" fontId="43" fillId="0" borderId="8" xfId="90" applyNumberFormat="1" applyFont="1" applyBorder="1" applyAlignment="1">
      <alignment horizontal="center"/>
    </xf>
    <xf numFmtId="0" fontId="43" fillId="0" borderId="56" xfId="90" applyFont="1" applyBorder="1" applyAlignment="1">
      <alignment horizontal="center"/>
    </xf>
    <xf numFmtId="0" fontId="43" fillId="0" borderId="9" xfId="90" applyFont="1" applyBorder="1" applyAlignment="1">
      <alignment horizontal="center"/>
    </xf>
    <xf numFmtId="0" fontId="43" fillId="0" borderId="0" xfId="57" applyFont="1"/>
    <xf numFmtId="0" fontId="44" fillId="11" borderId="10" xfId="57" applyFont="1" applyFill="1" applyBorder="1" applyAlignment="1">
      <alignment vertical="center"/>
    </xf>
    <xf numFmtId="0" fontId="43" fillId="0" borderId="11" xfId="57" applyFont="1" applyBorder="1" applyAlignment="1">
      <alignment vertical="center"/>
    </xf>
    <xf numFmtId="0" fontId="44" fillId="11" borderId="5" xfId="57" applyFont="1" applyFill="1" applyBorder="1" applyAlignment="1">
      <alignment vertical="center"/>
    </xf>
    <xf numFmtId="0" fontId="43" fillId="0" borderId="6" xfId="57" applyFont="1" applyBorder="1" applyAlignment="1">
      <alignment vertical="center"/>
    </xf>
    <xf numFmtId="0" fontId="44" fillId="11" borderId="7" xfId="57" applyFont="1" applyFill="1" applyBorder="1" applyAlignment="1">
      <alignment vertical="center"/>
    </xf>
    <xf numFmtId="0" fontId="43" fillId="0" borderId="9" xfId="57" applyFont="1" applyBorder="1" applyAlignment="1">
      <alignment vertical="center"/>
    </xf>
    <xf numFmtId="0" fontId="43" fillId="0" borderId="3" xfId="57" applyFont="1" applyBorder="1" applyAlignment="1">
      <alignment vertical="center"/>
    </xf>
    <xf numFmtId="0" fontId="43" fillId="0" borderId="1" xfId="57" applyFont="1" applyBorder="1" applyAlignment="1">
      <alignment vertical="center"/>
    </xf>
    <xf numFmtId="0" fontId="50" fillId="44" borderId="12" xfId="0" applyFont="1" applyFill="1" applyBorder="1" applyAlignment="1">
      <alignment horizontal="center"/>
    </xf>
    <xf numFmtId="0" fontId="16" fillId="11" borderId="10" xfId="0" applyFont="1" applyFill="1" applyBorder="1" applyAlignment="1">
      <alignment vertical="center"/>
    </xf>
    <xf numFmtId="0" fontId="16" fillId="11" borderId="5" xfId="0" applyFont="1" applyFill="1" applyBorder="1" applyAlignment="1">
      <alignment vertical="center"/>
    </xf>
    <xf numFmtId="0" fontId="16" fillId="11" borderId="5" xfId="0" applyFont="1" applyFill="1" applyBorder="1" applyAlignment="1">
      <alignment horizontal="left" vertical="center"/>
    </xf>
    <xf numFmtId="0" fontId="16" fillId="11" borderId="7" xfId="0" applyFont="1" applyFill="1" applyBorder="1" applyAlignment="1">
      <alignment vertical="center"/>
    </xf>
    <xf numFmtId="0" fontId="0" fillId="0" borderId="15" xfId="0" applyBorder="1"/>
    <xf numFmtId="3" fontId="22" fillId="19" borderId="6" xfId="1" applyNumberFormat="1" applyFont="1" applyFill="1" applyBorder="1" applyAlignment="1" applyProtection="1">
      <alignment horizontal="center" vertical="center"/>
    </xf>
    <xf numFmtId="3" fontId="26" fillId="3" borderId="6" xfId="1" applyNumberFormat="1" applyFont="1" applyFill="1" applyBorder="1" applyAlignment="1" applyProtection="1">
      <alignment horizontal="center" vertical="center"/>
      <protection locked="0"/>
    </xf>
    <xf numFmtId="10" fontId="26" fillId="0" borderId="8" xfId="4" applyNumberFormat="1" applyFont="1" applyFill="1" applyBorder="1" applyAlignment="1" applyProtection="1">
      <alignment horizontal="center" vertical="center"/>
    </xf>
    <xf numFmtId="0" fontId="54" fillId="7" borderId="6" xfId="54" applyFont="1" applyFill="1" applyBorder="1" applyAlignment="1" applyProtection="1">
      <alignment horizontal="center" vertical="center"/>
      <protection locked="0"/>
    </xf>
    <xf numFmtId="0" fontId="112" fillId="0" borderId="6" xfId="96" applyFont="1" applyBorder="1" applyAlignment="1">
      <alignment vertical="top" wrapText="1"/>
    </xf>
    <xf numFmtId="0" fontId="16" fillId="0" borderId="6" xfId="5" applyFont="1" applyBorder="1" applyAlignment="1" applyProtection="1">
      <alignment vertical="center"/>
      <protection locked="0"/>
    </xf>
    <xf numFmtId="0" fontId="16" fillId="0" borderId="45" xfId="5" applyFont="1" applyBorder="1" applyAlignment="1" applyProtection="1">
      <alignment vertical="center"/>
      <protection locked="0"/>
    </xf>
    <xf numFmtId="0" fontId="55" fillId="0" borderId="0" xfId="5" applyFont="1" applyBorder="1" applyAlignment="1" applyProtection="1">
      <alignment vertical="center"/>
      <protection locked="0"/>
    </xf>
    <xf numFmtId="0" fontId="55" fillId="0" borderId="45" xfId="5" applyFont="1" applyBorder="1" applyAlignment="1" applyProtection="1">
      <alignment vertical="center"/>
      <protection locked="0"/>
    </xf>
    <xf numFmtId="0" fontId="16" fillId="0" borderId="8" xfId="5" applyFont="1" applyBorder="1" applyAlignment="1" applyProtection="1">
      <alignment vertical="center"/>
      <protection locked="0"/>
    </xf>
    <xf numFmtId="0" fontId="16" fillId="0" borderId="9" xfId="5" applyFont="1" applyBorder="1" applyAlignment="1" applyProtection="1">
      <alignment vertical="center"/>
      <protection locked="0"/>
    </xf>
    <xf numFmtId="3" fontId="37" fillId="0" borderId="3" xfId="0" applyNumberFormat="1" applyFont="1" applyBorder="1" applyAlignment="1" applyProtection="1">
      <alignment horizontal="center"/>
    </xf>
    <xf numFmtId="3" fontId="37" fillId="0" borderId="1" xfId="0" applyNumberFormat="1" applyFont="1" applyBorder="1" applyAlignment="1" applyProtection="1">
      <alignment horizontal="center"/>
    </xf>
    <xf numFmtId="0" fontId="22" fillId="7" borderId="43" xfId="3" applyFont="1" applyFill="1" applyBorder="1" applyAlignment="1">
      <alignment vertical="center"/>
    </xf>
    <xf numFmtId="0" fontId="28" fillId="0" borderId="0" xfId="0" applyFont="1" applyBorder="1" applyAlignment="1" applyProtection="1">
      <alignment vertical="center"/>
      <protection locked="0"/>
    </xf>
    <xf numFmtId="0" fontId="26" fillId="3" borderId="5" xfId="0" applyFont="1" applyFill="1" applyBorder="1" applyAlignment="1" applyProtection="1">
      <alignment vertical="center"/>
      <protection locked="0"/>
    </xf>
    <xf numFmtId="0" fontId="28" fillId="5" borderId="31" xfId="0" applyFont="1" applyFill="1" applyBorder="1" applyAlignment="1">
      <alignment vertical="center"/>
    </xf>
    <xf numFmtId="0" fontId="110" fillId="19" borderId="0" xfId="0" applyFont="1" applyFill="1" applyBorder="1" applyProtection="1">
      <protection locked="0"/>
    </xf>
    <xf numFmtId="3" fontId="17" fillId="19" borderId="6" xfId="5" applyNumberFormat="1" applyFont="1" applyFill="1" applyBorder="1" applyAlignment="1" applyProtection="1">
      <alignment horizontal="center"/>
    </xf>
    <xf numFmtId="0" fontId="17" fillId="3" borderId="6" xfId="5" applyFont="1" applyFill="1" applyBorder="1" applyAlignment="1" applyProtection="1">
      <alignment horizontal="center"/>
      <protection locked="0"/>
    </xf>
    <xf numFmtId="0" fontId="22" fillId="19" borderId="6" xfId="0" applyFont="1" applyFill="1" applyBorder="1" applyAlignment="1" applyProtection="1">
      <alignment horizontal="left" vertical="center" wrapText="1"/>
    </xf>
    <xf numFmtId="165" fontId="16" fillId="3" borderId="6" xfId="1" applyNumberFormat="1" applyFont="1" applyFill="1" applyBorder="1" applyAlignment="1" applyProtection="1">
      <alignment horizontal="right"/>
      <protection locked="0"/>
    </xf>
    <xf numFmtId="0" fontId="26" fillId="0" borderId="6" xfId="0" applyFont="1" applyBorder="1" applyProtection="1">
      <protection locked="0"/>
    </xf>
    <xf numFmtId="10" fontId="17" fillId="0" borderId="6" xfId="4" applyNumberFormat="1" applyFont="1" applyFill="1" applyBorder="1" applyAlignment="1" applyProtection="1">
      <alignment horizontal="center" vertical="center"/>
      <protection locked="0"/>
    </xf>
    <xf numFmtId="0" fontId="21" fillId="0" borderId="0" xfId="16" applyFont="1" applyBorder="1" applyAlignment="1" applyProtection="1">
      <alignment horizontal="center" vertical="center"/>
      <protection locked="0"/>
    </xf>
    <xf numFmtId="0" fontId="21" fillId="0" borderId="11" xfId="16" applyFont="1" applyBorder="1" applyAlignment="1" applyProtection="1">
      <alignment horizontal="center" vertical="center"/>
      <protection locked="0"/>
    </xf>
    <xf numFmtId="0" fontId="21" fillId="0" borderId="6" xfId="16" applyFont="1" applyBorder="1" applyAlignment="1" applyProtection="1">
      <alignment horizontal="center" vertical="center"/>
      <protection locked="0"/>
    </xf>
    <xf numFmtId="3" fontId="22" fillId="0" borderId="6" xfId="1" applyNumberFormat="1" applyFont="1" applyFill="1" applyBorder="1" applyAlignment="1" applyProtection="1">
      <alignment horizontal="center" vertical="center"/>
      <protection locked="0"/>
    </xf>
    <xf numFmtId="0" fontId="16" fillId="37" borderId="38" xfId="16" applyFill="1" applyBorder="1" applyProtection="1">
      <protection locked="0"/>
    </xf>
    <xf numFmtId="0" fontId="26" fillId="0" borderId="51" xfId="16" applyFont="1" applyBorder="1" applyAlignment="1" applyProtection="1">
      <alignment horizontal="left" vertical="center"/>
      <protection locked="0"/>
    </xf>
    <xf numFmtId="0" fontId="26" fillId="0" borderId="0" xfId="16" applyFont="1" applyBorder="1" applyAlignment="1" applyProtection="1">
      <alignment horizontal="left" vertical="center"/>
      <protection locked="0"/>
    </xf>
    <xf numFmtId="0" fontId="26" fillId="3" borderId="5" xfId="16" applyFont="1" applyFill="1" applyBorder="1" applyAlignment="1" applyProtection="1">
      <alignment vertical="center"/>
      <protection locked="0"/>
    </xf>
    <xf numFmtId="37" fontId="26" fillId="36" borderId="6" xfId="1" applyNumberFormat="1" applyFont="1" applyFill="1" applyBorder="1" applyAlignment="1" applyProtection="1">
      <alignment horizontal="center" vertical="center"/>
    </xf>
    <xf numFmtId="0" fontId="21" fillId="0" borderId="51" xfId="16" applyFont="1" applyBorder="1" applyProtection="1">
      <protection locked="0"/>
    </xf>
    <xf numFmtId="0" fontId="21" fillId="0" borderId="0" xfId="16" applyFont="1" applyBorder="1" applyProtection="1">
      <protection locked="0"/>
    </xf>
    <xf numFmtId="0" fontId="21" fillId="0" borderId="45" xfId="16" applyFont="1" applyBorder="1" applyProtection="1">
      <protection locked="0"/>
    </xf>
    <xf numFmtId="0" fontId="26" fillId="3" borderId="7" xfId="16" applyFont="1" applyFill="1" applyBorder="1" applyAlignment="1" applyProtection="1">
      <alignment vertical="center"/>
      <protection locked="0"/>
    </xf>
    <xf numFmtId="0" fontId="0" fillId="0" borderId="1" xfId="0" quotePrefix="1" applyBorder="1"/>
    <xf numFmtId="2" fontId="0" fillId="0" borderId="1" xfId="0" applyNumberFormat="1" applyBorder="1"/>
    <xf numFmtId="0" fontId="0" fillId="0" borderId="1" xfId="0" applyFont="1" applyBorder="1"/>
    <xf numFmtId="0" fontId="119" fillId="5" borderId="25" xfId="0" applyFont="1" applyFill="1" applyBorder="1" applyAlignment="1">
      <alignment horizontal="left" vertical="center" wrapText="1"/>
    </xf>
    <xf numFmtId="169" fontId="119" fillId="5" borderId="27" xfId="0" applyNumberFormat="1" applyFont="1" applyFill="1" applyBorder="1" applyAlignment="1">
      <alignment vertical="center" wrapText="1"/>
    </xf>
    <xf numFmtId="0" fontId="119" fillId="5" borderId="27" xfId="0" applyFont="1" applyFill="1" applyBorder="1" applyAlignment="1">
      <alignment horizontal="left" vertical="center" wrapText="1"/>
    </xf>
    <xf numFmtId="169" fontId="119" fillId="5" borderId="22" xfId="0" applyNumberFormat="1" applyFont="1" applyFill="1" applyBorder="1" applyAlignment="1">
      <alignment vertical="center" wrapText="1"/>
    </xf>
    <xf numFmtId="0" fontId="0" fillId="0" borderId="6" xfId="0" applyFont="1" applyBorder="1"/>
    <xf numFmtId="0" fontId="0" fillId="0" borderId="7" xfId="0" applyBorder="1"/>
    <xf numFmtId="0" fontId="0" fillId="0" borderId="8" xfId="0" applyBorder="1"/>
    <xf numFmtId="0" fontId="0" fillId="0" borderId="25" xfId="0" applyBorder="1"/>
    <xf numFmtId="0" fontId="0" fillId="0" borderId="22" xfId="0" applyBorder="1"/>
    <xf numFmtId="0" fontId="0" fillId="0" borderId="5" xfId="0" applyFill="1" applyBorder="1"/>
    <xf numFmtId="0" fontId="16" fillId="3" borderId="6" xfId="0" applyFont="1" applyFill="1" applyBorder="1" applyProtection="1">
      <protection locked="0"/>
    </xf>
    <xf numFmtId="0" fontId="0" fillId="3" borderId="6" xfId="0" applyFill="1" applyBorder="1" applyProtection="1">
      <protection locked="0"/>
    </xf>
    <xf numFmtId="0" fontId="0" fillId="0" borderId="5" xfId="0" applyFill="1" applyBorder="1" applyAlignment="1"/>
    <xf numFmtId="0" fontId="0" fillId="3" borderId="6" xfId="0" applyFill="1" applyBorder="1" applyAlignment="1" applyProtection="1">
      <protection locked="0"/>
    </xf>
    <xf numFmtId="0" fontId="0" fillId="0" borderId="5" xfId="0" applyBorder="1" applyAlignment="1">
      <alignment horizontal="left" vertical="center"/>
    </xf>
    <xf numFmtId="0" fontId="0" fillId="0" borderId="6" xfId="0" applyBorder="1" applyAlignment="1">
      <alignment horizontal="left" vertical="center" wrapText="1"/>
    </xf>
    <xf numFmtId="0" fontId="0" fillId="3" borderId="6" xfId="0" applyFill="1" applyBorder="1" applyAlignment="1" applyProtection="1">
      <alignment horizontal="left" vertical="center" wrapText="1"/>
      <protection locked="0"/>
    </xf>
    <xf numFmtId="0" fontId="16" fillId="3" borderId="6" xfId="0" applyFont="1" applyFill="1" applyBorder="1" applyAlignment="1" applyProtection="1">
      <alignment horizontal="left" vertical="center" wrapText="1"/>
      <protection locked="0"/>
    </xf>
    <xf numFmtId="0" fontId="0" fillId="0" borderId="7" xfId="0" applyBorder="1" applyAlignment="1">
      <alignment horizontal="left" vertical="center"/>
    </xf>
    <xf numFmtId="0" fontId="16" fillId="3" borderId="9" xfId="0" applyFont="1" applyFill="1" applyBorder="1" applyAlignment="1" applyProtection="1">
      <alignment horizontal="left" vertical="center" wrapText="1"/>
      <protection locked="0"/>
    </xf>
    <xf numFmtId="0" fontId="0" fillId="0" borderId="12" xfId="0" applyBorder="1"/>
    <xf numFmtId="0" fontId="16" fillId="3" borderId="14" xfId="0" applyFont="1" applyFill="1" applyBorder="1" applyProtection="1">
      <protection locked="0"/>
    </xf>
    <xf numFmtId="0" fontId="16" fillId="0" borderId="25" xfId="0" applyFont="1" applyBorder="1"/>
    <xf numFmtId="0" fontId="0" fillId="0" borderId="27" xfId="0" applyBorder="1"/>
    <xf numFmtId="0" fontId="0" fillId="0" borderId="0" xfId="0" applyAlignment="1">
      <alignment vertical="center"/>
    </xf>
    <xf numFmtId="0" fontId="0" fillId="0" borderId="5" xfId="0" applyBorder="1" applyAlignment="1">
      <alignment horizontal="left" vertical="center" wrapText="1"/>
    </xf>
    <xf numFmtId="0" fontId="43" fillId="19" borderId="0" xfId="0" applyFont="1" applyFill="1" applyBorder="1" applyProtection="1">
      <protection locked="0"/>
    </xf>
    <xf numFmtId="0" fontId="43" fillId="4" borderId="5" xfId="0" applyFont="1" applyFill="1" applyBorder="1" applyProtection="1">
      <protection locked="0"/>
    </xf>
    <xf numFmtId="0" fontId="43" fillId="19" borderId="58" xfId="0" applyFont="1" applyFill="1" applyBorder="1" applyProtection="1">
      <protection locked="0"/>
    </xf>
    <xf numFmtId="0" fontId="43" fillId="19" borderId="55" xfId="0" applyFont="1" applyFill="1" applyBorder="1" applyAlignment="1" applyProtection="1">
      <alignment horizontal="center"/>
      <protection locked="0"/>
    </xf>
    <xf numFmtId="0" fontId="43" fillId="19" borderId="51" xfId="0" applyFont="1" applyFill="1" applyBorder="1" applyProtection="1">
      <protection locked="0"/>
    </xf>
    <xf numFmtId="0" fontId="43" fillId="19" borderId="45" xfId="0" applyFont="1" applyFill="1" applyBorder="1" applyProtection="1">
      <protection locked="0"/>
    </xf>
    <xf numFmtId="0" fontId="44" fillId="19" borderId="0" xfId="0" applyFont="1" applyFill="1" applyAlignment="1" applyProtection="1">
      <protection locked="0"/>
    </xf>
    <xf numFmtId="0" fontId="44" fillId="19" borderId="51" xfId="0" applyFont="1" applyFill="1" applyBorder="1" applyAlignment="1" applyProtection="1">
      <protection locked="0"/>
    </xf>
    <xf numFmtId="0" fontId="43" fillId="19" borderId="45" xfId="0" applyFont="1" applyFill="1" applyBorder="1" applyAlignment="1" applyProtection="1">
      <protection locked="0"/>
    </xf>
    <xf numFmtId="0" fontId="43" fillId="19" borderId="29" xfId="0" applyFont="1" applyFill="1" applyBorder="1" applyProtection="1">
      <protection locked="0"/>
    </xf>
    <xf numFmtId="0" fontId="43" fillId="19" borderId="31" xfId="0" applyFont="1" applyFill="1" applyBorder="1" applyProtection="1">
      <protection locked="0"/>
    </xf>
    <xf numFmtId="1" fontId="43" fillId="19" borderId="45" xfId="0" applyNumberFormat="1" applyFont="1" applyFill="1" applyBorder="1" applyProtection="1">
      <protection locked="0"/>
    </xf>
    <xf numFmtId="0" fontId="43" fillId="19" borderId="31" xfId="0" applyFont="1" applyFill="1" applyBorder="1" applyAlignment="1" applyProtection="1">
      <alignment wrapText="1"/>
      <protection locked="0"/>
    </xf>
    <xf numFmtId="165" fontId="16" fillId="19" borderId="1" xfId="1" applyNumberFormat="1" applyFont="1" applyFill="1" applyBorder="1" applyAlignment="1" applyProtection="1">
      <alignment horizontal="right"/>
      <protection locked="0"/>
    </xf>
    <xf numFmtId="165" fontId="16" fillId="4" borderId="1" xfId="1" applyNumberFormat="1" applyFont="1" applyFill="1" applyBorder="1" applyAlignment="1" applyProtection="1">
      <alignment horizontal="right"/>
    </xf>
    <xf numFmtId="10" fontId="16" fillId="0" borderId="1" xfId="1" applyNumberFormat="1" applyFont="1" applyFill="1" applyBorder="1" applyAlignment="1" applyProtection="1">
      <alignment horizontal="right"/>
      <protection locked="0"/>
    </xf>
    <xf numFmtId="0" fontId="16" fillId="19" borderId="1" xfId="0" applyFont="1" applyFill="1" applyBorder="1" applyProtection="1">
      <protection locked="0"/>
    </xf>
    <xf numFmtId="0" fontId="120" fillId="0" borderId="1" xfId="11" applyFont="1" applyBorder="1" applyAlignment="1" applyProtection="1">
      <alignment horizontal="center"/>
      <protection locked="0"/>
    </xf>
    <xf numFmtId="0" fontId="120" fillId="0" borderId="1" xfId="11" applyFont="1" applyBorder="1" applyAlignment="1" applyProtection="1">
      <alignment horizontal="left"/>
      <protection locked="0"/>
    </xf>
    <xf numFmtId="0" fontId="16" fillId="19" borderId="0" xfId="0" applyFont="1" applyFill="1" applyProtection="1">
      <protection locked="0"/>
    </xf>
    <xf numFmtId="0" fontId="121" fillId="19" borderId="1" xfId="11" applyFont="1" applyFill="1" applyBorder="1" applyAlignment="1" applyProtection="1">
      <alignment horizontal="center"/>
      <protection locked="0"/>
    </xf>
    <xf numFmtId="0" fontId="121" fillId="19" borderId="1" xfId="11" applyFont="1" applyFill="1" applyBorder="1" applyAlignment="1" applyProtection="1">
      <alignment horizontal="left"/>
      <protection locked="0"/>
    </xf>
    <xf numFmtId="3" fontId="16" fillId="19" borderId="1" xfId="14" applyNumberFormat="1" applyFont="1" applyFill="1" applyBorder="1" applyAlignment="1" applyProtection="1">
      <alignment horizontal="center"/>
    </xf>
    <xf numFmtId="3" fontId="16" fillId="19" borderId="6" xfId="14" applyNumberFormat="1" applyFont="1" applyFill="1" applyBorder="1" applyAlignment="1" applyProtection="1">
      <alignment horizontal="center"/>
    </xf>
    <xf numFmtId="0" fontId="16" fillId="19" borderId="0" xfId="0" applyFont="1" applyFill="1"/>
    <xf numFmtId="0" fontId="16" fillId="19" borderId="0" xfId="0" applyFont="1" applyFill="1" applyAlignment="1">
      <alignment horizontal="left"/>
    </xf>
    <xf numFmtId="10" fontId="16" fillId="3" borderId="6" xfId="1" applyNumberFormat="1" applyFont="1" applyFill="1" applyBorder="1" applyAlignment="1" applyProtection="1">
      <alignment horizontal="right"/>
      <protection locked="0"/>
    </xf>
    <xf numFmtId="0" fontId="43" fillId="19" borderId="80" xfId="60" applyFont="1" applyFill="1" applyBorder="1"/>
    <xf numFmtId="0" fontId="43" fillId="19" borderId="80" xfId="60" applyFont="1" applyFill="1" applyBorder="1" applyAlignment="1">
      <alignment vertical="center"/>
    </xf>
    <xf numFmtId="0" fontId="82" fillId="19" borderId="80" xfId="60" applyFont="1" applyFill="1" applyBorder="1"/>
    <xf numFmtId="3" fontId="16" fillId="17" borderId="1" xfId="41" applyNumberFormat="1" applyFont="1" applyFill="1" applyBorder="1" applyAlignment="1" applyProtection="1">
      <alignment horizontal="center" vertical="center" wrapText="1"/>
      <protection locked="0"/>
    </xf>
    <xf numFmtId="174" fontId="16" fillId="17" borderId="1" xfId="41" applyNumberFormat="1" applyFont="1" applyFill="1" applyBorder="1" applyAlignment="1" applyProtection="1">
      <alignment horizontal="center" vertical="center" wrapText="1"/>
      <protection locked="0"/>
    </xf>
    <xf numFmtId="165" fontId="16" fillId="17" borderId="1" xfId="40" applyNumberFormat="1" applyFont="1" applyFill="1" applyBorder="1" applyAlignment="1" applyProtection="1">
      <alignment horizontal="center" vertical="center" wrapText="1"/>
      <protection locked="0"/>
    </xf>
    <xf numFmtId="1" fontId="16" fillId="17" borderId="1" xfId="41" applyNumberFormat="1" applyFont="1" applyFill="1" applyBorder="1" applyAlignment="1" applyProtection="1">
      <alignment horizontal="center" vertical="center" wrapText="1"/>
      <protection locked="0"/>
    </xf>
    <xf numFmtId="167" fontId="16" fillId="17" borderId="1" xfId="41" applyNumberFormat="1" applyFont="1" applyFill="1" applyBorder="1" applyAlignment="1" applyProtection="1">
      <alignment horizontal="center" vertical="center" wrapText="1"/>
      <protection locked="0"/>
    </xf>
    <xf numFmtId="3" fontId="16" fillId="0" borderId="1" xfId="41" applyNumberFormat="1" applyFont="1" applyBorder="1" applyAlignment="1" applyProtection="1">
      <alignment horizontal="center" vertical="center" wrapText="1"/>
      <protection locked="0"/>
    </xf>
    <xf numFmtId="174" fontId="16" fillId="0" borderId="1" xfId="41" applyNumberFormat="1" applyFont="1" applyBorder="1" applyAlignment="1" applyProtection="1">
      <alignment horizontal="center" vertical="center" wrapText="1"/>
      <protection locked="0"/>
    </xf>
    <xf numFmtId="165" fontId="16" fillId="0" borderId="1" xfId="40" applyNumberFormat="1" applyFont="1" applyFill="1" applyBorder="1" applyAlignment="1" applyProtection="1">
      <alignment horizontal="center" vertical="center" wrapText="1"/>
      <protection locked="0"/>
    </xf>
    <xf numFmtId="173" fontId="16" fillId="0" borderId="1" xfId="40" applyNumberFormat="1" applyFont="1" applyBorder="1" applyAlignment="1" applyProtection="1">
      <alignment horizontal="center" vertical="center" wrapText="1"/>
      <protection locked="0"/>
    </xf>
    <xf numFmtId="1" fontId="16" fillId="0" borderId="1" xfId="41" applyNumberFormat="1" applyFont="1" applyBorder="1" applyAlignment="1" applyProtection="1">
      <alignment horizontal="center" vertical="center" wrapText="1"/>
      <protection locked="0"/>
    </xf>
    <xf numFmtId="167" fontId="16" fillId="0" borderId="1" xfId="41" applyNumberFormat="1" applyFont="1" applyBorder="1" applyAlignment="1" applyProtection="1">
      <alignment horizontal="center" vertical="center" wrapText="1"/>
      <protection locked="0"/>
    </xf>
    <xf numFmtId="0" fontId="16" fillId="0" borderId="1" xfId="41" applyNumberFormat="1" applyFont="1" applyBorder="1" applyAlignment="1" applyProtection="1">
      <alignment horizontal="center" vertical="center" wrapText="1"/>
      <protection locked="0"/>
    </xf>
    <xf numFmtId="0" fontId="16" fillId="17" borderId="1" xfId="40" applyNumberFormat="1" applyFont="1" applyFill="1" applyBorder="1" applyAlignment="1" applyProtection="1">
      <alignment horizontal="center" vertical="center" wrapText="1"/>
      <protection locked="0"/>
    </xf>
    <xf numFmtId="0" fontId="16" fillId="17" borderId="1" xfId="41" applyNumberFormat="1" applyFont="1" applyFill="1" applyBorder="1" applyAlignment="1" applyProtection="1">
      <alignment horizontal="center" vertical="center" wrapText="1"/>
      <protection locked="0"/>
    </xf>
    <xf numFmtId="0" fontId="16" fillId="23" borderId="0" xfId="41" applyFont="1" applyFill="1" applyAlignment="1" applyProtection="1">
      <alignment horizontal="center" vertical="center" wrapText="1"/>
      <protection locked="0"/>
    </xf>
    <xf numFmtId="173" fontId="16" fillId="23" borderId="0" xfId="40" applyNumberFormat="1" applyFont="1" applyFill="1" applyAlignment="1" applyProtection="1">
      <alignment horizontal="center" vertical="center" wrapText="1"/>
      <protection locked="0"/>
    </xf>
    <xf numFmtId="0" fontId="122" fillId="2" borderId="0" xfId="0" applyFont="1" applyFill="1" applyProtection="1">
      <protection hidden="1"/>
    </xf>
    <xf numFmtId="0" fontId="123" fillId="2" borderId="0" xfId="0" applyFont="1" applyFill="1" applyProtection="1">
      <protection hidden="1"/>
    </xf>
    <xf numFmtId="0" fontId="115" fillId="2" borderId="0" xfId="0" applyFont="1" applyFill="1" applyProtection="1">
      <protection hidden="1"/>
    </xf>
    <xf numFmtId="0" fontId="122" fillId="2" borderId="0" xfId="0" applyFont="1" applyFill="1" applyAlignment="1" applyProtection="1">
      <protection hidden="1"/>
    </xf>
    <xf numFmtId="0" fontId="89" fillId="0" borderId="0" xfId="54" applyFont="1"/>
    <xf numFmtId="2" fontId="89" fillId="0" borderId="0" xfId="54" applyNumberFormat="1" applyFont="1"/>
    <xf numFmtId="0" fontId="21" fillId="0" borderId="0" xfId="54" applyFont="1" applyAlignment="1">
      <alignment horizontal="left" vertical="center" indent="2"/>
    </xf>
    <xf numFmtId="0" fontId="43" fillId="0" borderId="0" xfId="54" applyFont="1"/>
    <xf numFmtId="3" fontId="43" fillId="0" borderId="0" xfId="54" applyNumberFormat="1" applyFont="1"/>
    <xf numFmtId="2" fontId="43" fillId="0" borderId="0" xfId="54" applyNumberFormat="1" applyFont="1"/>
    <xf numFmtId="0" fontId="89" fillId="0" borderId="0" xfId="54" applyFont="1" applyProtection="1">
      <protection hidden="1"/>
    </xf>
    <xf numFmtId="0" fontId="89" fillId="0" borderId="1" xfId="54" applyFont="1" applyFill="1" applyBorder="1" applyAlignment="1" applyProtection="1">
      <alignment horizontal="center"/>
      <protection locked="0"/>
    </xf>
    <xf numFmtId="49" fontId="43" fillId="19" borderId="6" xfId="0" applyNumberFormat="1" applyFont="1" applyFill="1" applyBorder="1" applyAlignment="1" applyProtection="1">
      <alignment horizontal="center"/>
      <protection locked="0"/>
    </xf>
    <xf numFmtId="0" fontId="43" fillId="19" borderId="6" xfId="0" applyFont="1" applyFill="1" applyBorder="1" applyAlignment="1" applyProtection="1">
      <alignment horizontal="left"/>
      <protection locked="0"/>
    </xf>
    <xf numFmtId="0" fontId="75" fillId="0" borderId="0" xfId="96" applyFont="1"/>
    <xf numFmtId="0" fontId="129" fillId="0" borderId="5" xfId="96" applyFont="1" applyBorder="1" applyAlignment="1">
      <alignment horizontal="left" vertical="center"/>
    </xf>
    <xf numFmtId="0" fontId="75" fillId="0" borderId="6" xfId="96" applyFont="1" applyBorder="1"/>
    <xf numFmtId="0" fontId="129" fillId="0" borderId="0" xfId="96" applyFont="1" applyAlignment="1">
      <alignment horizontal="left" vertical="center"/>
    </xf>
    <xf numFmtId="0" fontId="129" fillId="0" borderId="5" xfId="96" applyFont="1" applyBorder="1" applyAlignment="1">
      <alignment horizontal="left" vertical="center" wrapText="1"/>
    </xf>
    <xf numFmtId="0" fontId="129" fillId="0" borderId="6" xfId="96" applyFont="1" applyBorder="1" applyAlignment="1">
      <alignment horizontal="left" vertical="center" wrapText="1"/>
    </xf>
    <xf numFmtId="0" fontId="130" fillId="0" borderId="5" xfId="96" applyFont="1" applyBorder="1" applyAlignment="1">
      <alignment horizontal="left" vertical="center" wrapText="1"/>
    </xf>
    <xf numFmtId="0" fontId="130" fillId="0" borderId="6" xfId="96" applyFont="1" applyBorder="1" applyAlignment="1">
      <alignment horizontal="left" vertical="center" wrapText="1"/>
    </xf>
    <xf numFmtId="0" fontId="130" fillId="0" borderId="7" xfId="96" applyFont="1" applyBorder="1" applyAlignment="1">
      <alignment horizontal="left" vertical="center" wrapText="1"/>
    </xf>
    <xf numFmtId="0" fontId="130" fillId="0" borderId="9" xfId="96" applyFont="1" applyBorder="1" applyAlignment="1">
      <alignment horizontal="left" vertical="center" wrapText="1"/>
    </xf>
    <xf numFmtId="0" fontId="21" fillId="0" borderId="0" xfId="54" applyFont="1"/>
    <xf numFmtId="0" fontId="46" fillId="19" borderId="0" xfId="93" applyFont="1" applyFill="1"/>
    <xf numFmtId="0" fontId="43" fillId="19" borderId="0" xfId="93" applyFont="1" applyFill="1"/>
    <xf numFmtId="0" fontId="43" fillId="19" borderId="80" xfId="93" applyFont="1" applyFill="1" applyBorder="1"/>
    <xf numFmtId="0" fontId="46" fillId="19" borderId="0" xfId="93" applyFont="1" applyFill="1" applyAlignment="1">
      <alignment vertical="center"/>
    </xf>
    <xf numFmtId="0" fontId="43" fillId="19" borderId="0" xfId="93" applyFont="1" applyFill="1" applyAlignment="1">
      <alignment vertical="center"/>
    </xf>
    <xf numFmtId="0" fontId="43" fillId="19" borderId="80" xfId="93" applyFont="1" applyFill="1" applyBorder="1" applyAlignment="1">
      <alignment vertical="center"/>
    </xf>
    <xf numFmtId="0" fontId="50" fillId="19" borderId="0" xfId="93" applyFont="1" applyFill="1"/>
    <xf numFmtId="0" fontId="82" fillId="19" borderId="0" xfId="93" applyFont="1" applyFill="1"/>
    <xf numFmtId="0" fontId="82" fillId="19" borderId="80" xfId="93" applyFont="1" applyFill="1" applyBorder="1"/>
    <xf numFmtId="17" fontId="100" fillId="46" borderId="34" xfId="93" applyNumberFormat="1" applyFont="1" applyFill="1" applyBorder="1" applyAlignment="1">
      <alignment horizontal="center" vertical="center" wrapText="1"/>
    </xf>
    <xf numFmtId="0" fontId="100" fillId="46" borderId="4" xfId="93" applyFont="1" applyFill="1" applyBorder="1" applyAlignment="1">
      <alignment horizontal="center" vertical="center" wrapText="1"/>
    </xf>
    <xf numFmtId="0" fontId="100" fillId="46" borderId="28" xfId="93" applyFont="1" applyFill="1" applyBorder="1" applyAlignment="1">
      <alignment horizontal="center" vertical="center" wrapText="1"/>
    </xf>
    <xf numFmtId="17" fontId="100" fillId="46" borderId="34" xfId="93" applyNumberFormat="1" applyFont="1" applyFill="1" applyBorder="1" applyAlignment="1">
      <alignment horizontal="center" vertical="center"/>
    </xf>
    <xf numFmtId="0" fontId="100" fillId="46" borderId="4" xfId="93" applyFont="1" applyFill="1" applyBorder="1" applyAlignment="1">
      <alignment horizontal="center" vertical="center"/>
    </xf>
    <xf numFmtId="17" fontId="100" fillId="46" borderId="26" xfId="93" applyNumberFormat="1" applyFont="1" applyFill="1" applyBorder="1" applyAlignment="1">
      <alignment horizontal="center" vertical="center"/>
    </xf>
    <xf numFmtId="0" fontId="100" fillId="46" borderId="28" xfId="93" applyFont="1" applyFill="1" applyBorder="1" applyAlignment="1">
      <alignment horizontal="center" vertical="center"/>
    </xf>
    <xf numFmtId="0" fontId="43" fillId="19" borderId="19" xfId="93" applyFont="1" applyFill="1" applyBorder="1" applyAlignment="1">
      <alignment vertical="center"/>
    </xf>
    <xf numFmtId="0" fontId="43" fillId="19" borderId="3" xfId="93" applyFont="1" applyFill="1" applyBorder="1" applyAlignment="1">
      <alignment vertical="center"/>
    </xf>
    <xf numFmtId="3" fontId="43" fillId="19" borderId="3" xfId="93" applyNumberFormat="1" applyFont="1" applyFill="1" applyBorder="1" applyAlignment="1">
      <alignment vertical="center"/>
    </xf>
    <xf numFmtId="1" fontId="43" fillId="47" borderId="3" xfId="93" applyNumberFormat="1" applyFont="1" applyFill="1" applyBorder="1" applyAlignment="1">
      <alignment vertical="center"/>
    </xf>
    <xf numFmtId="0" fontId="43" fillId="47" borderId="3" xfId="93" applyFont="1" applyFill="1" applyBorder="1" applyAlignment="1">
      <alignment vertical="center"/>
    </xf>
    <xf numFmtId="0" fontId="43" fillId="19" borderId="60" xfId="93" applyFont="1" applyFill="1" applyBorder="1" applyAlignment="1">
      <alignment vertical="center"/>
    </xf>
    <xf numFmtId="182" fontId="43" fillId="47" borderId="3" xfId="93" applyNumberFormat="1" applyFont="1" applyFill="1" applyBorder="1" applyAlignment="1">
      <alignment vertical="center"/>
    </xf>
    <xf numFmtId="3" fontId="43" fillId="47" borderId="3" xfId="93" applyNumberFormat="1" applyFont="1" applyFill="1" applyBorder="1" applyAlignment="1">
      <alignment vertical="center"/>
    </xf>
    <xf numFmtId="3" fontId="16" fillId="0" borderId="0" xfId="93" applyNumberFormat="1" applyFont="1" applyAlignment="1">
      <alignment vertical="center"/>
    </xf>
    <xf numFmtId="3" fontId="43" fillId="19" borderId="60" xfId="93" applyNumberFormat="1" applyFont="1" applyFill="1" applyBorder="1" applyAlignment="1">
      <alignment vertical="center"/>
    </xf>
    <xf numFmtId="0" fontId="43" fillId="19" borderId="60" xfId="93" applyFont="1" applyFill="1" applyBorder="1" applyAlignment="1">
      <alignment horizontal="center" vertical="center"/>
    </xf>
    <xf numFmtId="0" fontId="43" fillId="19" borderId="41" xfId="93" applyFont="1" applyFill="1" applyBorder="1" applyAlignment="1">
      <alignment vertical="center"/>
    </xf>
    <xf numFmtId="14" fontId="43" fillId="19" borderId="60" xfId="93" applyNumberFormat="1" applyFont="1" applyFill="1" applyBorder="1" applyAlignment="1">
      <alignment vertical="center"/>
    </xf>
    <xf numFmtId="0" fontId="16" fillId="19" borderId="51" xfId="0" applyFont="1" applyFill="1" applyBorder="1" applyAlignment="1" applyProtection="1">
      <alignment horizontal="center"/>
      <protection locked="0"/>
    </xf>
    <xf numFmtId="0" fontId="16" fillId="19" borderId="6" xfId="0" applyFont="1" applyFill="1" applyBorder="1" applyProtection="1">
      <protection locked="0"/>
    </xf>
    <xf numFmtId="0" fontId="16" fillId="19" borderId="0" xfId="0" applyFont="1" applyFill="1" applyAlignment="1" applyProtection="1">
      <alignment horizontal="center"/>
      <protection locked="0"/>
    </xf>
    <xf numFmtId="0" fontId="43" fillId="19" borderId="1" xfId="0" applyFont="1" applyFill="1" applyBorder="1" applyAlignment="1" applyProtection="1">
      <alignment vertical="center" wrapText="1"/>
      <protection locked="0"/>
    </xf>
    <xf numFmtId="0" fontId="44" fillId="11" borderId="10" xfId="57" applyFont="1" applyFill="1" applyBorder="1" applyAlignment="1">
      <alignment horizontal="center" vertical="center"/>
    </xf>
    <xf numFmtId="0" fontId="44" fillId="11" borderId="97" xfId="57" applyFont="1" applyFill="1" applyBorder="1" applyAlignment="1">
      <alignment horizontal="center" vertical="center"/>
    </xf>
    <xf numFmtId="0" fontId="22" fillId="9" borderId="18" xfId="0" applyFont="1" applyFill="1" applyBorder="1" applyAlignment="1" applyProtection="1">
      <alignment horizontal="left" vertical="center" wrapText="1"/>
      <protection locked="0"/>
    </xf>
    <xf numFmtId="0" fontId="22" fillId="9" borderId="30" xfId="0" applyFont="1" applyFill="1" applyBorder="1" applyAlignment="1" applyProtection="1">
      <alignment horizontal="left" vertical="center" wrapText="1"/>
      <protection locked="0"/>
    </xf>
    <xf numFmtId="0" fontId="50" fillId="44" borderId="37" xfId="0" applyFont="1" applyFill="1" applyBorder="1" applyAlignment="1">
      <alignment horizontal="center"/>
    </xf>
    <xf numFmtId="0" fontId="16" fillId="0" borderId="46" xfId="0" applyFont="1" applyBorder="1" applyAlignment="1">
      <alignment vertical="center" wrapText="1"/>
    </xf>
    <xf numFmtId="0" fontId="0" fillId="0" borderId="53" xfId="0" applyBorder="1" applyAlignment="1">
      <alignment vertical="center"/>
    </xf>
    <xf numFmtId="0" fontId="16" fillId="0" borderId="46" xfId="0" applyFont="1" applyBorder="1" applyAlignment="1">
      <alignment vertical="center"/>
    </xf>
    <xf numFmtId="0" fontId="16" fillId="0" borderId="31" xfId="0" applyFont="1" applyBorder="1" applyAlignment="1">
      <alignment vertical="center"/>
    </xf>
    <xf numFmtId="0" fontId="50" fillId="44" borderId="13" xfId="0" applyFont="1" applyFill="1" applyBorder="1" applyAlignment="1">
      <alignment horizontal="center"/>
    </xf>
    <xf numFmtId="0" fontId="16" fillId="0" borderId="3" xfId="0" applyFont="1" applyBorder="1" applyAlignment="1">
      <alignment vertical="center" wrapText="1"/>
    </xf>
    <xf numFmtId="0" fontId="0" fillId="0" borderId="1" xfId="0" applyBorder="1" applyAlignment="1">
      <alignment vertical="center"/>
    </xf>
    <xf numFmtId="0" fontId="16" fillId="0" borderId="3" xfId="0" applyFont="1" applyBorder="1" applyAlignment="1">
      <alignment vertical="center"/>
    </xf>
    <xf numFmtId="0" fontId="16" fillId="0" borderId="24" xfId="0" applyFont="1" applyBorder="1" applyAlignment="1">
      <alignment vertical="center"/>
    </xf>
    <xf numFmtId="0" fontId="16" fillId="0" borderId="1" xfId="0" applyFont="1" applyBorder="1" applyAlignment="1">
      <alignment vertical="center"/>
    </xf>
    <xf numFmtId="0" fontId="58" fillId="0" borderId="6" xfId="12" applyBorder="1" applyAlignment="1" applyProtection="1">
      <alignment vertical="center"/>
    </xf>
    <xf numFmtId="0" fontId="16" fillId="0" borderId="8" xfId="0" applyFont="1" applyBorder="1" applyAlignment="1">
      <alignment vertical="center"/>
    </xf>
    <xf numFmtId="0" fontId="58" fillId="0" borderId="9" xfId="12" applyBorder="1" applyAlignment="1" applyProtection="1">
      <alignment vertical="center"/>
    </xf>
    <xf numFmtId="0" fontId="0" fillId="0" borderId="19" xfId="0" applyBorder="1"/>
    <xf numFmtId="0" fontId="0" fillId="0" borderId="16" xfId="0" applyBorder="1"/>
    <xf numFmtId="0" fontId="0" fillId="0" borderId="17" xfId="0" applyBorder="1"/>
    <xf numFmtId="0" fontId="50" fillId="5" borderId="94" xfId="0" applyFont="1" applyFill="1" applyBorder="1" applyAlignment="1">
      <alignment horizontal="center"/>
    </xf>
    <xf numFmtId="0" fontId="50" fillId="5" borderId="24" xfId="0" applyFont="1" applyFill="1" applyBorder="1" applyAlignment="1">
      <alignment horizontal="center"/>
    </xf>
    <xf numFmtId="0" fontId="50" fillId="5" borderId="68" xfId="0" applyFont="1" applyFill="1" applyBorder="1" applyAlignment="1">
      <alignment horizontal="center"/>
    </xf>
    <xf numFmtId="0" fontId="0" fillId="0" borderId="20" xfId="0" applyBorder="1"/>
    <xf numFmtId="0" fontId="16" fillId="0" borderId="15" xfId="0" applyFont="1" applyBorder="1"/>
    <xf numFmtId="0" fontId="17" fillId="11" borderId="5" xfId="23" applyFont="1" applyFill="1" applyBorder="1" applyAlignment="1">
      <alignment horizontal="left" vertical="center"/>
    </xf>
    <xf numFmtId="0" fontId="17" fillId="11" borderId="7" xfId="23" applyFont="1" applyFill="1" applyBorder="1" applyAlignment="1">
      <alignment horizontal="left" vertical="center"/>
    </xf>
    <xf numFmtId="175" fontId="43" fillId="0" borderId="6" xfId="90" applyNumberFormat="1" applyFont="1" applyBorder="1" applyAlignment="1">
      <alignment horizontal="right" vertical="center"/>
    </xf>
    <xf numFmtId="177" fontId="43" fillId="0" borderId="9" xfId="90" applyNumberFormat="1" applyFont="1" applyBorder="1" applyAlignment="1">
      <alignment horizontal="right" vertical="center"/>
    </xf>
    <xf numFmtId="0" fontId="16" fillId="0" borderId="5" xfId="23" applyFont="1" applyBorder="1" applyAlignment="1">
      <alignment horizontal="right" vertical="center"/>
    </xf>
    <xf numFmtId="0" fontId="17" fillId="11" borderId="10" xfId="23" applyFont="1" applyFill="1" applyBorder="1" applyAlignment="1">
      <alignment horizontal="left" vertical="center"/>
    </xf>
    <xf numFmtId="0" fontId="43" fillId="0" borderId="11" xfId="90" applyFont="1" applyBorder="1" applyAlignment="1">
      <alignment horizontal="right" vertical="center"/>
    </xf>
    <xf numFmtId="0" fontId="17" fillId="11" borderId="5" xfId="23" applyFont="1" applyFill="1" applyBorder="1" applyAlignment="1">
      <alignment horizontal="center" vertical="center"/>
    </xf>
    <xf numFmtId="175" fontId="44" fillId="11" borderId="6" xfId="90" applyNumberFormat="1" applyFont="1" applyFill="1" applyBorder="1" applyAlignment="1">
      <alignment horizontal="center" vertical="center"/>
    </xf>
    <xf numFmtId="49" fontId="43" fillId="19" borderId="6" xfId="35" applyNumberFormat="1" applyFont="1" applyFill="1" applyBorder="1" applyAlignment="1">
      <alignment horizontal="center" vertical="top"/>
    </xf>
    <xf numFmtId="0" fontId="43" fillId="19" borderId="11" xfId="35" applyFont="1" applyFill="1" applyBorder="1" applyAlignment="1">
      <alignment horizontal="center" vertical="center"/>
    </xf>
    <xf numFmtId="0" fontId="100" fillId="28" borderId="1" xfId="35" applyFont="1" applyFill="1" applyBorder="1" applyAlignment="1">
      <alignment horizontal="center" vertical="center"/>
    </xf>
    <xf numFmtId="0" fontId="100" fillId="28" borderId="6" xfId="35" applyFont="1" applyFill="1" applyBorder="1" applyAlignment="1">
      <alignment horizontal="center" vertical="center"/>
    </xf>
    <xf numFmtId="0" fontId="43" fillId="19" borderId="1" xfId="35" applyFont="1" applyFill="1" applyBorder="1" applyAlignment="1">
      <alignment horizontal="right" vertical="center"/>
    </xf>
    <xf numFmtId="0" fontId="43" fillId="19" borderId="6" xfId="35" applyFont="1" applyFill="1" applyBorder="1" applyAlignment="1">
      <alignment horizontal="right" vertical="center"/>
    </xf>
    <xf numFmtId="0" fontId="43" fillId="19" borderId="1" xfId="35" applyFont="1" applyFill="1" applyBorder="1" applyAlignment="1">
      <alignment horizontal="right" vertical="center" wrapText="1"/>
    </xf>
    <xf numFmtId="0" fontId="43" fillId="19" borderId="6" xfId="35" applyFont="1" applyFill="1" applyBorder="1" applyAlignment="1">
      <alignment horizontal="right" vertical="center" wrapText="1"/>
    </xf>
    <xf numFmtId="14" fontId="43" fillId="19" borderId="1" xfId="35" applyNumberFormat="1" applyFont="1" applyFill="1" applyBorder="1" applyAlignment="1">
      <alignment horizontal="right" vertical="center"/>
    </xf>
    <xf numFmtId="14" fontId="43" fillId="19" borderId="6" xfId="35" applyNumberFormat="1" applyFont="1" applyFill="1" applyBorder="1" applyAlignment="1">
      <alignment horizontal="right" vertical="center"/>
    </xf>
    <xf numFmtId="22" fontId="43" fillId="19" borderId="1" xfId="35" applyNumberFormat="1" applyFont="1" applyFill="1" applyBorder="1" applyAlignment="1">
      <alignment horizontal="right" vertical="center"/>
    </xf>
    <xf numFmtId="22" fontId="43" fillId="19" borderId="6" xfId="35" applyNumberFormat="1" applyFont="1" applyFill="1" applyBorder="1" applyAlignment="1">
      <alignment horizontal="right" vertical="center"/>
    </xf>
    <xf numFmtId="15" fontId="43" fillId="19" borderId="1" xfId="35" applyNumberFormat="1" applyFont="1" applyFill="1" applyBorder="1" applyAlignment="1">
      <alignment horizontal="right" vertical="center"/>
    </xf>
    <xf numFmtId="15" fontId="43" fillId="19" borderId="6" xfId="35" applyNumberFormat="1" applyFont="1" applyFill="1" applyBorder="1" applyAlignment="1">
      <alignment horizontal="right" vertical="center"/>
    </xf>
    <xf numFmtId="0" fontId="16" fillId="0" borderId="0" xfId="12" quotePrefix="1" applyFont="1" applyAlignment="1" applyProtection="1"/>
    <xf numFmtId="0" fontId="7" fillId="19" borderId="0" xfId="100" applyFill="1"/>
    <xf numFmtId="14" fontId="7" fillId="19" borderId="1" xfId="100" applyNumberFormat="1" applyFill="1" applyBorder="1" applyAlignment="1">
      <alignment horizontal="right" vertical="center"/>
    </xf>
    <xf numFmtId="14" fontId="31" fillId="11" borderId="1" xfId="100" applyNumberFormat="1" applyFont="1" applyFill="1" applyBorder="1" applyAlignment="1">
      <alignment horizontal="left" vertical="center"/>
    </xf>
    <xf numFmtId="1" fontId="7" fillId="19" borderId="6" xfId="100" applyNumberFormat="1" applyFill="1" applyBorder="1" applyAlignment="1">
      <alignment horizontal="right" vertical="center"/>
    </xf>
    <xf numFmtId="175" fontId="43" fillId="19" borderId="1" xfId="100" applyNumberFormat="1" applyFont="1" applyFill="1" applyBorder="1"/>
    <xf numFmtId="176" fontId="43" fillId="19" borderId="6" xfId="100" applyNumberFormat="1" applyFont="1" applyFill="1" applyBorder="1"/>
    <xf numFmtId="175" fontId="43" fillId="27" borderId="8" xfId="100" applyNumberFormat="1" applyFont="1" applyFill="1" applyBorder="1"/>
    <xf numFmtId="176" fontId="43" fillId="27" borderId="9" xfId="100" applyNumberFormat="1" applyFont="1" applyFill="1" applyBorder="1"/>
    <xf numFmtId="0" fontId="31" fillId="11" borderId="10" xfId="100" applyFont="1" applyFill="1" applyBorder="1" applyAlignment="1">
      <alignment horizontal="center" vertical="center" wrapText="1"/>
    </xf>
    <xf numFmtId="0" fontId="31" fillId="11" borderId="3" xfId="100" applyFont="1" applyFill="1" applyBorder="1" applyAlignment="1">
      <alignment horizontal="center" vertical="center" wrapText="1"/>
    </xf>
    <xf numFmtId="0" fontId="31" fillId="11" borderId="11" xfId="100" applyFont="1" applyFill="1" applyBorder="1" applyAlignment="1">
      <alignment horizontal="center" vertical="center" wrapText="1"/>
    </xf>
    <xf numFmtId="0" fontId="133" fillId="19" borderId="5" xfId="100" applyFont="1" applyFill="1" applyBorder="1" applyAlignment="1">
      <alignment horizontal="center" vertical="center" wrapText="1"/>
    </xf>
    <xf numFmtId="0" fontId="133" fillId="19" borderId="1" xfId="100" applyFont="1" applyFill="1" applyBorder="1" applyAlignment="1">
      <alignment horizontal="center" vertical="center" wrapText="1"/>
    </xf>
    <xf numFmtId="14" fontId="133" fillId="19" borderId="1" xfId="100" applyNumberFormat="1" applyFont="1" applyFill="1" applyBorder="1" applyAlignment="1">
      <alignment horizontal="center" vertical="center" wrapText="1"/>
    </xf>
    <xf numFmtId="5" fontId="133" fillId="19" borderId="1" xfId="100" applyNumberFormat="1" applyFont="1" applyFill="1" applyBorder="1" applyAlignment="1">
      <alignment horizontal="center" vertical="center" wrapText="1"/>
    </xf>
    <xf numFmtId="0" fontId="133" fillId="19" borderId="6" xfId="100" applyFont="1" applyFill="1" applyBorder="1" applyAlignment="1">
      <alignment horizontal="center" vertical="center" wrapText="1"/>
    </xf>
    <xf numFmtId="0" fontId="133" fillId="19" borderId="7" xfId="100" applyFont="1" applyFill="1" applyBorder="1" applyAlignment="1">
      <alignment horizontal="center" vertical="center" wrapText="1"/>
    </xf>
    <xf numFmtId="0" fontId="133" fillId="19" borderId="8" xfId="100" applyFont="1" applyFill="1" applyBorder="1" applyAlignment="1">
      <alignment horizontal="center" vertical="center" wrapText="1"/>
    </xf>
    <xf numFmtId="14" fontId="133" fillId="19" borderId="8" xfId="100" applyNumberFormat="1" applyFont="1" applyFill="1" applyBorder="1" applyAlignment="1">
      <alignment horizontal="center" vertical="center" wrapText="1"/>
    </xf>
    <xf numFmtId="5" fontId="133" fillId="19" borderId="8" xfId="100" applyNumberFormat="1" applyFont="1" applyFill="1" applyBorder="1" applyAlignment="1">
      <alignment horizontal="center" vertical="center" wrapText="1"/>
    </xf>
    <xf numFmtId="0" fontId="133" fillId="19" borderId="9" xfId="100" applyFont="1" applyFill="1" applyBorder="1" applyAlignment="1">
      <alignment horizontal="center" vertical="center" wrapText="1"/>
    </xf>
    <xf numFmtId="0" fontId="7" fillId="19" borderId="0" xfId="100" applyFill="1" applyAlignment="1">
      <alignment wrapText="1"/>
    </xf>
    <xf numFmtId="0" fontId="31" fillId="11" borderId="25" xfId="100" applyFont="1" applyFill="1" applyBorder="1" applyAlignment="1">
      <alignment horizontal="center" vertical="center" wrapText="1"/>
    </xf>
    <xf numFmtId="0" fontId="31" fillId="11" borderId="27" xfId="100" applyFont="1" applyFill="1" applyBorder="1" applyAlignment="1">
      <alignment horizontal="center" vertical="center" wrapText="1"/>
    </xf>
    <xf numFmtId="0" fontId="7" fillId="19" borderId="0" xfId="100" applyFill="1" applyAlignment="1">
      <alignment horizontal="center"/>
    </xf>
    <xf numFmtId="1" fontId="133" fillId="19" borderId="5" xfId="100" applyNumberFormat="1" applyFont="1" applyFill="1" applyBorder="1" applyAlignment="1">
      <alignment horizontal="center" vertical="center" wrapText="1"/>
    </xf>
    <xf numFmtId="49" fontId="133" fillId="19" borderId="1" xfId="100" applyNumberFormat="1" applyFont="1" applyFill="1" applyBorder="1" applyAlignment="1">
      <alignment horizontal="center" vertical="center" wrapText="1"/>
    </xf>
    <xf numFmtId="1" fontId="133" fillId="19" borderId="7" xfId="100" applyNumberFormat="1" applyFont="1" applyFill="1" applyBorder="1" applyAlignment="1">
      <alignment horizontal="center" vertical="center" wrapText="1"/>
    </xf>
    <xf numFmtId="49" fontId="133" fillId="19" borderId="8" xfId="100" applyNumberFormat="1" applyFont="1" applyFill="1" applyBorder="1" applyAlignment="1">
      <alignment horizontal="center" vertical="center" wrapText="1"/>
    </xf>
    <xf numFmtId="0" fontId="43" fillId="19" borderId="15" xfId="35" applyFont="1" applyFill="1" applyBorder="1" applyAlignment="1">
      <alignment horizontal="center" vertical="top"/>
    </xf>
    <xf numFmtId="0" fontId="100" fillId="28" borderId="15" xfId="35" applyFont="1" applyFill="1" applyBorder="1" applyAlignment="1">
      <alignment horizontal="center" vertical="center"/>
    </xf>
    <xf numFmtId="0" fontId="43" fillId="19" borderId="15" xfId="35" applyFont="1" applyFill="1" applyBorder="1" applyAlignment="1">
      <alignment horizontal="right" vertical="center"/>
    </xf>
    <xf numFmtId="14" fontId="43" fillId="19" borderId="15" xfId="35" applyNumberFormat="1" applyFont="1" applyFill="1" applyBorder="1" applyAlignment="1">
      <alignment horizontal="right" vertical="center"/>
    </xf>
    <xf numFmtId="0" fontId="43" fillId="19" borderId="57" xfId="35" applyFont="1" applyFill="1" applyBorder="1"/>
    <xf numFmtId="22" fontId="43" fillId="19" borderId="15" xfId="35" applyNumberFormat="1" applyFont="1" applyFill="1" applyBorder="1" applyAlignment="1">
      <alignment horizontal="right" vertical="center"/>
    </xf>
    <xf numFmtId="0" fontId="87" fillId="0" borderId="0" xfId="38" applyProtection="1">
      <protection hidden="1"/>
    </xf>
    <xf numFmtId="0" fontId="6" fillId="0" borderId="0" xfId="102"/>
    <xf numFmtId="0" fontId="31" fillId="28" borderId="1" xfId="99" applyFont="1" applyFill="1" applyBorder="1" applyAlignment="1">
      <alignment wrapText="1"/>
    </xf>
    <xf numFmtId="0" fontId="31" fillId="28" borderId="1" xfId="99" applyFont="1" applyFill="1" applyBorder="1" applyAlignment="1">
      <alignment horizontal="center" vertical="center" wrapText="1"/>
    </xf>
    <xf numFmtId="0" fontId="31" fillId="28" borderId="1" xfId="99" applyFont="1" applyFill="1" applyBorder="1" applyAlignment="1">
      <alignment horizontal="center" wrapText="1"/>
    </xf>
    <xf numFmtId="0" fontId="16" fillId="34" borderId="1" xfId="99" applyFill="1" applyBorder="1" applyAlignment="1" applyProtection="1">
      <alignment horizontal="center" wrapText="1"/>
      <protection locked="0"/>
    </xf>
    <xf numFmtId="0" fontId="16" fillId="34" borderId="1" xfId="99" applyFill="1" applyBorder="1" applyAlignment="1" applyProtection="1">
      <alignment horizontal="center"/>
      <protection locked="0"/>
    </xf>
    <xf numFmtId="0" fontId="33" fillId="0" borderId="1" xfId="99" applyFont="1" applyBorder="1" applyAlignment="1">
      <alignment wrapText="1"/>
    </xf>
    <xf numFmtId="0" fontId="33" fillId="0" borderId="1" xfId="99" applyFont="1" applyBorder="1"/>
    <xf numFmtId="0" fontId="6" fillId="0" borderId="1" xfId="99" applyFont="1" applyBorder="1" applyAlignment="1" applyProtection="1">
      <alignment wrapText="1"/>
      <protection locked="0"/>
    </xf>
    <xf numFmtId="0" fontId="16" fillId="0" borderId="1" xfId="99" applyBorder="1" applyProtection="1">
      <protection locked="0"/>
    </xf>
    <xf numFmtId="0" fontId="137" fillId="21" borderId="0" xfId="102" applyFont="1" applyFill="1"/>
    <xf numFmtId="0" fontId="138" fillId="19" borderId="0" xfId="102" applyFont="1" applyFill="1" applyAlignment="1">
      <alignment horizontal="left" vertical="center" wrapText="1"/>
    </xf>
    <xf numFmtId="0" fontId="6" fillId="21" borderId="0" xfId="102" applyFill="1" applyAlignment="1">
      <alignment horizontal="center" vertical="center"/>
    </xf>
    <xf numFmtId="0" fontId="44" fillId="19" borderId="0" xfId="102" applyFont="1" applyFill="1" applyAlignment="1">
      <alignment horizontal="left" vertical="center" wrapText="1"/>
    </xf>
    <xf numFmtId="0" fontId="6" fillId="26" borderId="0" xfId="102" applyFill="1" applyAlignment="1">
      <alignment horizontal="center" vertical="center"/>
    </xf>
    <xf numFmtId="0" fontId="6" fillId="21" borderId="0" xfId="102" applyFill="1" applyAlignment="1">
      <alignment horizontal="center"/>
    </xf>
    <xf numFmtId="0" fontId="80" fillId="0" borderId="0" xfId="102" applyFont="1"/>
    <xf numFmtId="0" fontId="6" fillId="3" borderId="0" xfId="102" applyFill="1" applyAlignment="1">
      <alignment horizontal="center" vertical="center"/>
    </xf>
    <xf numFmtId="0" fontId="6" fillId="0" borderId="0" xfId="102" applyAlignment="1">
      <alignment wrapText="1"/>
    </xf>
    <xf numFmtId="0" fontId="80" fillId="0" borderId="0" xfId="102" applyFont="1" applyAlignment="1">
      <alignment wrapText="1"/>
    </xf>
    <xf numFmtId="0" fontId="6" fillId="0" borderId="0" xfId="102" applyAlignment="1">
      <alignment horizontal="center"/>
    </xf>
    <xf numFmtId="0" fontId="6" fillId="0" borderId="0" xfId="102" applyAlignment="1">
      <alignment horizontal="center" vertical="center"/>
    </xf>
    <xf numFmtId="0" fontId="6" fillId="26" borderId="0" xfId="102" applyFill="1" applyAlignment="1">
      <alignment horizontal="center"/>
    </xf>
    <xf numFmtId="3" fontId="6" fillId="26" borderId="0" xfId="102" applyNumberFormat="1" applyFill="1" applyAlignment="1">
      <alignment horizontal="center" vertical="center"/>
    </xf>
    <xf numFmtId="0" fontId="6" fillId="21" borderId="0" xfId="102" applyFill="1"/>
    <xf numFmtId="0" fontId="139" fillId="19" borderId="0" xfId="102" applyFont="1" applyFill="1" applyAlignment="1">
      <alignment horizontal="left" vertical="center" wrapText="1"/>
    </xf>
    <xf numFmtId="0" fontId="6" fillId="19" borderId="0" xfId="102" applyFill="1"/>
    <xf numFmtId="0" fontId="6" fillId="26" borderId="0" xfId="102" applyFill="1"/>
    <xf numFmtId="15" fontId="6" fillId="26" borderId="0" xfId="102" applyNumberFormat="1" applyFill="1" applyAlignment="1">
      <alignment horizontal="center" vertical="center"/>
    </xf>
    <xf numFmtId="49" fontId="6" fillId="21" borderId="0" xfId="102" applyNumberFormat="1" applyFill="1" applyAlignment="1">
      <alignment horizontal="center" vertical="center"/>
    </xf>
    <xf numFmtId="0" fontId="6" fillId="3" borderId="0" xfId="102" applyFill="1"/>
    <xf numFmtId="0" fontId="141" fillId="19" borderId="0" xfId="102" applyFont="1" applyFill="1"/>
    <xf numFmtId="0" fontId="142" fillId="19" borderId="0" xfId="102" applyFont="1" applyFill="1"/>
    <xf numFmtId="0" fontId="80" fillId="21" borderId="0" xfId="102" applyFont="1" applyFill="1" applyAlignment="1">
      <alignment wrapText="1"/>
    </xf>
    <xf numFmtId="2" fontId="6" fillId="26" borderId="0" xfId="102" applyNumberFormat="1" applyFill="1" applyAlignment="1">
      <alignment horizontal="center" vertical="center"/>
    </xf>
    <xf numFmtId="14" fontId="6" fillId="21" borderId="0" xfId="102" applyNumberFormat="1" applyFill="1" applyAlignment="1">
      <alignment horizontal="center" vertical="center"/>
    </xf>
    <xf numFmtId="0" fontId="144" fillId="0" borderId="0" xfId="102" applyFont="1"/>
    <xf numFmtId="37" fontId="6" fillId="0" borderId="0" xfId="102" applyNumberFormat="1" applyAlignment="1">
      <alignment horizontal="center" vertical="center"/>
    </xf>
    <xf numFmtId="14" fontId="6" fillId="0" borderId="0" xfId="102" applyNumberFormat="1" applyAlignment="1">
      <alignment horizontal="center" vertical="center"/>
    </xf>
    <xf numFmtId="0" fontId="80" fillId="21" borderId="0" xfId="102" applyFont="1" applyFill="1"/>
    <xf numFmtId="9" fontId="6" fillId="0" borderId="0" xfId="102" applyNumberFormat="1" applyAlignment="1">
      <alignment horizontal="center"/>
    </xf>
    <xf numFmtId="4" fontId="6" fillId="0" borderId="0" xfId="102" applyNumberFormat="1" applyAlignment="1">
      <alignment horizontal="center" vertical="center"/>
    </xf>
    <xf numFmtId="4" fontId="6" fillId="21" borderId="0" xfId="102" applyNumberFormat="1" applyFill="1" applyAlignment="1">
      <alignment horizontal="center" vertical="center"/>
    </xf>
    <xf numFmtId="4" fontId="6" fillId="26" borderId="0" xfId="102" applyNumberFormat="1" applyFill="1" applyAlignment="1">
      <alignment horizontal="center"/>
    </xf>
    <xf numFmtId="0" fontId="80" fillId="21" borderId="0" xfId="102" applyFont="1" applyFill="1" applyAlignment="1">
      <alignment horizontal="center" vertical="center"/>
    </xf>
    <xf numFmtId="4" fontId="6" fillId="26" borderId="0" xfId="102" applyNumberFormat="1" applyFill="1"/>
    <xf numFmtId="3" fontId="6" fillId="21" borderId="0" xfId="102" applyNumberFormat="1" applyFill="1" applyAlignment="1">
      <alignment horizontal="center" vertical="center"/>
    </xf>
    <xf numFmtId="0" fontId="138" fillId="0" borderId="1" xfId="102" applyFont="1" applyBorder="1" applyAlignment="1">
      <alignment horizontal="left" vertical="center" wrapText="1"/>
    </xf>
    <xf numFmtId="0" fontId="6" fillId="0" borderId="1" xfId="102" applyBorder="1" applyAlignment="1">
      <alignment horizontal="center" vertical="center" wrapText="1"/>
    </xf>
    <xf numFmtId="0" fontId="44" fillId="0" borderId="1" xfId="102" applyFont="1" applyBorder="1" applyAlignment="1">
      <alignment horizontal="left" vertical="center" wrapText="1"/>
    </xf>
    <xf numFmtId="0" fontId="6" fillId="25" borderId="1" xfId="102" applyFill="1" applyBorder="1" applyAlignment="1">
      <alignment horizontal="center" vertical="center" wrapText="1"/>
    </xf>
    <xf numFmtId="0" fontId="6" fillId="0" borderId="1" xfId="102" applyBorder="1" applyAlignment="1">
      <alignment wrapText="1"/>
    </xf>
    <xf numFmtId="0" fontId="6" fillId="25" borderId="1" xfId="102" applyFill="1" applyBorder="1" applyAlignment="1">
      <alignment horizontal="center" wrapText="1"/>
    </xf>
    <xf numFmtId="0" fontId="16" fillId="25" borderId="1" xfId="102" applyFont="1" applyFill="1" applyBorder="1" applyAlignment="1">
      <alignment horizontal="center" vertical="center" wrapText="1"/>
    </xf>
    <xf numFmtId="0" fontId="80" fillId="0" borderId="1" xfId="102" applyFont="1" applyBorder="1" applyAlignment="1">
      <alignment wrapText="1"/>
    </xf>
    <xf numFmtId="0" fontId="16" fillId="0" borderId="1" xfId="102" applyFont="1" applyBorder="1" applyAlignment="1">
      <alignment horizontal="center" vertical="center" wrapText="1"/>
    </xf>
    <xf numFmtId="0" fontId="80" fillId="21" borderId="1" xfId="102" applyFont="1" applyFill="1" applyBorder="1" applyAlignment="1">
      <alignment wrapText="1"/>
    </xf>
    <xf numFmtId="0" fontId="16" fillId="0" borderId="1" xfId="102" applyFont="1" applyBorder="1" applyAlignment="1">
      <alignment horizontal="center"/>
    </xf>
    <xf numFmtId="0" fontId="6" fillId="21" borderId="1" xfId="102" applyFill="1" applyBorder="1" applyAlignment="1">
      <alignment wrapText="1"/>
    </xf>
    <xf numFmtId="0" fontId="16" fillId="0" borderId="1" xfId="102" applyFont="1" applyBorder="1" applyAlignment="1">
      <alignment horizontal="center" wrapText="1"/>
    </xf>
    <xf numFmtId="14" fontId="6" fillId="25" borderId="1" xfId="102" applyNumberFormat="1" applyFill="1" applyBorder="1" applyAlignment="1">
      <alignment horizontal="center" wrapText="1"/>
    </xf>
    <xf numFmtId="0" fontId="6" fillId="0" borderId="1" xfId="102" applyBorder="1" applyAlignment="1">
      <alignment horizontal="center" wrapText="1"/>
    </xf>
    <xf numFmtId="0" fontId="16" fillId="25" borderId="1" xfId="102" applyFont="1" applyFill="1" applyBorder="1" applyAlignment="1">
      <alignment horizontal="center" wrapText="1"/>
    </xf>
    <xf numFmtId="0" fontId="6" fillId="0" borderId="0" xfId="102" applyAlignment="1">
      <alignment horizontal="center" wrapText="1"/>
    </xf>
    <xf numFmtId="0" fontId="6" fillId="0" borderId="0" xfId="102" applyProtection="1">
      <protection hidden="1"/>
    </xf>
    <xf numFmtId="165" fontId="31" fillId="18" borderId="27" xfId="103" applyNumberFormat="1" applyFont="1" applyFill="1" applyBorder="1" applyAlignment="1" applyProtection="1">
      <alignment horizontal="center" vertical="center" wrapText="1"/>
      <protection locked="0"/>
    </xf>
    <xf numFmtId="165" fontId="31" fillId="18" borderId="27" xfId="103" applyNumberFormat="1" applyFont="1" applyFill="1" applyBorder="1" applyAlignment="1" applyProtection="1">
      <alignment horizontal="center" vertical="center"/>
      <protection locked="0"/>
    </xf>
    <xf numFmtId="165" fontId="31" fillId="18" borderId="49" xfId="103" applyNumberFormat="1" applyFont="1" applyFill="1" applyBorder="1" applyAlignment="1" applyProtection="1">
      <alignment horizontal="center" vertical="center"/>
      <protection locked="0"/>
    </xf>
    <xf numFmtId="9" fontId="31" fillId="21" borderId="19" xfId="104" applyFont="1" applyFill="1" applyBorder="1" applyAlignment="1" applyProtection="1">
      <alignment horizontal="center"/>
      <protection locked="0"/>
    </xf>
    <xf numFmtId="0" fontId="31" fillId="18" borderId="99" xfId="102" applyFont="1" applyFill="1" applyBorder="1" applyAlignment="1" applyProtection="1">
      <alignment horizontal="left"/>
      <protection hidden="1"/>
    </xf>
    <xf numFmtId="165" fontId="31" fillId="21" borderId="19" xfId="103" quotePrefix="1" applyNumberFormat="1" applyFont="1" applyFill="1" applyBorder="1" applyAlignment="1" applyProtection="1">
      <alignment horizontal="center"/>
      <protection locked="0"/>
    </xf>
    <xf numFmtId="165" fontId="31" fillId="21" borderId="19" xfId="103" applyNumberFormat="1" applyFont="1" applyFill="1" applyBorder="1" applyAlignment="1" applyProtection="1">
      <alignment horizontal="center"/>
      <protection locked="0"/>
    </xf>
    <xf numFmtId="0" fontId="17" fillId="18" borderId="101" xfId="102" applyFont="1" applyFill="1" applyBorder="1" applyAlignment="1" applyProtection="1">
      <alignment horizontal="center" vertical="top" wrapText="1"/>
      <protection hidden="1"/>
    </xf>
    <xf numFmtId="0" fontId="6" fillId="21" borderId="102" xfId="102" applyFill="1" applyBorder="1" applyAlignment="1" applyProtection="1">
      <alignment horizontal="center" vertical="center"/>
      <protection locked="0"/>
    </xf>
    <xf numFmtId="2" fontId="0" fillId="35" borderId="6" xfId="103" applyNumberFormat="1" applyFont="1" applyFill="1" applyBorder="1" applyAlignment="1" applyProtection="1">
      <alignment horizontal="center" vertical="center"/>
      <protection hidden="1"/>
    </xf>
    <xf numFmtId="1" fontId="6" fillId="21" borderId="5" xfId="102" applyNumberFormat="1" applyFill="1" applyBorder="1" applyAlignment="1" applyProtection="1">
      <alignment horizontal="left"/>
      <protection locked="0"/>
    </xf>
    <xf numFmtId="0" fontId="6" fillId="21" borderId="3" xfId="102" applyFill="1" applyBorder="1" applyAlignment="1" applyProtection="1">
      <alignment horizontal="center" vertical="center"/>
      <protection locked="0"/>
    </xf>
    <xf numFmtId="1" fontId="0" fillId="21" borderId="1" xfId="103" applyNumberFormat="1" applyFont="1" applyFill="1" applyBorder="1" applyAlignment="1" applyProtection="1">
      <alignment horizontal="center" vertical="center"/>
      <protection locked="0"/>
    </xf>
    <xf numFmtId="2" fontId="0" fillId="0" borderId="6" xfId="103" applyNumberFormat="1" applyFont="1" applyBorder="1" applyAlignment="1" applyProtection="1">
      <alignment horizontal="center" vertical="center"/>
      <protection hidden="1"/>
    </xf>
    <xf numFmtId="0" fontId="6" fillId="21" borderId="1" xfId="102" applyFill="1" applyBorder="1" applyAlignment="1" applyProtection="1">
      <alignment horizontal="center" vertical="center"/>
      <protection locked="0"/>
    </xf>
    <xf numFmtId="0" fontId="6" fillId="0" borderId="41" xfId="102" applyBorder="1" applyProtection="1">
      <protection hidden="1"/>
    </xf>
    <xf numFmtId="1" fontId="0" fillId="21" borderId="4" xfId="103" applyNumberFormat="1" applyFont="1" applyFill="1" applyBorder="1" applyAlignment="1" applyProtection="1">
      <alignment horizontal="center" vertical="center"/>
      <protection locked="0"/>
    </xf>
    <xf numFmtId="1" fontId="0" fillId="21" borderId="15" xfId="103" applyNumberFormat="1" applyFont="1" applyFill="1" applyBorder="1" applyAlignment="1" applyProtection="1">
      <alignment horizontal="center" vertical="center"/>
      <protection locked="0"/>
    </xf>
    <xf numFmtId="1" fontId="0" fillId="19" borderId="0" xfId="103" applyNumberFormat="1" applyFont="1" applyFill="1" applyBorder="1" applyAlignment="1" applyProtection="1">
      <alignment horizontal="center" vertical="center"/>
      <protection hidden="1"/>
    </xf>
    <xf numFmtId="1" fontId="0" fillId="18" borderId="1" xfId="103" applyNumberFormat="1" applyFont="1" applyFill="1" applyBorder="1" applyAlignment="1" applyProtection="1">
      <alignment horizontal="center" vertical="center"/>
      <protection hidden="1"/>
    </xf>
    <xf numFmtId="2" fontId="0" fillId="18" borderId="6" xfId="103" applyNumberFormat="1" applyFont="1" applyFill="1" applyBorder="1" applyAlignment="1" applyProtection="1">
      <alignment horizontal="center" vertical="center"/>
      <protection hidden="1"/>
    </xf>
    <xf numFmtId="165" fontId="68" fillId="0" borderId="0" xfId="103" applyNumberFormat="1" applyFont="1" applyFill="1" applyBorder="1" applyAlignment="1" applyProtection="1">
      <alignment horizontal="center" vertical="center"/>
      <protection locked="0"/>
    </xf>
    <xf numFmtId="0" fontId="6" fillId="0" borderId="1" xfId="102" applyBorder="1" applyAlignment="1" applyProtection="1">
      <alignment horizontal="center" vertical="center"/>
      <protection hidden="1"/>
    </xf>
    <xf numFmtId="2" fontId="0" fillId="0" borderId="46" xfId="103" applyNumberFormat="1" applyFont="1" applyBorder="1" applyAlignment="1" applyProtection="1">
      <alignment horizontal="center" vertical="center"/>
      <protection hidden="1"/>
    </xf>
    <xf numFmtId="1" fontId="6" fillId="0" borderId="0" xfId="102" applyNumberFormat="1" applyProtection="1">
      <protection hidden="1"/>
    </xf>
    <xf numFmtId="1" fontId="6" fillId="21" borderId="5" xfId="102" applyNumberFormat="1" applyFill="1" applyBorder="1" applyAlignment="1" applyProtection="1">
      <alignment horizontal="left" vertical="center" wrapText="1"/>
      <protection locked="0"/>
    </xf>
    <xf numFmtId="0" fontId="6" fillId="21" borderId="103" xfId="102" applyFill="1" applyBorder="1" applyAlignment="1" applyProtection="1">
      <alignment horizontal="center" vertical="center"/>
      <protection locked="0"/>
    </xf>
    <xf numFmtId="2" fontId="0" fillId="21" borderId="28" xfId="103" applyNumberFormat="1" applyFont="1" applyFill="1" applyBorder="1" applyAlignment="1" applyProtection="1">
      <alignment horizontal="center" vertical="center"/>
      <protection hidden="1"/>
    </xf>
    <xf numFmtId="0" fontId="6" fillId="21" borderId="33" xfId="102" applyFill="1" applyBorder="1" applyAlignment="1" applyProtection="1">
      <alignment horizontal="center" vertical="center"/>
      <protection locked="0"/>
    </xf>
    <xf numFmtId="0" fontId="6" fillId="33" borderId="4" xfId="102" applyFill="1" applyBorder="1" applyAlignment="1" applyProtection="1">
      <alignment horizontal="center" vertical="center"/>
      <protection hidden="1"/>
    </xf>
    <xf numFmtId="0" fontId="6" fillId="33" borderId="28" xfId="102" applyFill="1" applyBorder="1" applyAlignment="1" applyProtection="1">
      <alignment horizontal="center" vertical="center"/>
      <protection hidden="1"/>
    </xf>
    <xf numFmtId="165" fontId="33" fillId="18" borderId="13" xfId="103" applyNumberFormat="1" applyFont="1" applyFill="1" applyBorder="1" applyProtection="1">
      <protection hidden="1"/>
    </xf>
    <xf numFmtId="2" fontId="0" fillId="35" borderId="14" xfId="103" applyNumberFormat="1" applyFont="1" applyFill="1" applyBorder="1" applyAlignment="1" applyProtection="1">
      <alignment horizontal="center"/>
      <protection hidden="1"/>
    </xf>
    <xf numFmtId="10" fontId="0" fillId="24" borderId="27" xfId="104" applyNumberFormat="1" applyFont="1" applyFill="1" applyBorder="1" applyProtection="1">
      <protection hidden="1"/>
    </xf>
    <xf numFmtId="10" fontId="0" fillId="24" borderId="22" xfId="104" applyNumberFormat="1" applyFont="1" applyFill="1" applyBorder="1" applyAlignment="1" applyProtection="1">
      <alignment horizontal="center" vertical="center"/>
      <protection hidden="1"/>
    </xf>
    <xf numFmtId="0" fontId="6" fillId="24" borderId="1" xfId="102" applyFill="1" applyBorder="1" applyAlignment="1" applyProtection="1">
      <alignment horizontal="center" vertical="center"/>
      <protection hidden="1"/>
    </xf>
    <xf numFmtId="0" fontId="6" fillId="24" borderId="6" xfId="102" applyFill="1" applyBorder="1" applyAlignment="1" applyProtection="1">
      <alignment horizontal="center"/>
      <protection hidden="1"/>
    </xf>
    <xf numFmtId="0" fontId="6" fillId="24" borderId="8" xfId="102" applyFill="1" applyBorder="1" applyAlignment="1" applyProtection="1">
      <alignment horizontal="center" vertical="center"/>
      <protection hidden="1"/>
    </xf>
    <xf numFmtId="0" fontId="6" fillId="24" borderId="9" xfId="102" applyFill="1" applyBorder="1" applyAlignment="1" applyProtection="1">
      <alignment horizontal="center"/>
      <protection hidden="1"/>
    </xf>
    <xf numFmtId="10" fontId="63" fillId="19" borderId="0" xfId="104" applyNumberFormat="1" applyFont="1" applyFill="1" applyBorder="1" applyProtection="1">
      <protection hidden="1"/>
    </xf>
    <xf numFmtId="0" fontId="63" fillId="19" borderId="45" xfId="102" applyFont="1" applyFill="1" applyBorder="1" applyProtection="1">
      <protection hidden="1"/>
    </xf>
    <xf numFmtId="0" fontId="63" fillId="0" borderId="0" xfId="102" applyFont="1" applyProtection="1">
      <protection hidden="1"/>
    </xf>
    <xf numFmtId="165" fontId="31" fillId="18" borderId="27" xfId="103" applyNumberFormat="1" applyFont="1" applyFill="1" applyBorder="1" applyAlignment="1" applyProtection="1">
      <alignment horizontal="center"/>
      <protection hidden="1"/>
    </xf>
    <xf numFmtId="2" fontId="6" fillId="48" borderId="3" xfId="102" applyNumberFormat="1" applyFill="1" applyBorder="1" applyAlignment="1" applyProtection="1">
      <alignment horizontal="center" vertical="center"/>
      <protection hidden="1"/>
    </xf>
    <xf numFmtId="2" fontId="6" fillId="48" borderId="1" xfId="102" applyNumberFormat="1" applyFill="1" applyBorder="1" applyAlignment="1" applyProtection="1">
      <alignment horizontal="center" vertical="center"/>
      <protection hidden="1"/>
    </xf>
    <xf numFmtId="0" fontId="6" fillId="19" borderId="79" xfId="102" applyFill="1" applyBorder="1" applyAlignment="1" applyProtection="1">
      <alignment horizontal="center" vertical="center"/>
      <protection hidden="1"/>
    </xf>
    <xf numFmtId="2" fontId="6" fillId="11" borderId="1" xfId="102" applyNumberFormat="1" applyFill="1" applyBorder="1" applyAlignment="1" applyProtection="1">
      <alignment horizontal="center" vertical="center"/>
      <protection hidden="1"/>
    </xf>
    <xf numFmtId="2" fontId="31" fillId="18" borderId="8" xfId="102" applyNumberFormat="1" applyFont="1" applyFill="1" applyBorder="1" applyAlignment="1" applyProtection="1">
      <alignment horizontal="center" vertical="center"/>
      <protection hidden="1"/>
    </xf>
    <xf numFmtId="2" fontId="31" fillId="18" borderId="9" xfId="102" applyNumberFormat="1" applyFont="1" applyFill="1" applyBorder="1" applyAlignment="1" applyProtection="1">
      <alignment horizontal="center" vertical="center"/>
      <protection hidden="1"/>
    </xf>
    <xf numFmtId="10" fontId="0" fillId="0" borderId="0" xfId="104" applyNumberFormat="1" applyFont="1" applyProtection="1">
      <protection hidden="1"/>
    </xf>
    <xf numFmtId="0" fontId="6" fillId="26" borderId="0" xfId="102" applyNumberFormat="1" applyFill="1" applyAlignment="1">
      <alignment horizontal="center" vertical="center"/>
    </xf>
    <xf numFmtId="0" fontId="0" fillId="0" borderId="0" xfId="0" applyProtection="1"/>
    <xf numFmtId="0" fontId="26" fillId="3" borderId="1" xfId="0" applyFont="1" applyFill="1" applyBorder="1" applyAlignment="1" applyProtection="1">
      <alignment horizontal="center" vertical="center"/>
      <protection locked="0"/>
    </xf>
    <xf numFmtId="15" fontId="26" fillId="3" borderId="1" xfId="0" applyNumberFormat="1" applyFont="1" applyFill="1" applyBorder="1" applyAlignment="1" applyProtection="1">
      <alignment horizontal="center" vertical="center"/>
      <protection locked="0"/>
    </xf>
    <xf numFmtId="0" fontId="146" fillId="30" borderId="123" xfId="0" applyFont="1" applyFill="1" applyBorder="1" applyAlignment="1" applyProtection="1">
      <alignment wrapText="1"/>
    </xf>
    <xf numFmtId="14" fontId="147" fillId="50" borderId="123" xfId="0" applyNumberFormat="1" applyFont="1" applyFill="1" applyBorder="1" applyAlignment="1" applyProtection="1">
      <alignment horizontal="center"/>
    </xf>
    <xf numFmtId="0" fontId="147" fillId="50" borderId="123" xfId="0" applyNumberFormat="1" applyFont="1" applyFill="1" applyBorder="1" applyAlignment="1" applyProtection="1">
      <alignment horizontal="center"/>
    </xf>
    <xf numFmtId="0" fontId="148" fillId="0" borderId="123" xfId="0" applyFont="1" applyBorder="1" applyAlignment="1" applyProtection="1">
      <alignment wrapText="1"/>
    </xf>
    <xf numFmtId="0" fontId="147" fillId="2" borderId="123" xfId="0" applyFont="1" applyFill="1" applyBorder="1" applyAlignment="1" applyProtection="1">
      <alignment horizontal="right"/>
    </xf>
    <xf numFmtId="0" fontId="147" fillId="0" borderId="123" xfId="0" applyFont="1" applyBorder="1" applyAlignment="1" applyProtection="1">
      <alignment wrapText="1" indent="1"/>
    </xf>
    <xf numFmtId="3" fontId="147" fillId="50" borderId="123" xfId="0" applyNumberFormat="1" applyFont="1" applyFill="1" applyBorder="1" applyAlignment="1" applyProtection="1">
      <alignment horizontal="right"/>
    </xf>
    <xf numFmtId="0" fontId="147" fillId="30" borderId="123" xfId="0" applyFont="1" applyFill="1" applyBorder="1" applyAlignment="1" applyProtection="1">
      <alignment horizontal="right"/>
    </xf>
    <xf numFmtId="0" fontId="147" fillId="50" borderId="123" xfId="0" applyFont="1" applyFill="1" applyBorder="1" applyAlignment="1" applyProtection="1">
      <alignment horizontal="right"/>
    </xf>
    <xf numFmtId="0" fontId="147" fillId="0" borderId="123" xfId="0" applyFont="1" applyBorder="1" applyAlignment="1" applyProtection="1">
      <alignment wrapText="1" indent="2"/>
    </xf>
    <xf numFmtId="0" fontId="16" fillId="0" borderId="0" xfId="0" applyFont="1" applyProtection="1"/>
    <xf numFmtId="3" fontId="52" fillId="50" borderId="123" xfId="0" quotePrefix="1" applyNumberFormat="1" applyFont="1" applyFill="1" applyBorder="1" applyAlignment="1" applyProtection="1">
      <alignment horizontal="right"/>
    </xf>
    <xf numFmtId="0" fontId="147" fillId="0" borderId="123" xfId="0" applyFont="1" applyBorder="1" applyAlignment="1" applyProtection="1">
      <alignment wrapText="1" indent="3"/>
    </xf>
    <xf numFmtId="3" fontId="147" fillId="50" borderId="123" xfId="0" quotePrefix="1" applyNumberFormat="1" applyFont="1" applyFill="1" applyBorder="1" applyAlignment="1" applyProtection="1">
      <alignment horizontal="right"/>
    </xf>
    <xf numFmtId="3" fontId="0" fillId="0" borderId="0" xfId="0" applyNumberFormat="1" applyProtection="1"/>
    <xf numFmtId="179" fontId="90" fillId="11" borderId="0" xfId="1" applyNumberFormat="1" applyFont="1" applyFill="1" applyBorder="1" applyAlignment="1" applyProtection="1">
      <alignment horizontal="center" vertical="center" wrapText="1"/>
      <protection locked="0"/>
    </xf>
    <xf numFmtId="0" fontId="80" fillId="0" borderId="1" xfId="0" applyFont="1" applyBorder="1" applyAlignment="1">
      <alignment wrapText="1"/>
    </xf>
    <xf numFmtId="0" fontId="0" fillId="25" borderId="1" xfId="0" applyFill="1" applyBorder="1" applyAlignment="1">
      <alignment wrapText="1"/>
    </xf>
    <xf numFmtId="0" fontId="0" fillId="0" borderId="1" xfId="0" applyBorder="1" applyAlignment="1">
      <alignment wrapText="1"/>
    </xf>
    <xf numFmtId="0" fontId="22" fillId="7" borderId="1" xfId="0" applyFont="1" applyFill="1" applyBorder="1" applyAlignment="1">
      <alignment vertical="center" wrapText="1"/>
    </xf>
    <xf numFmtId="0" fontId="22" fillId="7" borderId="1" xfId="2" applyFont="1" applyFill="1" applyBorder="1" applyAlignment="1">
      <alignment horizontal="center" vertical="center" wrapText="1"/>
    </xf>
    <xf numFmtId="0" fontId="22" fillId="7" borderId="15" xfId="2" applyFont="1" applyFill="1" applyBorder="1" applyAlignment="1">
      <alignment horizontal="center" vertical="center"/>
    </xf>
    <xf numFmtId="0" fontId="22" fillId="7" borderId="15" xfId="2" applyFont="1" applyFill="1" applyBorder="1" applyAlignment="1">
      <alignment horizontal="center" vertical="center" wrapText="1"/>
    </xf>
    <xf numFmtId="0" fontId="22" fillId="7" borderId="1" xfId="2" applyFont="1" applyFill="1" applyBorder="1" applyAlignment="1">
      <alignment horizontal="center" vertical="center"/>
    </xf>
    <xf numFmtId="0" fontId="21" fillId="0" borderId="0" xfId="0" applyNumberFormat="1" applyFont="1" applyBorder="1" applyAlignment="1" applyProtection="1">
      <alignment vertical="center"/>
      <protection locked="0"/>
    </xf>
    <xf numFmtId="1" fontId="21" fillId="0" borderId="79" xfId="0" applyNumberFormat="1" applyFont="1" applyBorder="1" applyAlignment="1" applyProtection="1">
      <alignment vertical="center"/>
      <protection locked="0"/>
    </xf>
    <xf numFmtId="0" fontId="21" fillId="0" borderId="18" xfId="0" applyNumberFormat="1" applyFont="1" applyBorder="1" applyAlignment="1" applyProtection="1">
      <alignment vertical="center"/>
      <protection locked="0"/>
    </xf>
    <xf numFmtId="0" fontId="21" fillId="0" borderId="19" xfId="0" applyNumberFormat="1" applyFont="1" applyBorder="1" applyAlignment="1" applyProtection="1">
      <alignment vertical="center"/>
      <protection locked="0"/>
    </xf>
    <xf numFmtId="3" fontId="26" fillId="3" borderId="46" xfId="1" applyNumberFormat="1" applyFont="1" applyFill="1" applyBorder="1" applyAlignment="1" applyProtection="1">
      <alignment horizontal="center" vertical="top" wrapText="1"/>
      <protection locked="0"/>
    </xf>
    <xf numFmtId="0" fontId="149" fillId="0" borderId="1" xfId="0" applyFont="1" applyBorder="1" applyAlignment="1">
      <alignment vertical="center"/>
    </xf>
    <xf numFmtId="0" fontId="150" fillId="0" borderId="1" xfId="0" applyFont="1" applyBorder="1" applyAlignment="1">
      <alignment vertical="center"/>
    </xf>
    <xf numFmtId="14" fontId="0" fillId="0" borderId="1" xfId="0" applyNumberFormat="1" applyBorder="1"/>
    <xf numFmtId="0" fontId="0" fillId="0" borderId="1" xfId="0" applyBorder="1" applyAlignment="1">
      <alignment horizontal="center" vertical="center"/>
    </xf>
    <xf numFmtId="0" fontId="150" fillId="0" borderId="1" xfId="0" applyFont="1" applyBorder="1" applyAlignment="1">
      <alignment vertical="center" wrapText="1"/>
    </xf>
    <xf numFmtId="0" fontId="0" fillId="3" borderId="1" xfId="0" applyFill="1" applyBorder="1"/>
    <xf numFmtId="0" fontId="16" fillId="0" borderId="0" xfId="0" applyFont="1" applyAlignment="1" applyProtection="1">
      <alignment horizontal="center" vertical="center"/>
      <protection locked="0"/>
    </xf>
    <xf numFmtId="0" fontId="16" fillId="0" borderId="0" xfId="0" applyFont="1" applyProtection="1">
      <protection locked="0"/>
    </xf>
    <xf numFmtId="0" fontId="16" fillId="0" borderId="6" xfId="1" applyNumberFormat="1" applyFont="1" applyFill="1" applyBorder="1" applyAlignment="1" applyProtection="1">
      <alignment horizontal="center" vertical="center"/>
    </xf>
    <xf numFmtId="0" fontId="16" fillId="0" borderId="6" xfId="1" applyNumberFormat="1" applyFont="1" applyBorder="1" applyAlignment="1" applyProtection="1">
      <alignment horizontal="center" vertical="center"/>
    </xf>
    <xf numFmtId="0" fontId="32" fillId="0" borderId="6" xfId="1" applyNumberFormat="1" applyFont="1" applyBorder="1" applyAlignment="1" applyProtection="1">
      <alignment horizontal="center" vertical="center"/>
    </xf>
    <xf numFmtId="0" fontId="0" fillId="0" borderId="0" xfId="0" applyAlignment="1" applyProtection="1">
      <alignment horizontal="center" vertical="center"/>
      <protection locked="0"/>
    </xf>
    <xf numFmtId="0" fontId="16" fillId="0" borderId="4" xfId="12" quotePrefix="1" applyFont="1" applyBorder="1" applyAlignment="1" applyProtection="1"/>
    <xf numFmtId="0" fontId="16" fillId="0" borderId="33" xfId="0" applyFont="1" applyBorder="1"/>
    <xf numFmtId="0" fontId="26" fillId="3" borderId="1" xfId="0" applyFont="1" applyFill="1" applyBorder="1" applyAlignment="1" applyProtection="1">
      <alignment horizontal="center" vertical="center"/>
      <protection locked="0"/>
    </xf>
    <xf numFmtId="3" fontId="22" fillId="3" borderId="46" xfId="1" applyNumberFormat="1" applyFont="1" applyFill="1" applyBorder="1" applyAlignment="1" applyProtection="1">
      <alignment horizontal="center" vertical="top" wrapText="1"/>
      <protection locked="0"/>
    </xf>
    <xf numFmtId="9" fontId="16" fillId="3" borderId="1" xfId="5" applyNumberFormat="1" applyFont="1" applyFill="1" applyBorder="1" applyAlignment="1" applyProtection="1">
      <alignment horizontal="center"/>
      <protection locked="0"/>
    </xf>
    <xf numFmtId="10" fontId="17" fillId="19" borderId="1" xfId="5" applyNumberFormat="1" applyFont="1" applyFill="1" applyBorder="1" applyAlignment="1" applyProtection="1">
      <alignment horizontal="center"/>
    </xf>
    <xf numFmtId="10" fontId="17" fillId="19" borderId="6" xfId="5" applyNumberFormat="1" applyFont="1" applyFill="1" applyBorder="1" applyAlignment="1" applyProtection="1">
      <alignment horizontal="center"/>
    </xf>
    <xf numFmtId="0" fontId="16" fillId="0" borderId="1" xfId="5" applyFont="1" applyBorder="1" applyAlignment="1" applyProtection="1">
      <alignment horizontal="center" vertical="center"/>
      <protection locked="0"/>
    </xf>
    <xf numFmtId="0" fontId="17" fillId="0" borderId="1" xfId="41" applyFont="1" applyBorder="1" applyAlignment="1" applyProtection="1">
      <alignment horizontal="center" vertical="center" wrapText="1"/>
      <protection locked="0"/>
    </xf>
    <xf numFmtId="0" fontId="17" fillId="17" borderId="1" xfId="41" applyFont="1" applyFill="1" applyBorder="1" applyAlignment="1" applyProtection="1">
      <alignment horizontal="center" vertical="center" wrapText="1"/>
      <protection locked="0"/>
    </xf>
    <xf numFmtId="0" fontId="16" fillId="2" borderId="15" xfId="0" applyFont="1" applyFill="1" applyBorder="1" applyAlignment="1" applyProtection="1">
      <alignment horizontal="left" vertical="center"/>
      <protection locked="0"/>
    </xf>
    <xf numFmtId="0" fontId="16" fillId="2" borderId="2" xfId="0" applyFont="1" applyFill="1" applyBorder="1" applyAlignment="1" applyProtection="1">
      <alignment horizontal="left" vertical="center"/>
      <protection locked="0"/>
    </xf>
    <xf numFmtId="0" fontId="16" fillId="2" borderId="53" xfId="0" applyFont="1" applyFill="1" applyBorder="1" applyAlignment="1" applyProtection="1">
      <alignment horizontal="left" vertical="center"/>
      <protection locked="0"/>
    </xf>
    <xf numFmtId="0" fontId="16" fillId="2" borderId="15" xfId="0" applyFont="1" applyFill="1" applyBorder="1" applyAlignment="1" applyProtection="1">
      <alignment horizontal="center" vertical="center"/>
      <protection locked="0"/>
    </xf>
    <xf numFmtId="0" fontId="17" fillId="9" borderId="15" xfId="0" applyFont="1" applyFill="1" applyBorder="1" applyAlignment="1" applyProtection="1">
      <alignment horizontal="left" vertical="center"/>
      <protection locked="0"/>
    </xf>
    <xf numFmtId="0" fontId="75" fillId="19" borderId="1" xfId="0" applyFont="1" applyFill="1" applyBorder="1" applyAlignment="1" applyProtection="1">
      <alignment vertical="center" wrapText="1"/>
      <protection locked="0"/>
    </xf>
    <xf numFmtId="0" fontId="26" fillId="9" borderId="1" xfId="54" applyFont="1" applyFill="1" applyBorder="1" applyAlignment="1" applyProtection="1">
      <alignment horizontal="left" vertical="center" wrapText="1"/>
      <protection locked="0"/>
    </xf>
    <xf numFmtId="0" fontId="16" fillId="9" borderId="1" xfId="2" applyFont="1" applyFill="1" applyBorder="1" applyAlignment="1" applyProtection="1">
      <alignment vertical="center" wrapText="1"/>
      <protection locked="0"/>
    </xf>
    <xf numFmtId="0" fontId="26" fillId="9" borderId="1" xfId="2" applyFont="1" applyFill="1" applyBorder="1" applyAlignment="1" applyProtection="1">
      <alignment vertical="center" wrapText="1"/>
      <protection locked="0"/>
    </xf>
    <xf numFmtId="0" fontId="26" fillId="9" borderId="15" xfId="2" applyFont="1" applyFill="1" applyBorder="1" applyAlignment="1" applyProtection="1">
      <alignment vertical="center" wrapText="1"/>
      <protection locked="0"/>
    </xf>
    <xf numFmtId="0" fontId="26" fillId="0" borderId="1" xfId="0" applyNumberFormat="1" applyFont="1" applyBorder="1" applyAlignment="1">
      <alignment vertical="center"/>
    </xf>
    <xf numFmtId="0" fontId="27" fillId="5" borderId="54" xfId="0" applyFont="1" applyFill="1" applyBorder="1" applyAlignment="1" applyProtection="1">
      <alignment horizontal="center" vertical="center"/>
      <protection locked="0"/>
    </xf>
    <xf numFmtId="0" fontId="24" fillId="5" borderId="55" xfId="0" applyFont="1" applyFill="1" applyBorder="1" applyAlignment="1" applyProtection="1">
      <alignment vertical="center"/>
      <protection locked="0"/>
    </xf>
    <xf numFmtId="0" fontId="27" fillId="5" borderId="0" xfId="0" applyFont="1" applyFill="1" applyBorder="1" applyAlignment="1" applyProtection="1">
      <alignment horizontal="center" vertical="center"/>
      <protection locked="0"/>
    </xf>
    <xf numFmtId="0" fontId="84" fillId="5" borderId="45" xfId="0" applyFont="1" applyFill="1" applyBorder="1" applyAlignment="1" applyProtection="1">
      <alignment horizontal="left" vertical="center"/>
      <protection locked="0"/>
    </xf>
    <xf numFmtId="0" fontId="24" fillId="5" borderId="45" xfId="0" applyFont="1" applyFill="1" applyBorder="1" applyAlignment="1" applyProtection="1">
      <alignment vertical="center"/>
      <protection locked="0"/>
    </xf>
    <xf numFmtId="0" fontId="22" fillId="9" borderId="5" xfId="3" applyFont="1" applyFill="1" applyBorder="1" applyAlignment="1" applyProtection="1">
      <alignment vertical="center"/>
      <protection locked="0"/>
    </xf>
    <xf numFmtId="0" fontId="22" fillId="9" borderId="18" xfId="3" applyFont="1" applyFill="1" applyBorder="1" applyAlignment="1" applyProtection="1">
      <alignment vertical="center"/>
      <protection locked="0"/>
    </xf>
    <xf numFmtId="0" fontId="22" fillId="11" borderId="1" xfId="0" applyFont="1" applyFill="1" applyBorder="1" applyAlignment="1" applyProtection="1">
      <alignment horizontal="left" vertical="center"/>
      <protection locked="0"/>
    </xf>
    <xf numFmtId="0" fontId="26" fillId="19" borderId="0" xfId="0" applyFont="1" applyFill="1" applyAlignment="1" applyProtection="1">
      <alignment vertical="center"/>
      <protection locked="0"/>
    </xf>
    <xf numFmtId="165" fontId="22" fillId="11" borderId="5" xfId="1" applyNumberFormat="1" applyFont="1" applyFill="1" applyBorder="1" applyAlignment="1" applyProtection="1">
      <alignment horizontal="center" vertical="center"/>
      <protection locked="0"/>
    </xf>
    <xf numFmtId="165" fontId="22" fillId="11" borderId="26" xfId="1" applyNumberFormat="1" applyFont="1" applyFill="1" applyBorder="1" applyAlignment="1" applyProtection="1">
      <alignment horizontal="center" vertical="center"/>
      <protection locked="0"/>
    </xf>
    <xf numFmtId="0" fontId="26" fillId="9" borderId="57" xfId="0" applyFont="1" applyFill="1" applyBorder="1" applyAlignment="1" applyProtection="1">
      <alignment horizontal="left" vertical="center"/>
      <protection locked="0"/>
    </xf>
    <xf numFmtId="9" fontId="34" fillId="19" borderId="0" xfId="0" applyNumberFormat="1" applyFont="1" applyFill="1" applyAlignment="1" applyProtection="1">
      <alignment vertical="center"/>
      <protection locked="0"/>
    </xf>
    <xf numFmtId="0" fontId="34" fillId="19" borderId="0" xfId="0" applyFont="1" applyFill="1" applyAlignment="1" applyProtection="1">
      <alignment vertical="center"/>
      <protection locked="0"/>
    </xf>
    <xf numFmtId="0" fontId="16" fillId="9" borderId="57" xfId="0" applyFont="1" applyFill="1" applyBorder="1" applyAlignment="1" applyProtection="1">
      <alignment horizontal="right" vertical="center"/>
      <protection locked="0"/>
    </xf>
    <xf numFmtId="9" fontId="20" fillId="19" borderId="0" xfId="0" applyNumberFormat="1" applyFont="1" applyFill="1" applyAlignment="1" applyProtection="1">
      <alignment vertical="center"/>
      <protection locked="0"/>
    </xf>
    <xf numFmtId="0" fontId="20" fillId="19" borderId="0" xfId="0" applyFont="1" applyFill="1" applyAlignment="1" applyProtection="1">
      <alignment vertical="center"/>
      <protection locked="0"/>
    </xf>
    <xf numFmtId="0" fontId="26" fillId="9" borderId="23" xfId="0" applyFont="1" applyFill="1" applyBorder="1" applyAlignment="1" applyProtection="1">
      <alignment horizontal="left" vertical="center"/>
      <protection locked="0"/>
    </xf>
    <xf numFmtId="9" fontId="26" fillId="0" borderId="1" xfId="1" applyNumberFormat="1" applyFont="1" applyFill="1" applyBorder="1" applyAlignment="1" applyProtection="1">
      <alignment horizontal="center" vertical="center"/>
      <protection locked="0"/>
    </xf>
    <xf numFmtId="0" fontId="22" fillId="9" borderId="23" xfId="0" applyFont="1" applyFill="1" applyBorder="1" applyAlignment="1" applyProtection="1">
      <alignment horizontal="left" vertical="center"/>
      <protection locked="0"/>
    </xf>
    <xf numFmtId="0" fontId="26" fillId="9" borderId="23" xfId="0" applyFont="1" applyFill="1" applyBorder="1" applyAlignment="1" applyProtection="1">
      <alignment horizontal="left" vertical="center" wrapText="1"/>
      <protection locked="0"/>
    </xf>
    <xf numFmtId="0" fontId="22" fillId="9" borderId="5" xfId="0" applyFont="1" applyFill="1" applyBorder="1" applyAlignment="1" applyProtection="1">
      <alignment horizontal="left" vertical="center"/>
      <protection locked="0"/>
    </xf>
    <xf numFmtId="0" fontId="22" fillId="9" borderId="50" xfId="0" applyFont="1" applyFill="1" applyBorder="1" applyAlignment="1" applyProtection="1">
      <alignment horizontal="left" vertical="center"/>
      <protection locked="0"/>
    </xf>
    <xf numFmtId="0" fontId="22" fillId="9" borderId="7" xfId="0" applyFont="1" applyFill="1" applyBorder="1" applyAlignment="1" applyProtection="1">
      <alignment horizontal="left" vertical="center"/>
      <protection locked="0"/>
    </xf>
    <xf numFmtId="0" fontId="22" fillId="9" borderId="0" xfId="0" applyFont="1" applyFill="1" applyBorder="1" applyAlignment="1" applyProtection="1">
      <alignment horizontal="left" vertical="center"/>
      <protection locked="0"/>
    </xf>
    <xf numFmtId="0" fontId="22" fillId="12" borderId="23" xfId="0" applyFont="1" applyFill="1" applyBorder="1" applyAlignment="1" applyProtection="1">
      <alignment horizontal="left" vertical="center"/>
      <protection locked="0"/>
    </xf>
    <xf numFmtId="0" fontId="27" fillId="0" borderId="23" xfId="0" applyFont="1" applyFill="1" applyBorder="1" applyAlignment="1" applyProtection="1">
      <alignment horizontal="left" vertical="center"/>
      <protection locked="0"/>
    </xf>
    <xf numFmtId="3" fontId="27" fillId="0" borderId="2" xfId="1" applyNumberFormat="1" applyFont="1" applyFill="1" applyBorder="1" applyAlignment="1" applyProtection="1">
      <alignment horizontal="center" vertical="center"/>
      <protection locked="0"/>
    </xf>
    <xf numFmtId="3" fontId="27" fillId="0" borderId="53" xfId="1" applyNumberFormat="1" applyFont="1" applyFill="1" applyBorder="1" applyAlignment="1" applyProtection="1">
      <alignment horizontal="center" vertical="center"/>
      <protection locked="0"/>
    </xf>
    <xf numFmtId="0" fontId="22" fillId="9" borderId="23" xfId="0" applyFont="1" applyFill="1" applyBorder="1" applyAlignment="1" applyProtection="1">
      <alignment horizontal="left" vertical="center" wrapText="1"/>
      <protection locked="0"/>
    </xf>
    <xf numFmtId="3" fontId="26" fillId="3" borderId="3" xfId="1" applyNumberFormat="1" applyFont="1" applyFill="1" applyBorder="1" applyAlignment="1" applyProtection="1">
      <alignment horizontal="center" vertical="center"/>
    </xf>
    <xf numFmtId="0" fontId="0" fillId="0" borderId="0" xfId="0" applyAlignment="1" applyProtection="1">
      <alignment vertical="center"/>
      <protection locked="0"/>
    </xf>
    <xf numFmtId="0" fontId="0" fillId="19" borderId="0" xfId="0" applyFill="1" applyAlignment="1" applyProtection="1">
      <alignment vertical="center"/>
      <protection locked="0"/>
    </xf>
    <xf numFmtId="0" fontId="16" fillId="19" borderId="0" xfId="0" applyFont="1" applyFill="1" applyAlignment="1" applyProtection="1">
      <alignment vertical="center"/>
      <protection locked="0"/>
    </xf>
    <xf numFmtId="0" fontId="21" fillId="19" borderId="0" xfId="0" applyFont="1" applyFill="1" applyAlignment="1" applyProtection="1">
      <alignment vertical="center"/>
      <protection locked="0"/>
    </xf>
    <xf numFmtId="3" fontId="68" fillId="29" borderId="65" xfId="15" applyNumberFormat="1" applyBorder="1" applyAlignment="1" applyProtection="1">
      <alignment horizontal="center"/>
    </xf>
    <xf numFmtId="165" fontId="22" fillId="11" borderId="50" xfId="1" applyNumberFormat="1" applyFont="1" applyFill="1" applyBorder="1" applyAlignment="1" applyProtection="1">
      <alignment horizontal="center" vertical="center"/>
      <protection locked="0"/>
    </xf>
    <xf numFmtId="0" fontId="22" fillId="7" borderId="9" xfId="0" applyFont="1" applyFill="1" applyBorder="1" applyAlignment="1" applyProtection="1">
      <alignment horizontal="center" vertical="center" wrapText="1"/>
      <protection locked="0"/>
    </xf>
    <xf numFmtId="165" fontId="22" fillId="11" borderId="51" xfId="1" applyNumberFormat="1" applyFont="1" applyFill="1" applyBorder="1" applyAlignment="1" applyProtection="1">
      <alignment horizontal="center" vertical="center"/>
      <protection locked="0"/>
    </xf>
    <xf numFmtId="165" fontId="22" fillId="11" borderId="0" xfId="1" applyNumberFormat="1" applyFont="1" applyFill="1" applyBorder="1" applyAlignment="1" applyProtection="1">
      <alignment horizontal="center" vertical="center" wrapText="1"/>
      <protection locked="0"/>
    </xf>
    <xf numFmtId="0" fontId="22" fillId="7" borderId="31" xfId="0" applyFont="1" applyFill="1" applyBorder="1" applyAlignment="1" applyProtection="1">
      <alignment horizontal="center" vertical="center" wrapText="1"/>
      <protection locked="0"/>
    </xf>
    <xf numFmtId="0" fontId="26" fillId="9" borderId="47" xfId="0" applyFont="1" applyFill="1" applyBorder="1" applyAlignment="1" applyProtection="1">
      <alignment horizontal="left" vertical="center"/>
      <protection locked="0"/>
    </xf>
    <xf numFmtId="9" fontId="20" fillId="0" borderId="0" xfId="0" applyNumberFormat="1" applyFont="1" applyAlignment="1" applyProtection="1">
      <alignment vertical="center"/>
      <protection locked="0"/>
    </xf>
    <xf numFmtId="0" fontId="20" fillId="0" borderId="0" xfId="0" applyFont="1" applyAlignment="1" applyProtection="1">
      <alignment vertical="center"/>
      <protection locked="0"/>
    </xf>
    <xf numFmtId="0" fontId="22" fillId="9" borderId="39" xfId="0" applyFont="1" applyFill="1" applyBorder="1" applyAlignment="1" applyProtection="1">
      <alignment horizontal="left" vertical="center" wrapText="1"/>
      <protection locked="0"/>
    </xf>
    <xf numFmtId="0" fontId="23" fillId="5" borderId="54" xfId="0" applyFont="1" applyFill="1" applyBorder="1" applyAlignment="1" applyProtection="1">
      <alignment vertical="center"/>
      <protection locked="0"/>
    </xf>
    <xf numFmtId="0" fontId="23" fillId="5" borderId="0" xfId="0" applyFont="1" applyFill="1" applyBorder="1" applyAlignment="1" applyProtection="1">
      <alignment horizontal="left" vertical="center"/>
      <protection locked="0"/>
    </xf>
    <xf numFmtId="0" fontId="23" fillId="5" borderId="18" xfId="0" applyFont="1" applyFill="1" applyBorder="1" applyAlignment="1" applyProtection="1">
      <alignment vertical="center"/>
      <protection locked="0"/>
    </xf>
    <xf numFmtId="165" fontId="17" fillId="4" borderId="1" xfId="1" applyNumberFormat="1" applyFont="1" applyFill="1" applyBorder="1" applyAlignment="1" applyProtection="1">
      <alignment horizontal="left" vertical="center"/>
      <protection locked="0"/>
    </xf>
    <xf numFmtId="0" fontId="17" fillId="19" borderId="1" xfId="0" applyFont="1" applyFill="1" applyBorder="1" applyAlignment="1" applyProtection="1">
      <alignment horizontal="left"/>
      <protection locked="0"/>
    </xf>
    <xf numFmtId="0" fontId="17" fillId="19" borderId="1" xfId="0" applyFont="1" applyFill="1" applyBorder="1" applyAlignment="1" applyProtection="1">
      <alignment horizontal="center"/>
      <protection locked="0"/>
    </xf>
    <xf numFmtId="0" fontId="16" fillId="19" borderId="1" xfId="0" applyFont="1" applyFill="1" applyBorder="1" applyAlignment="1" applyProtection="1">
      <alignment horizontal="left" wrapText="1"/>
      <protection locked="0"/>
    </xf>
    <xf numFmtId="0" fontId="16" fillId="0" borderId="1" xfId="0" applyFont="1" applyFill="1" applyBorder="1" applyAlignment="1" applyProtection="1">
      <alignment horizontal="left" wrapText="1"/>
      <protection locked="0"/>
    </xf>
    <xf numFmtId="0" fontId="16" fillId="19" borderId="1" xfId="0" applyFont="1" applyFill="1" applyBorder="1" applyAlignment="1" applyProtection="1">
      <alignment horizontal="left"/>
      <protection locked="0"/>
    </xf>
    <xf numFmtId="165" fontId="16" fillId="19" borderId="1" xfId="1" applyNumberFormat="1" applyFont="1" applyFill="1" applyBorder="1" applyAlignment="1" applyProtection="1">
      <alignment horizontal="right"/>
    </xf>
    <xf numFmtId="179" fontId="17" fillId="4" borderId="1" xfId="1" applyNumberFormat="1" applyFont="1" applyFill="1" applyBorder="1" applyAlignment="1" applyProtection="1">
      <alignment horizontal="center" vertical="center" wrapText="1"/>
    </xf>
    <xf numFmtId="0" fontId="23" fillId="5" borderId="0" xfId="0" applyFont="1" applyFill="1" applyBorder="1" applyAlignment="1" applyProtection="1">
      <alignment vertical="center"/>
      <protection locked="0"/>
    </xf>
    <xf numFmtId="0" fontId="23" fillId="5" borderId="0" xfId="0" applyFont="1" applyFill="1" applyBorder="1" applyAlignment="1" applyProtection="1">
      <alignment horizontal="center" vertical="center"/>
      <protection locked="0"/>
    </xf>
    <xf numFmtId="0" fontId="25" fillId="5" borderId="45" xfId="0" applyFont="1" applyFill="1" applyBorder="1" applyAlignment="1" applyProtection="1">
      <alignment vertical="center"/>
      <protection locked="0"/>
    </xf>
    <xf numFmtId="0" fontId="23" fillId="5" borderId="30" xfId="0" applyFont="1" applyFill="1" applyBorder="1" applyAlignment="1" applyProtection="1">
      <alignment vertical="center"/>
      <protection locked="0"/>
    </xf>
    <xf numFmtId="0" fontId="24" fillId="5" borderId="31" xfId="0" applyFont="1" applyFill="1" applyBorder="1" applyAlignment="1" applyProtection="1">
      <alignment vertical="center"/>
      <protection locked="0"/>
    </xf>
    <xf numFmtId="0" fontId="16" fillId="0" borderId="1" xfId="0" applyFont="1" applyBorder="1" applyAlignment="1" applyProtection="1">
      <alignment horizontal="center"/>
      <protection locked="0"/>
    </xf>
    <xf numFmtId="0" fontId="16" fillId="0" borderId="1" xfId="0" applyFont="1" applyBorder="1" applyProtection="1">
      <protection locked="0"/>
    </xf>
    <xf numFmtId="10" fontId="16" fillId="0" borderId="1" xfId="0" applyNumberFormat="1" applyFont="1" applyBorder="1" applyAlignment="1" applyProtection="1">
      <alignment horizontal="center" wrapText="1"/>
      <protection locked="0"/>
    </xf>
    <xf numFmtId="165" fontId="22" fillId="4" borderId="1" xfId="1" applyNumberFormat="1" applyFont="1" applyFill="1" applyBorder="1" applyAlignment="1" applyProtection="1">
      <alignment horizontal="left" vertical="center"/>
      <protection locked="0"/>
    </xf>
    <xf numFmtId="165" fontId="22" fillId="4" borderId="1" xfId="1" applyNumberFormat="1" applyFont="1" applyFill="1" applyBorder="1" applyAlignment="1" applyProtection="1">
      <alignment horizontal="center" vertical="center"/>
      <protection locked="0"/>
    </xf>
    <xf numFmtId="0" fontId="26" fillId="9" borderId="1" xfId="0" applyFont="1" applyFill="1" applyBorder="1" applyAlignment="1" applyProtection="1">
      <alignment horizontal="left" vertical="center"/>
      <protection locked="0"/>
    </xf>
    <xf numFmtId="0" fontId="26" fillId="19" borderId="0" xfId="0" applyFont="1" applyFill="1" applyBorder="1" applyProtection="1">
      <protection locked="0"/>
    </xf>
    <xf numFmtId="0" fontId="22" fillId="19" borderId="1" xfId="0" applyFont="1" applyFill="1" applyBorder="1" applyProtection="1">
      <protection locked="0"/>
    </xf>
    <xf numFmtId="0" fontId="26" fillId="19" borderId="0" xfId="0" applyFont="1" applyFill="1" applyProtection="1">
      <protection locked="0"/>
    </xf>
    <xf numFmtId="0" fontId="26" fillId="19" borderId="25" xfId="0" applyFont="1" applyFill="1" applyBorder="1" applyProtection="1">
      <protection locked="0"/>
    </xf>
    <xf numFmtId="0" fontId="26" fillId="19" borderId="27" xfId="0" applyFont="1" applyFill="1" applyBorder="1" applyProtection="1">
      <protection locked="0"/>
    </xf>
    <xf numFmtId="0" fontId="26" fillId="19" borderId="22" xfId="0" applyFont="1" applyFill="1" applyBorder="1" applyProtection="1">
      <protection locked="0"/>
    </xf>
    <xf numFmtId="0" fontId="26" fillId="19" borderId="5" xfId="0" applyFont="1" applyFill="1" applyBorder="1" applyProtection="1">
      <protection locked="0"/>
    </xf>
    <xf numFmtId="0" fontId="26" fillId="19" borderId="7" xfId="0" applyFont="1" applyFill="1" applyBorder="1" applyProtection="1">
      <protection locked="0"/>
    </xf>
    <xf numFmtId="0" fontId="26" fillId="19" borderId="8" xfId="0" applyFont="1" applyFill="1" applyBorder="1" applyProtection="1">
      <protection locked="0"/>
    </xf>
    <xf numFmtId="0" fontId="26" fillId="19" borderId="9" xfId="0" applyFont="1" applyFill="1" applyBorder="1" applyProtection="1">
      <protection locked="0"/>
    </xf>
    <xf numFmtId="3" fontId="26" fillId="3" borderId="1" xfId="0" applyNumberFormat="1" applyFont="1" applyFill="1" applyBorder="1" applyProtection="1"/>
    <xf numFmtId="10" fontId="16" fillId="19" borderId="1" xfId="0" applyNumberFormat="1" applyFont="1" applyFill="1" applyBorder="1" applyProtection="1"/>
    <xf numFmtId="0" fontId="23" fillId="5" borderId="55" xfId="0" applyFont="1" applyFill="1" applyBorder="1" applyAlignment="1" applyProtection="1">
      <alignment vertical="center"/>
      <protection locked="0"/>
    </xf>
    <xf numFmtId="0" fontId="23" fillId="5" borderId="45" xfId="0" applyFont="1" applyFill="1" applyBorder="1" applyAlignment="1" applyProtection="1">
      <alignment horizontal="left" vertical="center"/>
      <protection locked="0"/>
    </xf>
    <xf numFmtId="0" fontId="23" fillId="5" borderId="46" xfId="0" applyFont="1" applyFill="1" applyBorder="1" applyAlignment="1" applyProtection="1">
      <alignment vertical="center"/>
      <protection locked="0"/>
    </xf>
    <xf numFmtId="0" fontId="17" fillId="4" borderId="5" xfId="5" applyFont="1" applyFill="1" applyBorder="1" applyAlignment="1" applyProtection="1">
      <alignment horizontal="left" vertical="center"/>
      <protection locked="0"/>
    </xf>
    <xf numFmtId="0" fontId="17" fillId="4" borderId="5" xfId="5" applyFont="1" applyFill="1" applyBorder="1" applyAlignment="1" applyProtection="1">
      <alignment horizontal="left"/>
      <protection locked="0"/>
    </xf>
    <xf numFmtId="0" fontId="16" fillId="9" borderId="5" xfId="0" applyFont="1" applyFill="1" applyBorder="1" applyAlignment="1" applyProtection="1">
      <alignment horizontal="left" vertical="center"/>
      <protection locked="0"/>
    </xf>
    <xf numFmtId="0" fontId="16" fillId="4" borderId="5" xfId="5" applyFont="1" applyFill="1" applyBorder="1" applyAlignment="1" applyProtection="1">
      <alignment horizontal="left"/>
      <protection locked="0"/>
    </xf>
    <xf numFmtId="3" fontId="17" fillId="19" borderId="1" xfId="5" applyNumberFormat="1" applyFont="1" applyFill="1" applyBorder="1" applyAlignment="1" applyProtection="1">
      <alignment horizontal="center"/>
      <protection locked="0"/>
    </xf>
    <xf numFmtId="1" fontId="16" fillId="19" borderId="0" xfId="5" applyNumberFormat="1" applyFont="1" applyFill="1" applyAlignment="1" applyProtection="1">
      <alignment horizontal="center"/>
      <protection locked="0"/>
    </xf>
    <xf numFmtId="0" fontId="17" fillId="19" borderId="0" xfId="5" applyFont="1" applyFill="1" applyAlignment="1" applyProtection="1">
      <alignment horizontal="center"/>
      <protection locked="0"/>
    </xf>
    <xf numFmtId="0" fontId="17" fillId="4" borderId="7" xfId="5" applyFont="1" applyFill="1" applyBorder="1" applyAlignment="1" applyProtection="1">
      <alignment horizontal="left"/>
      <protection locked="0"/>
    </xf>
    <xf numFmtId="0" fontId="16" fillId="19" borderId="0" xfId="0" applyFont="1" applyFill="1" applyAlignment="1" applyProtection="1">
      <alignment horizontal="left"/>
      <protection locked="0"/>
    </xf>
    <xf numFmtId="179" fontId="22" fillId="4" borderId="6" xfId="1" applyNumberFormat="1" applyFont="1" applyFill="1" applyBorder="1" applyAlignment="1" applyProtection="1">
      <alignment horizontal="center" vertical="center" wrapText="1"/>
    </xf>
    <xf numFmtId="3" fontId="16" fillId="26" borderId="1" xfId="14" applyNumberFormat="1" applyFont="1" applyFill="1" applyBorder="1" applyAlignment="1" applyProtection="1">
      <alignment horizontal="center"/>
    </xf>
    <xf numFmtId="3" fontId="16" fillId="26" borderId="6" xfId="14" applyNumberFormat="1" applyFont="1" applyFill="1" applyBorder="1" applyAlignment="1" applyProtection="1">
      <alignment horizontal="center"/>
    </xf>
    <xf numFmtId="0" fontId="17" fillId="19" borderId="5" xfId="0" applyFont="1" applyFill="1" applyBorder="1" applyAlignment="1" applyProtection="1">
      <alignment horizontal="left"/>
      <protection locked="0"/>
    </xf>
    <xf numFmtId="0" fontId="17" fillId="19" borderId="6" xfId="0" applyFont="1" applyFill="1" applyBorder="1" applyAlignment="1" applyProtection="1">
      <alignment horizontal="center"/>
      <protection locked="0"/>
    </xf>
    <xf numFmtId="0" fontId="16" fillId="19" borderId="5" xfId="0" applyFont="1" applyFill="1" applyBorder="1" applyAlignment="1" applyProtection="1">
      <alignment horizontal="left" wrapText="1"/>
      <protection locked="0"/>
    </xf>
    <xf numFmtId="0" fontId="16" fillId="19" borderId="5" xfId="0" applyFont="1" applyFill="1" applyBorder="1" applyAlignment="1" applyProtection="1">
      <alignment horizontal="left"/>
      <protection locked="0"/>
    </xf>
    <xf numFmtId="0" fontId="17" fillId="19" borderId="7" xfId="0" applyFont="1" applyFill="1" applyBorder="1" applyAlignment="1" applyProtection="1">
      <alignment horizontal="left"/>
      <protection locked="0"/>
    </xf>
    <xf numFmtId="0" fontId="17" fillId="19" borderId="0" xfId="0" applyFont="1" applyFill="1" applyProtection="1">
      <protection locked="0"/>
    </xf>
    <xf numFmtId="0" fontId="0" fillId="19" borderId="1" xfId="0" applyFill="1" applyBorder="1" applyAlignment="1" applyProtection="1">
      <alignment horizontal="left"/>
      <protection locked="0"/>
    </xf>
    <xf numFmtId="0" fontId="0" fillId="19" borderId="1" xfId="0" applyFill="1" applyBorder="1" applyProtection="1">
      <protection locked="0"/>
    </xf>
    <xf numFmtId="0" fontId="57" fillId="19" borderId="1" xfId="0" applyFont="1" applyFill="1" applyBorder="1" applyAlignment="1" applyProtection="1">
      <alignment horizontal="left"/>
      <protection locked="0"/>
    </xf>
    <xf numFmtId="0" fontId="57" fillId="19" borderId="1" xfId="0" applyFont="1" applyFill="1" applyBorder="1" applyAlignment="1" applyProtection="1">
      <alignment horizontal="center"/>
      <protection locked="0"/>
    </xf>
    <xf numFmtId="0" fontId="16" fillId="19" borderId="1" xfId="12" applyFont="1" applyFill="1" applyBorder="1" applyAlignment="1" applyProtection="1">
      <alignment horizontal="left"/>
      <protection locked="0"/>
    </xf>
    <xf numFmtId="1" fontId="0" fillId="19" borderId="1" xfId="0" applyNumberFormat="1" applyFill="1" applyBorder="1" applyAlignment="1" applyProtection="1">
      <alignment horizontal="center"/>
      <protection locked="0"/>
    </xf>
    <xf numFmtId="168" fontId="57" fillId="19" borderId="1" xfId="0" applyNumberFormat="1" applyFont="1" applyFill="1" applyBorder="1" applyAlignment="1" applyProtection="1">
      <alignment horizontal="left"/>
      <protection locked="0"/>
    </xf>
    <xf numFmtId="168" fontId="16" fillId="19" borderId="1" xfId="12" applyNumberFormat="1" applyFont="1" applyFill="1" applyBorder="1" applyAlignment="1" applyProtection="1">
      <alignment horizontal="left"/>
      <protection locked="0"/>
    </xf>
    <xf numFmtId="1" fontId="57" fillId="19" borderId="1" xfId="0" applyNumberFormat="1" applyFont="1" applyFill="1" applyBorder="1" applyAlignment="1" applyProtection="1">
      <alignment horizontal="center"/>
      <protection locked="0"/>
    </xf>
    <xf numFmtId="165" fontId="16" fillId="19" borderId="6" xfId="1" applyNumberFormat="1" applyFont="1" applyFill="1" applyBorder="1" applyAlignment="1" applyProtection="1">
      <alignment horizontal="right"/>
    </xf>
    <xf numFmtId="165" fontId="16" fillId="19" borderId="9" xfId="1" applyNumberFormat="1" applyFont="1" applyFill="1" applyBorder="1" applyAlignment="1" applyProtection="1">
      <alignment horizontal="right"/>
    </xf>
    <xf numFmtId="0" fontId="0" fillId="19" borderId="1" xfId="0" applyFill="1" applyBorder="1" applyProtection="1"/>
    <xf numFmtId="0" fontId="24" fillId="5" borderId="54" xfId="0" applyFont="1" applyFill="1" applyBorder="1" applyProtection="1">
      <protection locked="0"/>
    </xf>
    <xf numFmtId="0" fontId="24" fillId="5" borderId="55" xfId="0" applyFont="1" applyFill="1" applyBorder="1" applyProtection="1">
      <protection locked="0"/>
    </xf>
    <xf numFmtId="0" fontId="24" fillId="5" borderId="30" xfId="0" applyFont="1" applyFill="1" applyBorder="1" applyProtection="1">
      <protection locked="0"/>
    </xf>
    <xf numFmtId="0" fontId="24" fillId="5" borderId="31" xfId="0" applyFont="1" applyFill="1" applyBorder="1" applyProtection="1">
      <protection locked="0"/>
    </xf>
    <xf numFmtId="0" fontId="22" fillId="11" borderId="1" xfId="16" applyFont="1" applyFill="1" applyBorder="1" applyAlignment="1" applyProtection="1">
      <alignment horizontal="center" vertical="center"/>
      <protection locked="0"/>
    </xf>
    <xf numFmtId="0" fontId="22" fillId="9" borderId="5" xfId="16" applyFont="1" applyFill="1" applyBorder="1" applyAlignment="1" applyProtection="1">
      <alignment horizontal="left" vertical="center"/>
      <protection locked="0"/>
    </xf>
    <xf numFmtId="170" fontId="22" fillId="11" borderId="1" xfId="16" applyNumberFormat="1" applyFont="1" applyFill="1" applyBorder="1" applyAlignment="1" applyProtection="1">
      <alignment horizontal="center" vertical="center"/>
      <protection locked="0"/>
    </xf>
    <xf numFmtId="0" fontId="22" fillId="9" borderId="4" xfId="16" applyFont="1" applyFill="1" applyBorder="1" applyAlignment="1" applyProtection="1">
      <alignment horizontal="center" vertical="center"/>
      <protection locked="0"/>
    </xf>
    <xf numFmtId="0" fontId="26" fillId="9" borderId="23" xfId="16" applyFont="1" applyFill="1" applyBorder="1" applyAlignment="1" applyProtection="1">
      <alignment horizontal="left" vertical="center"/>
      <protection locked="0"/>
    </xf>
    <xf numFmtId="0" fontId="26" fillId="9" borderId="23" xfId="0" applyFont="1" applyFill="1" applyBorder="1" applyAlignment="1" applyProtection="1">
      <alignment horizontal="left" vertical="center" indent="1"/>
      <protection locked="0"/>
    </xf>
    <xf numFmtId="0" fontId="26" fillId="3" borderId="58" xfId="16" applyFont="1" applyFill="1" applyBorder="1" applyAlignment="1" applyProtection="1">
      <alignment vertical="center"/>
      <protection locked="0"/>
    </xf>
    <xf numFmtId="37" fontId="26" fillId="3" borderId="27" xfId="1" applyNumberFormat="1" applyFont="1" applyFill="1" applyBorder="1" applyAlignment="1" applyProtection="1">
      <alignment horizontal="left" vertical="center"/>
      <protection locked="0"/>
    </xf>
    <xf numFmtId="37" fontId="26" fillId="3" borderId="5" xfId="1" applyNumberFormat="1" applyFont="1" applyFill="1" applyBorder="1" applyAlignment="1" applyProtection="1">
      <alignment horizontal="left" vertical="center"/>
      <protection locked="0"/>
    </xf>
    <xf numFmtId="37" fontId="26" fillId="3" borderId="1" xfId="1" applyNumberFormat="1" applyFont="1" applyFill="1" applyBorder="1" applyAlignment="1" applyProtection="1">
      <alignment horizontal="left" vertical="center"/>
      <protection locked="0"/>
    </xf>
    <xf numFmtId="37" fontId="26" fillId="3" borderId="8" xfId="1" applyNumberFormat="1" applyFont="1" applyFill="1" applyBorder="1" applyAlignment="1" applyProtection="1">
      <alignment vertical="center"/>
      <protection locked="0"/>
    </xf>
    <xf numFmtId="169" fontId="26" fillId="36" borderId="1" xfId="16" applyNumberFormat="1" applyFont="1" applyFill="1" applyBorder="1" applyAlignment="1" applyProtection="1">
      <alignment horizontal="center" vertical="center"/>
      <protection locked="0"/>
    </xf>
    <xf numFmtId="169" fontId="26" fillId="0" borderId="0" xfId="16" applyNumberFormat="1" applyFont="1" applyBorder="1" applyAlignment="1" applyProtection="1">
      <alignment horizontal="center" vertical="center"/>
      <protection locked="0"/>
    </xf>
    <xf numFmtId="37" fontId="26" fillId="0" borderId="45" xfId="1" applyNumberFormat="1" applyFont="1" applyFill="1" applyBorder="1" applyAlignment="1" applyProtection="1">
      <alignment horizontal="center" vertical="center"/>
      <protection locked="0"/>
    </xf>
    <xf numFmtId="0" fontId="26" fillId="0" borderId="45" xfId="16" applyFont="1" applyBorder="1" applyProtection="1"/>
    <xf numFmtId="3" fontId="26" fillId="0" borderId="57" xfId="16" applyNumberFormat="1" applyFont="1" applyBorder="1" applyProtection="1"/>
    <xf numFmtId="3" fontId="26" fillId="0" borderId="6" xfId="1" applyNumberFormat="1" applyFont="1" applyBorder="1" applyAlignment="1" applyProtection="1">
      <alignment horizontal="center" vertical="center"/>
    </xf>
    <xf numFmtId="37" fontId="26" fillId="36" borderId="22" xfId="1" applyNumberFormat="1" applyFont="1" applyFill="1" applyBorder="1" applyAlignment="1" applyProtection="1">
      <alignment horizontal="center" vertical="center"/>
    </xf>
    <xf numFmtId="3" fontId="26" fillId="0" borderId="1" xfId="1" applyNumberFormat="1" applyFont="1" applyBorder="1" applyAlignment="1" applyProtection="1">
      <alignment horizontal="center" vertical="center"/>
    </xf>
    <xf numFmtId="40" fontId="26" fillId="36" borderId="21" xfId="16" applyNumberFormat="1" applyFont="1" applyFill="1" applyBorder="1" applyAlignment="1" applyProtection="1">
      <alignment horizontal="center" vertical="center"/>
    </xf>
    <xf numFmtId="4" fontId="26" fillId="36" borderId="1" xfId="16" applyNumberFormat="1" applyFont="1" applyFill="1" applyBorder="1" applyAlignment="1" applyProtection="1">
      <alignment horizontal="center" vertical="center"/>
    </xf>
    <xf numFmtId="37" fontId="26" fillId="36" borderId="27" xfId="1" applyNumberFormat="1" applyFont="1" applyFill="1" applyBorder="1" applyAlignment="1" applyProtection="1">
      <alignment horizontal="center" vertical="center"/>
    </xf>
    <xf numFmtId="10" fontId="26" fillId="36" borderId="1" xfId="4" applyNumberFormat="1" applyFont="1" applyFill="1" applyBorder="1" applyAlignment="1" applyProtection="1">
      <alignment horizontal="center" vertical="center"/>
    </xf>
    <xf numFmtId="3" fontId="22" fillId="36" borderId="9" xfId="16" applyNumberFormat="1" applyFont="1" applyFill="1" applyBorder="1" applyAlignment="1" applyProtection="1">
      <alignment horizontal="center" vertical="center"/>
    </xf>
    <xf numFmtId="169" fontId="26" fillId="36" borderId="1" xfId="16" applyNumberFormat="1" applyFont="1" applyFill="1" applyBorder="1" applyAlignment="1" applyProtection="1">
      <alignment horizontal="center" vertical="center"/>
    </xf>
    <xf numFmtId="165" fontId="22" fillId="11" borderId="1" xfId="1" applyNumberFormat="1" applyFont="1" applyFill="1" applyBorder="1" applyAlignment="1" applyProtection="1">
      <alignment horizontal="center" vertical="center"/>
      <protection locked="0"/>
    </xf>
    <xf numFmtId="0" fontId="26" fillId="9" borderId="1" xfId="16" applyFont="1" applyFill="1" applyBorder="1" applyAlignment="1" applyProtection="1">
      <alignment horizontal="left" vertical="center"/>
      <protection locked="0"/>
    </xf>
    <xf numFmtId="0" fontId="22" fillId="11" borderId="1" xfId="16" applyFont="1" applyFill="1" applyBorder="1" applyAlignment="1" applyProtection="1">
      <alignment horizontal="center" vertical="center" wrapText="1"/>
      <protection locked="0"/>
    </xf>
    <xf numFmtId="0" fontId="26" fillId="9" borderId="1" xfId="16" applyFont="1" applyFill="1" applyBorder="1" applyAlignment="1" applyProtection="1">
      <alignment horizontal="right" vertical="center"/>
      <protection locked="0"/>
    </xf>
    <xf numFmtId="0" fontId="22" fillId="9" borderId="26" xfId="16" applyFont="1" applyFill="1" applyBorder="1" applyAlignment="1" applyProtection="1">
      <alignment horizontal="left" vertical="center"/>
      <protection locked="0"/>
    </xf>
    <xf numFmtId="0" fontId="22" fillId="9" borderId="1" xfId="16" applyFont="1" applyFill="1" applyBorder="1" applyAlignment="1" applyProtection="1">
      <alignment horizontal="center" vertical="center"/>
      <protection locked="0"/>
    </xf>
    <xf numFmtId="0" fontId="22" fillId="9" borderId="1" xfId="16" applyFont="1" applyFill="1" applyBorder="1" applyAlignment="1" applyProtection="1">
      <alignment horizontal="left" vertical="center"/>
      <protection locked="0"/>
    </xf>
    <xf numFmtId="37" fontId="26" fillId="3" borderId="1" xfId="1" applyNumberFormat="1" applyFont="1" applyFill="1" applyBorder="1" applyAlignment="1" applyProtection="1">
      <alignment horizontal="left" vertical="center" wrapText="1"/>
      <protection locked="0"/>
    </xf>
    <xf numFmtId="37" fontId="26" fillId="3" borderId="8" xfId="1" applyNumberFormat="1" applyFont="1" applyFill="1" applyBorder="1" applyAlignment="1" applyProtection="1">
      <alignment vertical="center" wrapText="1"/>
      <protection locked="0"/>
    </xf>
    <xf numFmtId="0" fontId="26" fillId="0" borderId="0" xfId="16" applyFont="1" applyAlignment="1" applyProtection="1">
      <alignment horizontal="center" vertical="center"/>
    </xf>
    <xf numFmtId="9" fontId="17" fillId="0" borderId="33" xfId="4" applyFont="1" applyFill="1" applyBorder="1" applyAlignment="1" applyProtection="1">
      <alignment horizontal="center" vertical="center" wrapText="1"/>
    </xf>
    <xf numFmtId="10" fontId="26" fillId="19" borderId="1" xfId="16" applyNumberFormat="1" applyFont="1" applyFill="1" applyBorder="1" applyAlignment="1" applyProtection="1">
      <alignment horizontal="center" vertical="center"/>
    </xf>
    <xf numFmtId="179" fontId="22" fillId="7" borderId="1" xfId="16" applyNumberFormat="1" applyFont="1" applyFill="1" applyBorder="1" applyAlignment="1" applyProtection="1">
      <alignment horizontal="center" vertical="center"/>
    </xf>
    <xf numFmtId="3" fontId="16" fillId="42" borderId="1" xfId="16" applyNumberFormat="1" applyFill="1" applyBorder="1" applyAlignment="1" applyProtection="1">
      <alignment horizontal="center" vertical="center"/>
    </xf>
    <xf numFmtId="3" fontId="17" fillId="42" borderId="1" xfId="16" applyNumberFormat="1" applyFont="1" applyFill="1" applyBorder="1" applyAlignment="1" applyProtection="1">
      <alignment horizontal="center" vertical="center"/>
    </xf>
    <xf numFmtId="9" fontId="26" fillId="36" borderId="1" xfId="4" applyFont="1" applyFill="1" applyBorder="1" applyAlignment="1" applyProtection="1">
      <alignment horizontal="center" vertical="center"/>
    </xf>
    <xf numFmtId="169" fontId="26" fillId="36" borderId="1" xfId="16" applyNumberFormat="1" applyFont="1" applyFill="1" applyBorder="1" applyAlignment="1" applyProtection="1">
      <alignment horizontal="center" vertical="center" wrapText="1"/>
    </xf>
    <xf numFmtId="0" fontId="0" fillId="19" borderId="0" xfId="0" applyFill="1" applyAlignment="1" applyProtection="1">
      <alignment horizontal="center"/>
      <protection locked="0"/>
    </xf>
    <xf numFmtId="165" fontId="22" fillId="4" borderId="5" xfId="1" applyNumberFormat="1" applyFont="1" applyFill="1" applyBorder="1" applyAlignment="1" applyProtection="1">
      <alignment horizontal="left" vertical="center"/>
      <protection locked="0"/>
    </xf>
    <xf numFmtId="165" fontId="22" fillId="4" borderId="6" xfId="1" applyNumberFormat="1" applyFont="1" applyFill="1" applyBorder="1" applyAlignment="1" applyProtection="1">
      <alignment horizontal="left" vertical="center"/>
      <protection locked="0"/>
    </xf>
    <xf numFmtId="0" fontId="26" fillId="9" borderId="5" xfId="0" applyFont="1" applyFill="1" applyBorder="1" applyAlignment="1" applyProtection="1">
      <alignment horizontal="left" vertical="center"/>
      <protection locked="0"/>
    </xf>
    <xf numFmtId="0" fontId="26" fillId="19" borderId="45" xfId="0" applyFont="1" applyFill="1" applyBorder="1" applyProtection="1">
      <protection locked="0"/>
    </xf>
    <xf numFmtId="0" fontId="40" fillId="9" borderId="5" xfId="0" applyFont="1" applyFill="1" applyBorder="1" applyAlignment="1" applyProtection="1">
      <alignment horizontal="left" vertical="center"/>
      <protection locked="0"/>
    </xf>
    <xf numFmtId="3" fontId="26" fillId="0" borderId="0" xfId="1" applyNumberFormat="1" applyFont="1" applyFill="1" applyBorder="1" applyAlignment="1" applyProtection="1">
      <alignment horizontal="center" vertical="center"/>
      <protection locked="0"/>
    </xf>
    <xf numFmtId="3" fontId="26" fillId="19" borderId="0" xfId="1" applyNumberFormat="1" applyFont="1" applyFill="1" applyBorder="1" applyAlignment="1" applyProtection="1">
      <alignment horizontal="center" vertical="center"/>
      <protection locked="0"/>
    </xf>
    <xf numFmtId="3" fontId="26" fillId="19" borderId="45" xfId="1" applyNumberFormat="1" applyFont="1" applyFill="1" applyBorder="1" applyAlignment="1" applyProtection="1">
      <alignment horizontal="center" vertical="center"/>
      <protection locked="0"/>
    </xf>
    <xf numFmtId="0" fontId="0" fillId="19" borderId="0" xfId="0" applyFill="1" applyBorder="1" applyProtection="1">
      <protection locked="0"/>
    </xf>
    <xf numFmtId="0" fontId="26" fillId="9" borderId="15" xfId="0" applyFont="1" applyFill="1" applyBorder="1" applyAlignment="1" applyProtection="1">
      <alignment horizontal="center" vertical="center"/>
      <protection locked="0"/>
    </xf>
    <xf numFmtId="0" fontId="26" fillId="9" borderId="7" xfId="0" applyFont="1" applyFill="1" applyBorder="1" applyAlignment="1" applyProtection="1">
      <alignment horizontal="left" vertical="center"/>
      <protection locked="0"/>
    </xf>
    <xf numFmtId="0" fontId="26" fillId="19" borderId="30" xfId="0" applyFont="1" applyFill="1" applyBorder="1" applyProtection="1">
      <protection locked="0"/>
    </xf>
    <xf numFmtId="0" fontId="26" fillId="19" borderId="31" xfId="0" applyFont="1" applyFill="1" applyBorder="1" applyProtection="1">
      <protection locked="0"/>
    </xf>
    <xf numFmtId="0" fontId="16" fillId="0" borderId="5" xfId="5" applyFont="1" applyBorder="1" applyAlignment="1" applyProtection="1">
      <alignment vertical="center"/>
      <protection locked="0"/>
    </xf>
    <xf numFmtId="0" fontId="16" fillId="0" borderId="1" xfId="5" applyFont="1" applyBorder="1" applyAlignment="1" applyProtection="1">
      <alignment vertical="center" wrapText="1"/>
      <protection locked="0"/>
    </xf>
    <xf numFmtId="0" fontId="16" fillId="0" borderId="6" xfId="5" applyFont="1" applyBorder="1" applyAlignment="1" applyProtection="1">
      <alignment horizontal="center" vertical="center"/>
      <protection locked="0"/>
    </xf>
    <xf numFmtId="0" fontId="16" fillId="0" borderId="51" xfId="5" applyFont="1" applyBorder="1" applyAlignment="1" applyProtection="1">
      <alignment vertical="center"/>
      <protection locked="0"/>
    </xf>
    <xf numFmtId="0" fontId="45" fillId="14" borderId="26" xfId="5" applyFont="1" applyFill="1" applyBorder="1" applyAlignment="1" applyProtection="1">
      <alignment horizontal="center" vertical="center" wrapText="1"/>
      <protection locked="0"/>
    </xf>
    <xf numFmtId="0" fontId="46" fillId="14" borderId="1" xfId="5" applyFont="1" applyFill="1" applyBorder="1" applyAlignment="1" applyProtection="1">
      <alignment horizontal="center" vertical="center" wrapText="1"/>
      <protection locked="0"/>
    </xf>
    <xf numFmtId="0" fontId="46" fillId="14" borderId="6" xfId="5" applyFont="1" applyFill="1" applyBorder="1" applyAlignment="1" applyProtection="1">
      <alignment horizontal="center" vertical="center" wrapText="1"/>
      <protection locked="0"/>
    </xf>
    <xf numFmtId="0" fontId="16" fillId="4" borderId="5" xfId="5" applyFont="1" applyFill="1" applyBorder="1" applyAlignment="1" applyProtection="1">
      <alignment vertical="center"/>
      <protection locked="0"/>
    </xf>
    <xf numFmtId="9" fontId="16" fillId="0" borderId="1" xfId="5" applyNumberFormat="1" applyFont="1" applyBorder="1" applyAlignment="1" applyProtection="1">
      <alignment horizontal="center" vertical="center"/>
      <protection locked="0"/>
    </xf>
    <xf numFmtId="0" fontId="16" fillId="24" borderId="1" xfId="5" applyFont="1" applyFill="1" applyBorder="1" applyAlignment="1" applyProtection="1">
      <alignment horizontal="center" vertical="center"/>
      <protection locked="0"/>
    </xf>
    <xf numFmtId="0" fontId="16" fillId="24" borderId="6" xfId="5" applyFont="1" applyFill="1" applyBorder="1" applyAlignment="1" applyProtection="1">
      <alignment horizontal="center" vertical="center"/>
      <protection locked="0"/>
    </xf>
    <xf numFmtId="0" fontId="16" fillId="4" borderId="5" xfId="5" applyFont="1" applyFill="1" applyBorder="1" applyAlignment="1" applyProtection="1">
      <alignment vertical="center" wrapText="1"/>
      <protection locked="0"/>
    </xf>
    <xf numFmtId="0" fontId="16" fillId="4" borderId="5" xfId="5" applyFont="1" applyFill="1" applyBorder="1" applyAlignment="1" applyProtection="1">
      <alignment horizontal="left" vertical="center" wrapText="1"/>
      <protection locked="0"/>
    </xf>
    <xf numFmtId="9" fontId="16" fillId="0" borderId="1" xfId="5" applyNumberFormat="1" applyFont="1" applyFill="1" applyBorder="1" applyAlignment="1" applyProtection="1">
      <alignment horizontal="center" vertical="center"/>
      <protection locked="0"/>
    </xf>
    <xf numFmtId="9" fontId="16" fillId="25" borderId="1" xfId="5" applyNumberFormat="1" applyFont="1" applyFill="1" applyBorder="1" applyAlignment="1" applyProtection="1">
      <alignment horizontal="center" vertical="center"/>
      <protection locked="0"/>
    </xf>
    <xf numFmtId="0" fontId="17" fillId="24" borderId="1" xfId="5" applyFont="1" applyFill="1" applyBorder="1" applyAlignment="1" applyProtection="1">
      <alignment horizontal="center" vertical="center"/>
      <protection locked="0"/>
    </xf>
    <xf numFmtId="0" fontId="17" fillId="24" borderId="6" xfId="5" applyFont="1" applyFill="1" applyBorder="1" applyAlignment="1" applyProtection="1">
      <alignment horizontal="center" vertical="center"/>
      <protection locked="0"/>
    </xf>
    <xf numFmtId="165" fontId="16" fillId="24" borderId="1" xfId="1" applyNumberFormat="1" applyFont="1" applyFill="1" applyBorder="1" applyAlignment="1" applyProtection="1">
      <alignment horizontal="center" vertical="center"/>
      <protection locked="0"/>
    </xf>
    <xf numFmtId="0" fontId="16" fillId="0" borderId="5" xfId="0" applyFont="1" applyBorder="1" applyProtection="1">
      <protection locked="0"/>
    </xf>
    <xf numFmtId="0" fontId="16" fillId="0" borderId="1" xfId="0" applyFont="1" applyFill="1" applyBorder="1" applyProtection="1">
      <protection locked="0"/>
    </xf>
    <xf numFmtId="0" fontId="16" fillId="0" borderId="0" xfId="5" applyFont="1" applyBorder="1" applyAlignment="1" applyProtection="1">
      <alignment horizontal="center" vertical="center"/>
      <protection locked="0"/>
    </xf>
    <xf numFmtId="0" fontId="16" fillId="0" borderId="5" xfId="0" applyFont="1" applyFill="1" applyBorder="1" applyProtection="1">
      <protection locked="0"/>
    </xf>
    <xf numFmtId="10" fontId="48" fillId="24" borderId="1" xfId="9" applyNumberFormat="1" applyFont="1" applyFill="1" applyBorder="1" applyAlignment="1" applyProtection="1">
      <protection locked="0"/>
    </xf>
    <xf numFmtId="164" fontId="16" fillId="24" borderId="1" xfId="1" applyFont="1" applyFill="1" applyBorder="1" applyAlignment="1" applyProtection="1">
      <protection locked="0"/>
    </xf>
    <xf numFmtId="0" fontId="16" fillId="0" borderId="43" xfId="0" applyFont="1" applyFill="1" applyBorder="1" applyProtection="1">
      <protection locked="0"/>
    </xf>
    <xf numFmtId="0" fontId="17" fillId="0" borderId="43" xfId="0" applyFont="1" applyFill="1" applyBorder="1" applyProtection="1">
      <protection locked="0"/>
    </xf>
    <xf numFmtId="165" fontId="17" fillId="24" borderId="1" xfId="1" applyNumberFormat="1" applyFont="1" applyFill="1" applyBorder="1" applyAlignment="1" applyProtection="1">
      <protection locked="0"/>
    </xf>
    <xf numFmtId="0" fontId="17" fillId="0" borderId="0" xfId="5" applyFont="1" applyBorder="1" applyAlignment="1" applyProtection="1">
      <alignment vertical="center"/>
      <protection locked="0"/>
    </xf>
    <xf numFmtId="0" fontId="0" fillId="0" borderId="51" xfId="0" applyBorder="1" applyProtection="1">
      <protection locked="0"/>
    </xf>
    <xf numFmtId="0" fontId="0" fillId="0" borderId="0" xfId="0" applyBorder="1" applyAlignment="1" applyProtection="1">
      <protection locked="0"/>
    </xf>
    <xf numFmtId="0" fontId="55" fillId="0" borderId="0" xfId="8" applyFont="1" applyBorder="1" applyProtection="1">
      <protection locked="0"/>
    </xf>
    <xf numFmtId="0" fontId="17" fillId="0" borderId="1" xfId="8" applyFont="1" applyBorder="1" applyAlignment="1" applyProtection="1">
      <alignment horizontal="center" vertical="center"/>
      <protection locked="0"/>
    </xf>
    <xf numFmtId="0" fontId="16" fillId="0" borderId="0" xfId="8" applyFont="1" applyBorder="1" applyProtection="1">
      <protection locked="0"/>
    </xf>
    <xf numFmtId="0" fontId="43" fillId="0" borderId="15" xfId="0" applyFont="1" applyBorder="1" applyAlignment="1" applyProtection="1">
      <alignment horizontal="left" vertical="center"/>
      <protection locked="0"/>
    </xf>
    <xf numFmtId="0" fontId="43" fillId="0" borderId="2" xfId="0" applyFont="1" applyBorder="1" applyAlignment="1" applyProtection="1">
      <alignment horizontal="left" vertical="center"/>
      <protection locked="0"/>
    </xf>
    <xf numFmtId="0" fontId="43" fillId="0" borderId="16" xfId="0" applyFont="1" applyBorder="1" applyAlignment="1" applyProtection="1">
      <alignment horizontal="left" vertical="center"/>
      <protection locked="0"/>
    </xf>
    <xf numFmtId="0" fontId="16" fillId="0" borderId="5" xfId="8" applyFont="1" applyBorder="1" applyAlignment="1" applyProtection="1">
      <alignment horizontal="left"/>
      <protection locked="0"/>
    </xf>
    <xf numFmtId="0" fontId="16" fillId="0" borderId="2" xfId="0" applyFont="1" applyBorder="1" applyAlignment="1" applyProtection="1">
      <alignment horizontal="left" vertical="center"/>
      <protection locked="0"/>
    </xf>
    <xf numFmtId="0" fontId="16" fillId="0" borderId="16" xfId="0" applyFont="1" applyBorder="1" applyAlignment="1" applyProtection="1">
      <alignment horizontal="left" vertical="center"/>
      <protection locked="0"/>
    </xf>
    <xf numFmtId="0" fontId="43" fillId="24" borderId="1" xfId="0" applyFont="1" applyFill="1" applyBorder="1" applyAlignment="1" applyProtection="1">
      <alignment horizontal="center" vertical="center"/>
      <protection locked="0"/>
    </xf>
    <xf numFmtId="0" fontId="49" fillId="3" borderId="5" xfId="8" applyFont="1" applyFill="1" applyBorder="1" applyAlignment="1" applyProtection="1">
      <alignment horizontal="left"/>
      <protection locked="0"/>
    </xf>
    <xf numFmtId="0" fontId="16" fillId="24" borderId="1" xfId="0" applyFont="1" applyFill="1" applyBorder="1" applyAlignment="1" applyProtection="1">
      <protection locked="0"/>
    </xf>
    <xf numFmtId="0" fontId="44" fillId="24" borderId="1" xfId="0" applyFont="1" applyFill="1" applyBorder="1" applyAlignment="1" applyProtection="1">
      <alignment horizontal="center" vertical="center"/>
      <protection locked="0"/>
    </xf>
    <xf numFmtId="0" fontId="49" fillId="24" borderId="1" xfId="8" applyFont="1" applyFill="1" applyBorder="1" applyProtection="1">
      <protection locked="0"/>
    </xf>
    <xf numFmtId="1" fontId="20" fillId="24" borderId="1" xfId="8" applyNumberFormat="1" applyFont="1" applyFill="1" applyBorder="1" applyProtection="1">
      <protection locked="0"/>
    </xf>
    <xf numFmtId="0" fontId="20" fillId="0" borderId="51" xfId="8" applyFont="1" applyBorder="1" applyProtection="1">
      <protection locked="0"/>
    </xf>
    <xf numFmtId="0" fontId="16" fillId="0" borderId="29" xfId="5" applyFont="1" applyBorder="1" applyAlignment="1" applyProtection="1">
      <alignment vertical="center"/>
      <protection locked="0"/>
    </xf>
    <xf numFmtId="0" fontId="16" fillId="0" borderId="30" xfId="5" applyFont="1" applyBorder="1" applyAlignment="1" applyProtection="1">
      <alignment vertical="center"/>
      <protection locked="0"/>
    </xf>
    <xf numFmtId="0" fontId="16" fillId="0" borderId="30" xfId="8" applyFont="1" applyBorder="1" applyProtection="1">
      <protection locked="0"/>
    </xf>
    <xf numFmtId="0" fontId="46" fillId="19" borderId="0" xfId="60" applyFont="1" applyFill="1" applyProtection="1">
      <protection locked="0"/>
    </xf>
    <xf numFmtId="0" fontId="43" fillId="19" borderId="0" xfId="60" applyFont="1" applyFill="1" applyProtection="1">
      <protection locked="0"/>
    </xf>
    <xf numFmtId="0" fontId="46" fillId="19" borderId="0" xfId="60" applyFont="1" applyFill="1" applyAlignment="1" applyProtection="1">
      <alignment vertical="center"/>
      <protection locked="0"/>
    </xf>
    <xf numFmtId="0" fontId="43" fillId="19" borderId="0" xfId="60" applyFont="1" applyFill="1" applyAlignment="1" applyProtection="1">
      <alignment vertical="center"/>
      <protection locked="0"/>
    </xf>
    <xf numFmtId="0" fontId="43" fillId="19" borderId="80" xfId="60" applyFont="1" applyFill="1" applyBorder="1" applyAlignment="1" applyProtection="1">
      <alignment vertical="center"/>
      <protection locked="0"/>
    </xf>
    <xf numFmtId="0" fontId="43" fillId="19" borderId="80" xfId="60" applyFont="1" applyFill="1" applyBorder="1" applyProtection="1">
      <protection locked="0"/>
    </xf>
    <xf numFmtId="0" fontId="50" fillId="19" borderId="0" xfId="60" applyFont="1" applyFill="1" applyProtection="1">
      <protection locked="0"/>
    </xf>
    <xf numFmtId="0" fontId="82" fillId="19" borderId="0" xfId="60" applyFont="1" applyFill="1" applyProtection="1">
      <protection locked="0"/>
    </xf>
    <xf numFmtId="0" fontId="82" fillId="19" borderId="80" xfId="60" applyFont="1" applyFill="1" applyBorder="1" applyProtection="1">
      <protection locked="0"/>
    </xf>
    <xf numFmtId="17" fontId="36" fillId="38" borderId="1" xfId="41" applyNumberFormat="1" applyFont="1" applyFill="1" applyBorder="1" applyAlignment="1" applyProtection="1">
      <alignment horizontal="center" vertical="center" wrapText="1"/>
    </xf>
    <xf numFmtId="0" fontId="52" fillId="0" borderId="0" xfId="0" applyFont="1" applyProtection="1">
      <protection locked="0"/>
    </xf>
    <xf numFmtId="0" fontId="52" fillId="0" borderId="0" xfId="0" applyFont="1" applyAlignment="1" applyProtection="1">
      <alignment horizontal="center" vertical="center"/>
      <protection locked="0"/>
    </xf>
    <xf numFmtId="0" fontId="51" fillId="4" borderId="26" xfId="0" applyFont="1" applyFill="1" applyBorder="1" applyAlignment="1" applyProtection="1">
      <alignment horizontal="center" vertical="center" wrapText="1"/>
      <protection locked="0"/>
    </xf>
    <xf numFmtId="0" fontId="51" fillId="4" borderId="4" xfId="0" applyFont="1" applyFill="1" applyBorder="1" applyAlignment="1" applyProtection="1">
      <alignment horizontal="center" vertical="center" wrapText="1"/>
      <protection locked="0"/>
    </xf>
    <xf numFmtId="0" fontId="51" fillId="4" borderId="28" xfId="0" applyFont="1" applyFill="1" applyBorder="1" applyAlignment="1" applyProtection="1">
      <alignment horizontal="center" vertical="center" wrapText="1"/>
      <protection locked="0"/>
    </xf>
    <xf numFmtId="0" fontId="51" fillId="27" borderId="12" xfId="0" applyFont="1" applyFill="1" applyBorder="1" applyAlignment="1" applyProtection="1">
      <alignment horizontal="center" vertical="center" wrapText="1"/>
      <protection locked="0"/>
    </xf>
    <xf numFmtId="0" fontId="51" fillId="27" borderId="13" xfId="0" applyFont="1" applyFill="1" applyBorder="1" applyAlignment="1" applyProtection="1">
      <alignment horizontal="center" vertical="center" wrapText="1"/>
      <protection locked="0"/>
    </xf>
    <xf numFmtId="0" fontId="51" fillId="27" borderId="37" xfId="0" applyFont="1" applyFill="1" applyBorder="1" applyAlignment="1" applyProtection="1">
      <alignment horizontal="center" vertical="center" wrapText="1"/>
      <protection locked="0"/>
    </xf>
    <xf numFmtId="0" fontId="52" fillId="0" borderId="10" xfId="0" applyFont="1" applyBorder="1" applyProtection="1">
      <protection locked="0"/>
    </xf>
    <xf numFmtId="0" fontId="52" fillId="0" borderId="17" xfId="0" applyFont="1" applyBorder="1" applyProtection="1">
      <protection locked="0"/>
    </xf>
    <xf numFmtId="3" fontId="52" fillId="0" borderId="25" xfId="0" applyNumberFormat="1" applyFont="1" applyBorder="1" applyAlignment="1" applyProtection="1">
      <alignment horizontal="center" vertical="center"/>
      <protection locked="0"/>
    </xf>
    <xf numFmtId="3" fontId="52" fillId="0" borderId="27" xfId="0" applyNumberFormat="1" applyFont="1" applyBorder="1" applyAlignment="1" applyProtection="1">
      <alignment horizontal="center" vertical="center"/>
      <protection locked="0"/>
    </xf>
    <xf numFmtId="4" fontId="52" fillId="0" borderId="27" xfId="0" applyNumberFormat="1" applyFont="1" applyBorder="1" applyAlignment="1" applyProtection="1">
      <alignment horizontal="center" vertical="center"/>
      <protection locked="0"/>
    </xf>
    <xf numFmtId="3" fontId="52" fillId="0" borderId="27" xfId="0" applyNumberFormat="1" applyFont="1" applyBorder="1" applyProtection="1">
      <protection locked="0"/>
    </xf>
    <xf numFmtId="3" fontId="52" fillId="0" borderId="22" xfId="0" applyNumberFormat="1" applyFont="1" applyBorder="1" applyAlignment="1" applyProtection="1">
      <alignment horizontal="center" vertical="center"/>
      <protection locked="0"/>
    </xf>
    <xf numFmtId="0" fontId="52" fillId="19" borderId="25" xfId="13" applyFont="1" applyFill="1" applyBorder="1" applyAlignment="1" applyProtection="1">
      <protection locked="0"/>
    </xf>
    <xf numFmtId="0" fontId="52" fillId="19" borderId="27" xfId="13" applyFont="1" applyFill="1" applyBorder="1" applyAlignment="1" applyProtection="1">
      <protection locked="0"/>
    </xf>
    <xf numFmtId="0" fontId="52" fillId="19" borderId="22" xfId="13" applyFont="1" applyFill="1" applyBorder="1" applyAlignment="1" applyProtection="1">
      <protection locked="0"/>
    </xf>
    <xf numFmtId="0" fontId="52" fillId="0" borderId="5" xfId="0" applyFont="1" applyBorder="1" applyAlignment="1" applyProtection="1">
      <alignment horizontal="left" vertical="center"/>
      <protection locked="0"/>
    </xf>
    <xf numFmtId="0" fontId="52" fillId="0" borderId="15" xfId="0" applyFont="1" applyBorder="1" applyAlignment="1" applyProtection="1">
      <alignment horizontal="left" vertical="center"/>
      <protection locked="0"/>
    </xf>
    <xf numFmtId="3" fontId="52" fillId="0" borderId="5" xfId="0" applyNumberFormat="1" applyFont="1" applyBorder="1" applyAlignment="1" applyProtection="1">
      <alignment horizontal="center" vertical="center"/>
      <protection locked="0"/>
    </xf>
    <xf numFmtId="3" fontId="52" fillId="0" borderId="1" xfId="0" applyNumberFormat="1" applyFont="1" applyBorder="1" applyAlignment="1" applyProtection="1">
      <alignment horizontal="center" vertical="center"/>
      <protection locked="0"/>
    </xf>
    <xf numFmtId="4" fontId="52" fillId="0" borderId="1" xfId="0" applyNumberFormat="1" applyFont="1" applyBorder="1" applyAlignment="1" applyProtection="1">
      <alignment horizontal="center" vertical="center"/>
      <protection locked="0"/>
    </xf>
    <xf numFmtId="3" fontId="52" fillId="0" borderId="1" xfId="0" applyNumberFormat="1" applyFont="1" applyBorder="1" applyProtection="1">
      <protection locked="0"/>
    </xf>
    <xf numFmtId="3" fontId="52" fillId="0" borderId="6" xfId="0" applyNumberFormat="1" applyFont="1" applyBorder="1" applyAlignment="1" applyProtection="1">
      <alignment horizontal="center" vertical="center"/>
      <protection locked="0"/>
    </xf>
    <xf numFmtId="0" fontId="52" fillId="19" borderId="5" xfId="13" applyFont="1" applyFill="1" applyBorder="1" applyAlignment="1" applyProtection="1">
      <protection locked="0"/>
    </xf>
    <xf numFmtId="0" fontId="52" fillId="19" borderId="1" xfId="13" applyFont="1" applyFill="1" applyBorder="1" applyAlignment="1" applyProtection="1">
      <protection locked="0"/>
    </xf>
    <xf numFmtId="0" fontId="52" fillId="19" borderId="6" xfId="13" applyFont="1" applyFill="1" applyBorder="1" applyAlignment="1" applyProtection="1">
      <protection locked="0"/>
    </xf>
    <xf numFmtId="0" fontId="52" fillId="0" borderId="5" xfId="0" applyFont="1" applyBorder="1" applyProtection="1">
      <protection locked="0"/>
    </xf>
    <xf numFmtId="0" fontId="52" fillId="0" borderId="15" xfId="0" applyFont="1" applyBorder="1" applyProtection="1">
      <protection locked="0"/>
    </xf>
    <xf numFmtId="0" fontId="52" fillId="0" borderId="26" xfId="0" applyFont="1" applyBorder="1" applyProtection="1">
      <protection locked="0"/>
    </xf>
    <xf numFmtId="0" fontId="52" fillId="0" borderId="20" xfId="0" applyFont="1" applyBorder="1" applyProtection="1">
      <protection locked="0"/>
    </xf>
    <xf numFmtId="3" fontId="52" fillId="0" borderId="7" xfId="0" applyNumberFormat="1" applyFont="1" applyBorder="1" applyAlignment="1" applyProtection="1">
      <alignment horizontal="center" vertical="center"/>
      <protection locked="0"/>
    </xf>
    <xf numFmtId="3" fontId="52" fillId="0" borderId="8" xfId="0" applyNumberFormat="1" applyFont="1" applyBorder="1" applyAlignment="1" applyProtection="1">
      <alignment horizontal="center" vertical="center"/>
      <protection locked="0"/>
    </xf>
    <xf numFmtId="4" fontId="52" fillId="0" borderId="8" xfId="0" applyNumberFormat="1" applyFont="1" applyBorder="1" applyAlignment="1" applyProtection="1">
      <alignment horizontal="center" vertical="center"/>
      <protection locked="0"/>
    </xf>
    <xf numFmtId="3" fontId="52" fillId="0" borderId="9" xfId="0" applyNumberFormat="1" applyFont="1" applyBorder="1" applyAlignment="1" applyProtection="1">
      <alignment horizontal="center" vertical="center"/>
      <protection locked="0"/>
    </xf>
    <xf numFmtId="0" fontId="52" fillId="19" borderId="43" xfId="13" applyFont="1" applyFill="1" applyBorder="1" applyAlignment="1" applyProtection="1">
      <protection locked="0"/>
    </xf>
    <xf numFmtId="0" fontId="52" fillId="19" borderId="60" xfId="13" applyFont="1" applyFill="1" applyBorder="1" applyAlignment="1" applyProtection="1">
      <protection locked="0"/>
    </xf>
    <xf numFmtId="0" fontId="52" fillId="19" borderId="61" xfId="13" applyFont="1" applyFill="1" applyBorder="1" applyAlignment="1" applyProtection="1">
      <protection locked="0"/>
    </xf>
    <xf numFmtId="0" fontId="51" fillId="27" borderId="12" xfId="0" applyFont="1" applyFill="1" applyBorder="1" applyProtection="1">
      <protection locked="0"/>
    </xf>
    <xf numFmtId="0" fontId="51" fillId="27" borderId="14" xfId="0" applyFont="1" applyFill="1" applyBorder="1" applyProtection="1">
      <protection locked="0"/>
    </xf>
    <xf numFmtId="0" fontId="52" fillId="19" borderId="7" xfId="13" applyFont="1" applyFill="1" applyBorder="1" applyAlignment="1" applyProtection="1">
      <protection locked="0"/>
    </xf>
    <xf numFmtId="0" fontId="52" fillId="19" borderId="8" xfId="13" applyFont="1" applyFill="1" applyBorder="1" applyAlignment="1" applyProtection="1">
      <protection locked="0"/>
    </xf>
    <xf numFmtId="0" fontId="52" fillId="19" borderId="9" xfId="13" applyFont="1" applyFill="1" applyBorder="1" applyAlignment="1" applyProtection="1">
      <protection locked="0"/>
    </xf>
    <xf numFmtId="0" fontId="51" fillId="0" borderId="0" xfId="0" applyFont="1" applyBorder="1" applyProtection="1">
      <protection locked="0"/>
    </xf>
    <xf numFmtId="0" fontId="51" fillId="0" borderId="0" xfId="0" applyFont="1" applyBorder="1" applyAlignment="1" applyProtection="1">
      <alignment horizontal="center" vertical="center"/>
      <protection locked="0"/>
    </xf>
    <xf numFmtId="0" fontId="51" fillId="0" borderId="0" xfId="0" applyFont="1" applyAlignment="1" applyProtection="1">
      <alignment horizontal="center" vertical="center"/>
      <protection locked="0"/>
    </xf>
    <xf numFmtId="0" fontId="51" fillId="0" borderId="0" xfId="0" applyFont="1" applyProtection="1">
      <protection locked="0"/>
    </xf>
    <xf numFmtId="0" fontId="37" fillId="0" borderId="0" xfId="0" applyFont="1" applyProtection="1">
      <protection locked="0"/>
    </xf>
    <xf numFmtId="0" fontId="37" fillId="0" borderId="0" xfId="0" applyFont="1" applyAlignment="1" applyProtection="1">
      <alignment horizontal="center" vertical="center"/>
      <protection locked="0"/>
    </xf>
    <xf numFmtId="0" fontId="37" fillId="0" borderId="0" xfId="0" applyFont="1" applyBorder="1" applyAlignment="1" applyProtection="1">
      <alignment horizontal="center" vertical="center" wrapText="1"/>
      <protection locked="0"/>
    </xf>
    <xf numFmtId="0" fontId="37" fillId="0" borderId="0" xfId="0" applyFont="1" applyBorder="1" applyAlignment="1" applyProtection="1">
      <alignment horizontal="center" vertical="center"/>
      <protection locked="0"/>
    </xf>
    <xf numFmtId="17" fontId="54" fillId="27" borderId="5" xfId="0" applyNumberFormat="1" applyFont="1" applyFill="1" applyBorder="1" applyAlignment="1" applyProtection="1">
      <alignment horizontal="center" vertical="center"/>
      <protection locked="0"/>
    </xf>
    <xf numFmtId="0" fontId="54" fillId="0" borderId="0" xfId="0" applyFont="1" applyBorder="1" applyAlignment="1" applyProtection="1">
      <alignment horizontal="center" vertical="center"/>
      <protection locked="0"/>
    </xf>
    <xf numFmtId="10" fontId="52" fillId="0" borderId="0" xfId="0" applyNumberFormat="1" applyFont="1" applyProtection="1">
      <protection locked="0"/>
    </xf>
    <xf numFmtId="17" fontId="54" fillId="0" borderId="5" xfId="0" applyNumberFormat="1" applyFont="1" applyBorder="1" applyAlignment="1" applyProtection="1">
      <alignment horizontal="left" vertical="center"/>
      <protection locked="0"/>
    </xf>
    <xf numFmtId="17" fontId="54" fillId="0" borderId="1" xfId="0" applyNumberFormat="1" applyFont="1" applyBorder="1" applyAlignment="1" applyProtection="1">
      <alignment horizontal="center" vertical="center"/>
      <protection locked="0"/>
    </xf>
    <xf numFmtId="9" fontId="52" fillId="0" borderId="0" xfId="0" applyNumberFormat="1" applyFont="1" applyBorder="1" applyAlignment="1" applyProtection="1">
      <alignment horizontal="center"/>
      <protection locked="0"/>
    </xf>
    <xf numFmtId="17" fontId="51" fillId="27" borderId="13" xfId="0" applyNumberFormat="1" applyFont="1" applyFill="1" applyBorder="1" applyAlignment="1" applyProtection="1">
      <alignment horizontal="center" vertical="center" wrapText="1"/>
    </xf>
    <xf numFmtId="3" fontId="51" fillId="27" borderId="29" xfId="0" applyNumberFormat="1" applyFont="1" applyFill="1" applyBorder="1" applyAlignment="1" applyProtection="1">
      <alignment horizontal="center" vertical="center"/>
    </xf>
    <xf numFmtId="3" fontId="37" fillId="0" borderId="3" xfId="0" applyNumberFormat="1" applyFont="1" applyBorder="1" applyProtection="1"/>
    <xf numFmtId="3" fontId="37" fillId="0" borderId="1" xfId="0" applyNumberFormat="1" applyFont="1" applyBorder="1" applyProtection="1"/>
    <xf numFmtId="3" fontId="51" fillId="27" borderId="1" xfId="0" applyNumberFormat="1" applyFont="1" applyFill="1" applyBorder="1" applyProtection="1"/>
    <xf numFmtId="3" fontId="51" fillId="27" borderId="1" xfId="0" applyNumberFormat="1" applyFont="1" applyFill="1" applyBorder="1" applyAlignment="1" applyProtection="1">
      <alignment horizontal="center"/>
    </xf>
    <xf numFmtId="17" fontId="54" fillId="27" borderId="10" xfId="0" applyNumberFormat="1" applyFont="1" applyFill="1" applyBorder="1" applyAlignment="1" applyProtection="1">
      <alignment horizontal="center" vertical="center"/>
    </xf>
    <xf numFmtId="17" fontId="54" fillId="27" borderId="5" xfId="0" applyNumberFormat="1" applyFont="1" applyFill="1" applyBorder="1" applyAlignment="1" applyProtection="1">
      <alignment horizontal="center" vertical="center"/>
    </xf>
    <xf numFmtId="0" fontId="54" fillId="0" borderId="6" xfId="0" applyFont="1" applyBorder="1" applyAlignment="1" applyProtection="1">
      <alignment horizontal="center" vertical="center"/>
    </xf>
    <xf numFmtId="9" fontId="52" fillId="0" borderId="6" xfId="0" applyNumberFormat="1" applyFont="1" applyBorder="1" applyAlignment="1" applyProtection="1">
      <alignment horizontal="center"/>
    </xf>
    <xf numFmtId="0" fontId="25" fillId="5" borderId="37" xfId="0" applyFont="1" applyFill="1" applyBorder="1" applyAlignment="1" applyProtection="1">
      <alignment vertical="center" wrapText="1"/>
      <protection locked="0"/>
    </xf>
    <xf numFmtId="0" fontId="50" fillId="39" borderId="5" xfId="0" applyFont="1" applyFill="1" applyBorder="1" applyAlignment="1" applyProtection="1">
      <alignment vertical="center"/>
      <protection locked="0"/>
    </xf>
    <xf numFmtId="0" fontId="17" fillId="11" borderId="6" xfId="0" applyFont="1" applyFill="1" applyBorder="1" applyAlignment="1" applyProtection="1">
      <alignment horizontal="center"/>
      <protection locked="0"/>
    </xf>
    <xf numFmtId="0" fontId="50" fillId="39" borderId="5" xfId="0" applyFont="1" applyFill="1" applyBorder="1" applyAlignment="1" applyProtection="1">
      <alignment horizontal="left" vertical="center" wrapText="1"/>
      <protection locked="0"/>
    </xf>
    <xf numFmtId="0" fontId="50" fillId="39" borderId="59" xfId="0" applyFont="1" applyFill="1" applyBorder="1" applyAlignment="1" applyProtection="1">
      <alignment horizontal="left" vertical="center" wrapText="1"/>
      <protection locked="0"/>
    </xf>
    <xf numFmtId="9" fontId="17" fillId="40" borderId="20" xfId="4" applyFont="1" applyFill="1" applyBorder="1" applyAlignment="1" applyProtection="1">
      <alignment horizontal="center"/>
      <protection locked="0"/>
    </xf>
    <xf numFmtId="0" fontId="50" fillId="5" borderId="25" xfId="0" applyFont="1" applyFill="1" applyBorder="1" applyAlignment="1" applyProtection="1">
      <alignment horizontal="center" vertical="center" wrapText="1"/>
    </xf>
    <xf numFmtId="3" fontId="16" fillId="0" borderId="27" xfId="0" applyNumberFormat="1" applyFont="1" applyBorder="1" applyAlignment="1" applyProtection="1">
      <alignment horizontal="center"/>
    </xf>
    <xf numFmtId="3" fontId="16" fillId="0" borderId="1" xfId="0" applyNumberFormat="1" applyFont="1" applyBorder="1" applyAlignment="1" applyProtection="1">
      <alignment horizontal="center"/>
    </xf>
    <xf numFmtId="3" fontId="16" fillId="0" borderId="22" xfId="0" applyNumberFormat="1" applyFont="1" applyBorder="1" applyAlignment="1" applyProtection="1">
      <alignment horizontal="center"/>
    </xf>
    <xf numFmtId="3" fontId="16" fillId="0" borderId="6" xfId="0" applyNumberFormat="1" applyFont="1" applyBorder="1" applyAlignment="1" applyProtection="1">
      <alignment horizontal="center"/>
    </xf>
    <xf numFmtId="3" fontId="16" fillId="36" borderId="53" xfId="0" applyNumberFormat="1" applyFont="1" applyFill="1" applyBorder="1" applyAlignment="1" applyProtection="1">
      <alignment horizontal="center" vertical="center"/>
    </xf>
    <xf numFmtId="0" fontId="16" fillId="0" borderId="15" xfId="0" applyFont="1" applyBorder="1" applyAlignment="1" applyProtection="1">
      <alignment horizontal="center"/>
    </xf>
    <xf numFmtId="9" fontId="17" fillId="40" borderId="15" xfId="4" applyFont="1" applyFill="1" applyBorder="1" applyAlignment="1" applyProtection="1">
      <alignment horizontal="center"/>
    </xf>
    <xf numFmtId="9" fontId="17" fillId="40" borderId="20" xfId="4" applyFont="1" applyFill="1" applyBorder="1" applyAlignment="1" applyProtection="1">
      <alignment horizontal="center"/>
    </xf>
    <xf numFmtId="3" fontId="16" fillId="36" borderId="28" xfId="0" applyNumberFormat="1" applyFont="1" applyFill="1" applyBorder="1" applyAlignment="1" applyProtection="1">
      <alignment horizontal="center"/>
    </xf>
    <xf numFmtId="9" fontId="16" fillId="36" borderId="44" xfId="4" applyFill="1" applyBorder="1" applyAlignment="1" applyProtection="1">
      <alignment horizontal="center" vertical="center"/>
    </xf>
    <xf numFmtId="9" fontId="17" fillId="40" borderId="44" xfId="4" applyFont="1" applyFill="1" applyBorder="1" applyAlignment="1" applyProtection="1">
      <alignment horizontal="center" vertical="center"/>
    </xf>
    <xf numFmtId="0" fontId="16" fillId="4" borderId="1" xfId="5" applyFont="1" applyFill="1" applyBorder="1" applyAlignment="1" applyProtection="1">
      <alignment horizontal="left"/>
      <protection locked="0"/>
    </xf>
    <xf numFmtId="0" fontId="16" fillId="4" borderId="1" xfId="5" applyFont="1" applyFill="1" applyBorder="1" applyAlignment="1" applyProtection="1">
      <alignment horizontal="right"/>
      <protection locked="0"/>
    </xf>
    <xf numFmtId="0" fontId="16" fillId="4" borderId="1" xfId="5" applyFont="1" applyFill="1" applyBorder="1" applyAlignment="1" applyProtection="1">
      <alignment horizontal="left" vertical="center"/>
      <protection locked="0"/>
    </xf>
    <xf numFmtId="1" fontId="16" fillId="19" borderId="1" xfId="5" applyNumberFormat="1" applyFont="1" applyFill="1" applyBorder="1" applyAlignment="1" applyProtection="1">
      <alignment horizontal="center"/>
      <protection locked="0"/>
    </xf>
    <xf numFmtId="3" fontId="59" fillId="26" borderId="15" xfId="14" applyNumberFormat="1" applyFont="1" applyFill="1" applyBorder="1" applyAlignment="1" applyProtection="1">
      <alignment horizontal="left"/>
    </xf>
    <xf numFmtId="0" fontId="47" fillId="0" borderId="108" xfId="0" applyFont="1" applyBorder="1" applyAlignment="1" applyProtection="1">
      <alignment vertical="center"/>
      <protection locked="0"/>
    </xf>
    <xf numFmtId="0" fontId="47" fillId="30" borderId="110" xfId="0" applyFont="1" applyFill="1" applyBorder="1" applyAlignment="1" applyProtection="1">
      <alignment horizontal="center" vertical="center" wrapText="1"/>
      <protection locked="0"/>
    </xf>
    <xf numFmtId="0" fontId="47" fillId="30" borderId="77" xfId="0" applyFont="1" applyFill="1" applyBorder="1" applyAlignment="1" applyProtection="1">
      <alignment horizontal="center" vertical="center" wrapText="1"/>
      <protection locked="0"/>
    </xf>
    <xf numFmtId="49" fontId="47" fillId="30" borderId="77" xfId="0" applyNumberFormat="1" applyFont="1" applyFill="1" applyBorder="1" applyAlignment="1" applyProtection="1">
      <alignment horizontal="center" vertical="center" wrapText="1"/>
      <protection locked="0"/>
    </xf>
    <xf numFmtId="0" fontId="124" fillId="15" borderId="77" xfId="0" applyFont="1" applyFill="1" applyBorder="1" applyAlignment="1" applyProtection="1">
      <alignment horizontal="center" vertical="center" wrapText="1"/>
      <protection locked="0"/>
    </xf>
    <xf numFmtId="0" fontId="124" fillId="17" borderId="110" xfId="0" applyFont="1" applyFill="1" applyBorder="1" applyAlignment="1" applyProtection="1">
      <alignment vertical="center" wrapText="1"/>
      <protection locked="0"/>
    </xf>
    <xf numFmtId="0" fontId="122" fillId="2" borderId="77" xfId="0" applyFont="1" applyFill="1" applyBorder="1" applyAlignment="1" applyProtection="1">
      <alignment horizontal="center" vertical="center" wrapText="1"/>
      <protection locked="0"/>
    </xf>
    <xf numFmtId="0" fontId="124" fillId="17" borderId="114" xfId="0" applyFont="1" applyFill="1" applyBorder="1" applyAlignment="1" applyProtection="1">
      <alignment vertical="center" wrapText="1"/>
      <protection locked="0"/>
    </xf>
    <xf numFmtId="0" fontId="122" fillId="2" borderId="0" xfId="0" applyFont="1" applyFill="1" applyProtection="1">
      <protection locked="0"/>
    </xf>
    <xf numFmtId="0" fontId="123" fillId="2" borderId="0" xfId="0" applyFont="1" applyFill="1" applyProtection="1">
      <protection locked="0"/>
    </xf>
    <xf numFmtId="0" fontId="115" fillId="2" borderId="0" xfId="0" applyFont="1" applyFill="1" applyProtection="1">
      <protection locked="0"/>
    </xf>
    <xf numFmtId="0" fontId="122" fillId="2" borderId="45" xfId="0" applyFont="1" applyFill="1" applyBorder="1" applyProtection="1">
      <protection locked="0"/>
    </xf>
    <xf numFmtId="0" fontId="124" fillId="31" borderId="77" xfId="0" applyFont="1" applyFill="1" applyBorder="1" applyAlignment="1" applyProtection="1">
      <alignment horizontal="center" vertical="center" wrapText="1"/>
      <protection locked="0"/>
    </xf>
    <xf numFmtId="0" fontId="124" fillId="16" borderId="111" xfId="0" applyFont="1" applyFill="1" applyBorder="1" applyAlignment="1" applyProtection="1">
      <alignment horizontal="center" vertical="center" wrapText="1"/>
      <protection locked="0"/>
    </xf>
    <xf numFmtId="0" fontId="123" fillId="31" borderId="77" xfId="0" quotePrefix="1" applyFont="1" applyFill="1" applyBorder="1" applyAlignment="1" applyProtection="1">
      <alignment horizontal="center" vertical="center" wrapText="1"/>
      <protection locked="0"/>
    </xf>
    <xf numFmtId="1" fontId="122" fillId="15" borderId="77" xfId="0" applyNumberFormat="1" applyFont="1" applyFill="1" applyBorder="1" applyAlignment="1" applyProtection="1">
      <alignment horizontal="center" vertical="center" wrapText="1"/>
      <protection locked="0"/>
    </xf>
    <xf numFmtId="0" fontId="123" fillId="2" borderId="0" xfId="0" applyFont="1" applyFill="1" applyAlignment="1" applyProtection="1">
      <alignment horizontal="center" vertical="center"/>
      <protection locked="0"/>
    </xf>
    <xf numFmtId="0" fontId="122" fillId="2" borderId="58" xfId="0" applyFont="1" applyFill="1" applyBorder="1" applyProtection="1">
      <protection locked="0"/>
    </xf>
    <xf numFmtId="0" fontId="122" fillId="2" borderId="54" xfId="0" applyFont="1" applyFill="1" applyBorder="1" applyProtection="1">
      <protection locked="0"/>
    </xf>
    <xf numFmtId="0" fontId="122" fillId="2" borderId="55" xfId="0" applyFont="1" applyFill="1" applyBorder="1" applyProtection="1">
      <protection locked="0"/>
    </xf>
    <xf numFmtId="0" fontId="122" fillId="2" borderId="29" xfId="0" applyFont="1" applyFill="1" applyBorder="1" applyProtection="1">
      <protection locked="0"/>
    </xf>
    <xf numFmtId="0" fontId="122" fillId="2" borderId="30" xfId="0" applyFont="1" applyFill="1" applyBorder="1" applyProtection="1">
      <protection locked="0"/>
    </xf>
    <xf numFmtId="0" fontId="122" fillId="2" borderId="31" xfId="0" applyFont="1" applyFill="1" applyBorder="1" applyProtection="1">
      <protection locked="0"/>
    </xf>
    <xf numFmtId="0" fontId="122" fillId="2" borderId="1" xfId="0" applyFont="1" applyFill="1" applyBorder="1" applyProtection="1">
      <protection locked="0"/>
    </xf>
    <xf numFmtId="2" fontId="124" fillId="16" borderId="111" xfId="0" quotePrefix="1" applyNumberFormat="1" applyFont="1" applyFill="1" applyBorder="1" applyAlignment="1" applyProtection="1">
      <alignment horizontal="center" vertical="center" wrapText="1"/>
    </xf>
    <xf numFmtId="1" fontId="124" fillId="11" borderId="111" xfId="0" applyNumberFormat="1" applyFont="1" applyFill="1" applyBorder="1" applyAlignment="1" applyProtection="1">
      <alignment horizontal="center"/>
    </xf>
    <xf numFmtId="2" fontId="124" fillId="18" borderId="115" xfId="0" quotePrefix="1" applyNumberFormat="1" applyFont="1" applyFill="1" applyBorder="1" applyAlignment="1" applyProtection="1">
      <alignment horizontal="center" vertical="center" wrapText="1"/>
    </xf>
    <xf numFmtId="0" fontId="47" fillId="0" borderId="108" xfId="0" applyFont="1" applyFill="1" applyBorder="1" applyAlignment="1" applyProtection="1">
      <alignment vertical="center"/>
      <protection locked="0"/>
    </xf>
    <xf numFmtId="0" fontId="47" fillId="0" borderId="76" xfId="0" applyFont="1" applyFill="1" applyBorder="1" applyAlignment="1" applyProtection="1">
      <alignment vertical="center"/>
      <protection locked="0"/>
    </xf>
    <xf numFmtId="0" fontId="47" fillId="30" borderId="111" xfId="0" applyFont="1" applyFill="1" applyBorder="1" applyAlignment="1" applyProtection="1">
      <alignment horizontal="center" vertical="center" wrapText="1"/>
      <protection locked="0"/>
    </xf>
    <xf numFmtId="0" fontId="124" fillId="17" borderId="110" xfId="0" applyFont="1" applyFill="1" applyBorder="1" applyAlignment="1" applyProtection="1">
      <alignment horizontal="left" vertical="center" wrapText="1"/>
      <protection locked="0"/>
    </xf>
    <xf numFmtId="0" fontId="124" fillId="17" borderId="112" xfId="0" applyFont="1" applyFill="1" applyBorder="1" applyAlignment="1" applyProtection="1">
      <alignment vertical="center"/>
      <protection locked="0"/>
    </xf>
    <xf numFmtId="0" fontId="123" fillId="2" borderId="0" xfId="0" applyFont="1" applyFill="1" applyAlignment="1" applyProtection="1">
      <protection locked="0"/>
    </xf>
    <xf numFmtId="0" fontId="115" fillId="2" borderId="0" xfId="0" applyFont="1" applyFill="1" applyAlignment="1" applyProtection="1">
      <protection locked="0"/>
    </xf>
    <xf numFmtId="4" fontId="123" fillId="2" borderId="0" xfId="0" applyNumberFormat="1" applyFont="1" applyFill="1" applyProtection="1">
      <protection locked="0"/>
    </xf>
    <xf numFmtId="0" fontId="123" fillId="31" borderId="78" xfId="0" quotePrefix="1" applyFont="1" applyFill="1" applyBorder="1" applyAlignment="1" applyProtection="1">
      <alignment horizontal="center" vertical="center" wrapText="1"/>
      <protection locked="0"/>
    </xf>
    <xf numFmtId="10" fontId="123" fillId="2" borderId="0" xfId="0" applyNumberFormat="1" applyFont="1" applyFill="1" applyProtection="1"/>
    <xf numFmtId="4" fontId="123" fillId="2" borderId="0" xfId="0" applyNumberFormat="1" applyFont="1" applyFill="1" applyProtection="1"/>
    <xf numFmtId="0" fontId="123" fillId="2" borderId="0" xfId="0" applyFont="1" applyFill="1" applyProtection="1"/>
    <xf numFmtId="1" fontId="124" fillId="11" borderId="115" xfId="0" applyNumberFormat="1" applyFont="1" applyFill="1" applyBorder="1" applyAlignment="1" applyProtection="1">
      <alignment horizontal="center"/>
    </xf>
    <xf numFmtId="2" fontId="124" fillId="18" borderId="114" xfId="0" quotePrefix="1" applyNumberFormat="1" applyFont="1" applyFill="1" applyBorder="1" applyAlignment="1" applyProtection="1">
      <alignment horizontal="center" vertical="center" wrapText="1"/>
    </xf>
    <xf numFmtId="0" fontId="22" fillId="7" borderId="1" xfId="3" applyFont="1" applyFill="1" applyBorder="1" applyAlignment="1" applyProtection="1">
      <alignment vertical="center"/>
      <protection locked="0"/>
    </xf>
    <xf numFmtId="0" fontId="27" fillId="41" borderId="1" xfId="54" applyFont="1" applyFill="1" applyBorder="1" applyAlignment="1" applyProtection="1">
      <alignment horizontal="left" vertical="center" wrapText="1"/>
      <protection locked="0"/>
    </xf>
    <xf numFmtId="0" fontId="27" fillId="41" borderId="1" xfId="54" applyFont="1" applyFill="1" applyBorder="1" applyAlignment="1" applyProtection="1">
      <alignment horizontal="center" vertical="center" wrapText="1"/>
      <protection locked="0"/>
    </xf>
    <xf numFmtId="0" fontId="26" fillId="9" borderId="1" xfId="54" applyFont="1" applyFill="1" applyBorder="1" applyAlignment="1" applyProtection="1">
      <alignment horizontal="center" vertical="center" wrapText="1"/>
      <protection locked="0"/>
    </xf>
    <xf numFmtId="9" fontId="26" fillId="9" borderId="1" xfId="54" applyNumberFormat="1" applyFont="1" applyFill="1" applyBorder="1" applyAlignment="1" applyProtection="1">
      <alignment horizontal="center" vertical="center" wrapText="1"/>
      <protection locked="0"/>
    </xf>
    <xf numFmtId="4" fontId="26" fillId="26" borderId="1" xfId="54" applyNumberFormat="1" applyFont="1" applyFill="1" applyBorder="1" applyAlignment="1" applyProtection="1">
      <alignment horizontal="center" vertical="center"/>
    </xf>
    <xf numFmtId="3" fontId="26" fillId="26" borderId="1" xfId="54" applyNumberFormat="1" applyFont="1" applyFill="1" applyBorder="1" applyAlignment="1" applyProtection="1">
      <alignment horizontal="center" vertical="center"/>
    </xf>
    <xf numFmtId="165" fontId="17" fillId="11" borderId="10" xfId="56" applyNumberFormat="1" applyFont="1" applyFill="1" applyBorder="1" applyAlignment="1" applyProtection="1">
      <alignment horizontal="left" vertical="center"/>
      <protection locked="0"/>
    </xf>
    <xf numFmtId="0" fontId="43" fillId="0" borderId="5" xfId="54" applyFont="1" applyBorder="1" applyProtection="1">
      <protection locked="0"/>
    </xf>
    <xf numFmtId="0" fontId="43" fillId="0" borderId="51" xfId="54" applyFont="1" applyBorder="1" applyProtection="1">
      <protection locked="0"/>
    </xf>
    <xf numFmtId="1" fontId="43" fillId="0" borderId="0" xfId="54" applyNumberFormat="1" applyFont="1" applyBorder="1" applyProtection="1">
      <protection locked="0"/>
    </xf>
    <xf numFmtId="0" fontId="43" fillId="0" borderId="0" xfId="54" applyFont="1" applyBorder="1" applyProtection="1">
      <protection locked="0"/>
    </xf>
    <xf numFmtId="0" fontId="43" fillId="0" borderId="45" xfId="54" applyFont="1" applyBorder="1" applyProtection="1">
      <protection locked="0"/>
    </xf>
    <xf numFmtId="165" fontId="17" fillId="11" borderId="5" xfId="56" applyNumberFormat="1" applyFont="1" applyFill="1" applyBorder="1" applyAlignment="1" applyProtection="1">
      <alignment horizontal="left" vertical="center"/>
      <protection locked="0"/>
    </xf>
    <xf numFmtId="3" fontId="43" fillId="0" borderId="1" xfId="54" applyNumberFormat="1" applyFont="1" applyBorder="1" applyProtection="1">
      <protection locked="0"/>
    </xf>
    <xf numFmtId="0" fontId="54" fillId="0" borderId="5" xfId="54" applyFont="1" applyBorder="1" applyAlignment="1" applyProtection="1">
      <alignment horizontal="left" vertical="center"/>
      <protection locked="0"/>
    </xf>
    <xf numFmtId="0" fontId="89" fillId="0" borderId="51" xfId="54" applyFont="1" applyBorder="1" applyProtection="1">
      <protection locked="0"/>
    </xf>
    <xf numFmtId="0" fontId="89" fillId="0" borderId="0" xfId="54" applyFont="1" applyBorder="1" applyProtection="1">
      <protection locked="0"/>
    </xf>
    <xf numFmtId="0" fontId="89" fillId="0" borderId="45" xfId="54" applyFont="1" applyBorder="1" applyProtection="1">
      <protection locked="0"/>
    </xf>
    <xf numFmtId="165" fontId="17" fillId="11" borderId="23" xfId="56" applyNumberFormat="1" applyFont="1" applyFill="1" applyBorder="1" applyAlignment="1" applyProtection="1">
      <alignment vertical="center"/>
      <protection locked="0"/>
    </xf>
    <xf numFmtId="165" fontId="17" fillId="11" borderId="16" xfId="56" applyNumberFormat="1" applyFont="1" applyFill="1" applyBorder="1" applyAlignment="1" applyProtection="1">
      <alignment horizontal="center" vertical="center"/>
      <protection locked="0"/>
    </xf>
    <xf numFmtId="165" fontId="17" fillId="11" borderId="1" xfId="56" applyNumberFormat="1" applyFont="1" applyFill="1" applyBorder="1" applyAlignment="1" applyProtection="1">
      <alignment horizontal="center" vertical="center"/>
      <protection locked="0"/>
    </xf>
    <xf numFmtId="165" fontId="17" fillId="11" borderId="6" xfId="56" applyNumberFormat="1" applyFont="1" applyFill="1" applyBorder="1" applyAlignment="1" applyProtection="1">
      <alignment horizontal="center" vertical="center"/>
      <protection locked="0"/>
    </xf>
    <xf numFmtId="0" fontId="43" fillId="0" borderId="7" xfId="54" applyFont="1" applyBorder="1" applyProtection="1">
      <protection locked="0"/>
    </xf>
    <xf numFmtId="3" fontId="43" fillId="0" borderId="1" xfId="54" applyNumberFormat="1" applyFont="1" applyBorder="1" applyProtection="1"/>
    <xf numFmtId="3" fontId="43" fillId="0" borderId="6" xfId="54" applyNumberFormat="1" applyFont="1" applyBorder="1" applyProtection="1"/>
    <xf numFmtId="3" fontId="89" fillId="0" borderId="1" xfId="54" applyNumberFormat="1" applyFont="1" applyBorder="1" applyProtection="1"/>
    <xf numFmtId="3" fontId="89" fillId="0" borderId="6" xfId="54" applyNumberFormat="1" applyFont="1" applyBorder="1" applyProtection="1"/>
    <xf numFmtId="4" fontId="12" fillId="21" borderId="1" xfId="54" applyNumberFormat="1" applyFill="1" applyBorder="1" applyProtection="1"/>
    <xf numFmtId="4" fontId="12" fillId="0" borderId="1" xfId="54" applyNumberFormat="1" applyBorder="1" applyProtection="1"/>
    <xf numFmtId="0" fontId="0" fillId="0" borderId="6" xfId="0" applyBorder="1" applyProtection="1"/>
    <xf numFmtId="2" fontId="43" fillId="0" borderId="1" xfId="54" applyNumberFormat="1" applyFont="1" applyBorder="1" applyProtection="1"/>
    <xf numFmtId="0" fontId="43" fillId="0" borderId="6" xfId="54" quotePrefix="1" applyFont="1" applyBorder="1" applyProtection="1"/>
    <xf numFmtId="2" fontId="43" fillId="21" borderId="1" xfId="54" applyNumberFormat="1" applyFont="1" applyFill="1" applyBorder="1" applyProtection="1"/>
    <xf numFmtId="2" fontId="43" fillId="0" borderId="8" xfId="54" applyNumberFormat="1" applyFont="1" applyBorder="1" applyProtection="1"/>
    <xf numFmtId="2" fontId="43" fillId="21" borderId="8" xfId="54" applyNumberFormat="1" applyFont="1" applyFill="1" applyBorder="1" applyProtection="1"/>
    <xf numFmtId="0" fontId="43" fillId="0" borderId="9" xfId="54" quotePrefix="1" applyFont="1" applyBorder="1" applyProtection="1"/>
    <xf numFmtId="0" fontId="50" fillId="5" borderId="25" xfId="0" applyFont="1" applyFill="1" applyBorder="1" applyAlignment="1" applyProtection="1">
      <alignment vertical="center"/>
      <protection locked="0"/>
    </xf>
    <xf numFmtId="0" fontId="50" fillId="5" borderId="27" xfId="0" applyFont="1" applyFill="1" applyBorder="1" applyAlignment="1" applyProtection="1">
      <alignment vertical="center"/>
      <protection locked="0"/>
    </xf>
    <xf numFmtId="0" fontId="50" fillId="5" borderId="22" xfId="0" applyFont="1" applyFill="1" applyBorder="1" applyAlignment="1" applyProtection="1">
      <alignment vertical="center"/>
      <protection locked="0"/>
    </xf>
    <xf numFmtId="0" fontId="129" fillId="49" borderId="5" xfId="0" applyFont="1" applyFill="1" applyBorder="1" applyAlignment="1" applyProtection="1">
      <alignment vertical="center"/>
      <protection locked="0"/>
    </xf>
    <xf numFmtId="0" fontId="129" fillId="49" borderId="1" xfId="0" applyFont="1" applyFill="1" applyBorder="1" applyAlignment="1" applyProtection="1">
      <alignment vertical="center"/>
      <protection locked="0"/>
    </xf>
    <xf numFmtId="0" fontId="129" fillId="49" borderId="6" xfId="0" applyFont="1" applyFill="1" applyBorder="1" applyAlignment="1" applyProtection="1">
      <alignment vertical="center"/>
      <protection locked="0"/>
    </xf>
    <xf numFmtId="0" fontId="131" fillId="49" borderId="5" xfId="0" applyFont="1" applyFill="1" applyBorder="1" applyAlignment="1" applyProtection="1">
      <alignment vertical="center"/>
      <protection locked="0"/>
    </xf>
    <xf numFmtId="4" fontId="129" fillId="49" borderId="6" xfId="0" applyNumberFormat="1" applyFont="1" applyFill="1" applyBorder="1" applyAlignment="1" applyProtection="1">
      <alignment vertical="center" wrapText="1"/>
      <protection locked="0"/>
    </xf>
    <xf numFmtId="4" fontId="129" fillId="49" borderId="6" xfId="0" applyNumberFormat="1" applyFont="1" applyFill="1" applyBorder="1" applyAlignment="1" applyProtection="1">
      <alignment vertical="center"/>
      <protection locked="0"/>
    </xf>
    <xf numFmtId="0" fontId="131" fillId="49" borderId="7" xfId="0" applyFont="1" applyFill="1" applyBorder="1" applyAlignment="1" applyProtection="1">
      <alignment vertical="center"/>
      <protection locked="0"/>
    </xf>
    <xf numFmtId="0" fontId="129" fillId="49" borderId="9" xfId="0" applyFont="1" applyFill="1" applyBorder="1" applyAlignment="1" applyProtection="1">
      <alignment vertical="center" wrapText="1"/>
      <protection locked="0"/>
    </xf>
    <xf numFmtId="4" fontId="129" fillId="49" borderId="1" xfId="0" applyNumberFormat="1" applyFont="1" applyFill="1" applyBorder="1" applyAlignment="1" applyProtection="1">
      <alignment vertical="center"/>
    </xf>
    <xf numFmtId="0" fontId="129" fillId="49" borderId="8" xfId="0" applyFont="1" applyFill="1" applyBorder="1" applyAlignment="1" applyProtection="1">
      <alignment vertical="center"/>
    </xf>
    <xf numFmtId="0" fontId="16" fillId="0" borderId="5" xfId="0" applyFont="1" applyBorder="1" applyAlignment="1" applyProtection="1">
      <alignment horizontal="center" vertical="center"/>
      <protection locked="0"/>
    </xf>
    <xf numFmtId="0" fontId="16" fillId="42" borderId="6" xfId="1" applyNumberFormat="1" applyFont="1" applyFill="1" applyBorder="1" applyAlignment="1" applyProtection="1">
      <alignment horizontal="center" vertical="center"/>
      <protection locked="0"/>
    </xf>
    <xf numFmtId="0" fontId="0" fillId="42" borderId="16" xfId="0" applyFill="1" applyBorder="1" applyAlignment="1" applyProtection="1">
      <alignment horizontal="center" vertical="center"/>
      <protection locked="0"/>
    </xf>
    <xf numFmtId="0" fontId="0" fillId="0" borderId="0" xfId="0" applyAlignment="1" applyProtection="1">
      <alignment horizontal="right"/>
      <protection locked="0"/>
    </xf>
    <xf numFmtId="0" fontId="149" fillId="28" borderId="1" xfId="0" applyFont="1" applyFill="1" applyBorder="1" applyAlignment="1" applyProtection="1">
      <alignment horizontal="left" vertical="center"/>
      <protection locked="0"/>
    </xf>
    <xf numFmtId="0" fontId="149" fillId="0" borderId="1" xfId="0" applyFont="1" applyBorder="1" applyAlignment="1" applyProtection="1">
      <alignment vertical="center"/>
      <protection locked="0"/>
    </xf>
    <xf numFmtId="0" fontId="149" fillId="21" borderId="1" xfId="0" applyFont="1" applyFill="1" applyBorder="1" applyAlignment="1" applyProtection="1">
      <alignment horizontal="right" vertical="center"/>
      <protection locked="0"/>
    </xf>
    <xf numFmtId="0" fontId="149" fillId="0" borderId="1" xfId="0" applyFont="1" applyBorder="1" applyAlignment="1" applyProtection="1">
      <alignment horizontal="right" vertical="center"/>
      <protection locked="0"/>
    </xf>
    <xf numFmtId="0" fontId="149" fillId="0" borderId="1" xfId="0" applyFont="1" applyBorder="1" applyAlignment="1" applyProtection="1">
      <alignment horizontal="right" vertical="center"/>
    </xf>
    <xf numFmtId="0" fontId="23" fillId="5" borderId="45" xfId="0" applyFont="1" applyFill="1" applyBorder="1" applyAlignment="1" applyProtection="1">
      <alignment vertical="center"/>
      <protection locked="0"/>
    </xf>
    <xf numFmtId="0" fontId="21" fillId="0" borderId="0" xfId="54" applyFont="1" applyBorder="1" applyProtection="1">
      <protection locked="0"/>
    </xf>
    <xf numFmtId="0" fontId="21" fillId="0" borderId="45" xfId="54" applyFont="1" applyBorder="1" applyProtection="1">
      <protection locked="0"/>
    </xf>
    <xf numFmtId="0" fontId="16" fillId="19" borderId="5" xfId="16" applyFont="1" applyFill="1" applyBorder="1" applyProtection="1">
      <protection locked="0"/>
    </xf>
    <xf numFmtId="0" fontId="16" fillId="19" borderId="1" xfId="16" applyFont="1" applyFill="1" applyBorder="1" applyAlignment="1" applyProtection="1">
      <alignment horizontal="left"/>
      <protection locked="0"/>
    </xf>
    <xf numFmtId="0" fontId="17" fillId="0" borderId="1" xfId="54" applyFont="1" applyBorder="1" applyAlignment="1" applyProtection="1">
      <alignment horizontal="left"/>
      <protection locked="0"/>
    </xf>
    <xf numFmtId="0" fontId="21" fillId="0" borderId="51" xfId="54" applyFont="1" applyBorder="1" applyProtection="1">
      <protection locked="0"/>
    </xf>
    <xf numFmtId="0" fontId="17" fillId="0" borderId="8" xfId="41" applyFont="1" applyBorder="1" applyAlignment="1" applyProtection="1">
      <alignment horizontal="center" vertical="center" wrapText="1"/>
      <protection locked="0"/>
    </xf>
    <xf numFmtId="1" fontId="16" fillId="0" borderId="1" xfId="54" applyNumberFormat="1" applyFont="1" applyBorder="1" applyAlignment="1" applyProtection="1">
      <alignment horizontal="left"/>
    </xf>
    <xf numFmtId="0" fontId="16" fillId="0" borderId="1" xfId="54" applyFont="1" applyBorder="1" applyAlignment="1" applyProtection="1">
      <alignment horizontal="left"/>
    </xf>
    <xf numFmtId="3" fontId="16" fillId="0" borderId="1" xfId="54" applyNumberFormat="1" applyFont="1" applyBorder="1" applyAlignment="1" applyProtection="1">
      <alignment horizontal="left"/>
    </xf>
    <xf numFmtId="0" fontId="100" fillId="27" borderId="5" xfId="54" applyFont="1" applyFill="1" applyBorder="1" applyAlignment="1" applyProtection="1">
      <alignment horizontal="center" vertical="center"/>
      <protection locked="0"/>
    </xf>
    <xf numFmtId="0" fontId="100" fillId="27" borderId="1" xfId="54" applyFont="1" applyFill="1" applyBorder="1" applyAlignment="1" applyProtection="1">
      <alignment horizontal="center" vertical="center"/>
      <protection locked="0"/>
    </xf>
    <xf numFmtId="0" fontId="100" fillId="27" borderId="6" xfId="54" applyFont="1" applyFill="1" applyBorder="1" applyAlignment="1" applyProtection="1">
      <alignment horizontal="center" vertical="center" wrapText="1"/>
      <protection locked="0"/>
    </xf>
    <xf numFmtId="0" fontId="89" fillId="0" borderId="5" xfId="54" applyFont="1" applyBorder="1" applyAlignment="1" applyProtection="1">
      <alignment horizontal="center"/>
      <protection locked="0"/>
    </xf>
    <xf numFmtId="0" fontId="89" fillId="0" borderId="5" xfId="54" applyFont="1" applyBorder="1" applyProtection="1">
      <protection locked="0"/>
    </xf>
    <xf numFmtId="0" fontId="89" fillId="0" borderId="1" xfId="54" applyFont="1" applyBorder="1" applyAlignment="1" applyProtection="1">
      <alignment horizontal="center"/>
      <protection locked="0"/>
    </xf>
    <xf numFmtId="0" fontId="89" fillId="0" borderId="7" xfId="54" applyFont="1" applyBorder="1" applyProtection="1">
      <protection locked="0"/>
    </xf>
    <xf numFmtId="0" fontId="89" fillId="0" borderId="1" xfId="54" applyFont="1" applyBorder="1" applyAlignment="1" applyProtection="1">
      <alignment horizontal="center"/>
    </xf>
    <xf numFmtId="0" fontId="89" fillId="0" borderId="6" xfId="54" applyFont="1" applyBorder="1" applyProtection="1"/>
    <xf numFmtId="1" fontId="89" fillId="0" borderId="9" xfId="54" applyNumberFormat="1" applyFont="1" applyBorder="1" applyProtection="1"/>
    <xf numFmtId="165" fontId="22" fillId="11" borderId="4" xfId="1" applyNumberFormat="1" applyFont="1" applyFill="1" applyBorder="1" applyAlignment="1" applyProtection="1">
      <alignment vertical="center" wrapText="1"/>
    </xf>
    <xf numFmtId="165" fontId="22" fillId="11" borderId="1" xfId="1" applyNumberFormat="1" applyFont="1" applyFill="1" applyBorder="1" applyAlignment="1" applyProtection="1">
      <alignment vertical="center" wrapText="1"/>
    </xf>
    <xf numFmtId="0" fontId="22" fillId="0" borderId="46" xfId="0" applyFont="1" applyFill="1" applyBorder="1" applyAlignment="1" applyProtection="1">
      <alignment horizontal="left" vertical="center"/>
      <protection locked="0"/>
    </xf>
    <xf numFmtId="0" fontId="22" fillId="25" borderId="46" xfId="0" applyFont="1" applyFill="1" applyBorder="1" applyAlignment="1" applyProtection="1">
      <alignment horizontal="left" vertical="center"/>
      <protection locked="0"/>
    </xf>
    <xf numFmtId="0" fontId="90" fillId="11" borderId="1" xfId="1" applyNumberFormat="1" applyFont="1" applyFill="1" applyBorder="1" applyAlignment="1" applyProtection="1">
      <alignment horizontal="center" vertical="center" wrapText="1"/>
      <protection locked="0"/>
    </xf>
    <xf numFmtId="0" fontId="90" fillId="11" borderId="1" xfId="1" applyNumberFormat="1" applyFont="1" applyFill="1" applyBorder="1" applyAlignment="1" applyProtection="1">
      <alignment horizontal="center" vertical="center" wrapText="1"/>
    </xf>
    <xf numFmtId="0" fontId="22" fillId="11" borderId="4" xfId="1" applyNumberFormat="1" applyFont="1" applyFill="1" applyBorder="1" applyAlignment="1" applyProtection="1">
      <alignment vertical="center" wrapText="1"/>
    </xf>
    <xf numFmtId="185" fontId="90" fillId="11" borderId="1" xfId="1" applyNumberFormat="1" applyFont="1" applyFill="1" applyBorder="1" applyAlignment="1" applyProtection="1">
      <alignment horizontal="center" vertical="center" wrapText="1"/>
    </xf>
    <xf numFmtId="185" fontId="90" fillId="11" borderId="1" xfId="1" applyNumberFormat="1" applyFont="1" applyFill="1" applyBorder="1" applyAlignment="1" applyProtection="1">
      <alignment horizontal="center" vertical="center" wrapText="1"/>
      <protection locked="0"/>
    </xf>
    <xf numFmtId="0" fontId="51" fillId="4" borderId="25" xfId="0" applyFont="1" applyFill="1" applyBorder="1" applyAlignment="1" applyProtection="1">
      <alignment vertical="center" wrapText="1"/>
      <protection locked="0"/>
    </xf>
    <xf numFmtId="0" fontId="53" fillId="4" borderId="7" xfId="0" applyFont="1" applyFill="1" applyBorder="1" applyAlignment="1" applyProtection="1">
      <alignment vertical="center" wrapText="1"/>
      <protection locked="0"/>
    </xf>
    <xf numFmtId="0" fontId="52" fillId="0" borderId="9" xfId="4" applyNumberFormat="1" applyFont="1" applyBorder="1" applyAlignment="1" applyProtection="1">
      <alignment horizontal="center"/>
    </xf>
    <xf numFmtId="0" fontId="77" fillId="0" borderId="26" xfId="7" applyFont="1" applyBorder="1" applyAlignment="1" applyProtection="1">
      <alignment horizontal="left" vertical="center"/>
      <protection locked="0"/>
    </xf>
    <xf numFmtId="0" fontId="77" fillId="0" borderId="10" xfId="7" applyFont="1" applyBorder="1" applyAlignment="1" applyProtection="1">
      <alignment horizontal="left" vertical="center"/>
      <protection locked="0"/>
    </xf>
    <xf numFmtId="0" fontId="77" fillId="0" borderId="1" xfId="7" applyFont="1" applyBorder="1" applyAlignment="1" applyProtection="1">
      <alignment horizontal="left" vertical="center"/>
      <protection locked="0"/>
    </xf>
    <xf numFmtId="0" fontId="77" fillId="0" borderId="10" xfId="7" applyFont="1" applyBorder="1" applyAlignment="1" applyProtection="1">
      <alignment horizontal="left" vertical="center" wrapText="1"/>
      <protection locked="0"/>
    </xf>
    <xf numFmtId="0" fontId="77" fillId="0" borderId="5" xfId="7" applyFont="1" applyBorder="1" applyAlignment="1" applyProtection="1">
      <alignment vertical="center" wrapText="1"/>
      <protection locked="0"/>
    </xf>
    <xf numFmtId="0" fontId="26" fillId="0" borderId="0" xfId="105" applyFont="1"/>
    <xf numFmtId="0" fontId="82" fillId="18" borderId="1" xfId="105" applyFont="1" applyFill="1" applyBorder="1" applyAlignment="1">
      <alignment horizontal="center" vertical="center" wrapText="1"/>
    </xf>
    <xf numFmtId="0" fontId="77" fillId="51" borderId="5" xfId="7" applyFont="1" applyFill="1" applyBorder="1" applyAlignment="1" applyProtection="1">
      <alignment vertical="center"/>
      <protection locked="0"/>
    </xf>
    <xf numFmtId="0" fontId="77" fillId="51" borderId="1" xfId="7" applyFont="1" applyFill="1" applyBorder="1" applyAlignment="1" applyProtection="1">
      <alignment horizontal="center" vertical="center"/>
      <protection locked="0"/>
    </xf>
    <xf numFmtId="0" fontId="77" fillId="51" borderId="10" xfId="7" applyFont="1" applyFill="1" applyBorder="1" applyAlignment="1" applyProtection="1">
      <alignment vertical="center"/>
      <protection locked="0"/>
    </xf>
    <xf numFmtId="0" fontId="5" fillId="0" borderId="0" xfId="105"/>
    <xf numFmtId="0" fontId="77" fillId="51" borderId="26" xfId="7" applyFont="1" applyFill="1" applyBorder="1" applyAlignment="1" applyProtection="1">
      <alignment vertical="center" wrapText="1"/>
      <protection locked="0"/>
    </xf>
    <xf numFmtId="0" fontId="77" fillId="51" borderId="5" xfId="7" applyFont="1" applyFill="1" applyBorder="1" applyAlignment="1" applyProtection="1">
      <alignment vertical="center" wrapText="1"/>
      <protection locked="0"/>
    </xf>
    <xf numFmtId="0" fontId="77" fillId="51" borderId="34" xfId="7" applyFont="1" applyFill="1" applyBorder="1" applyAlignment="1" applyProtection="1">
      <alignment vertical="center" wrapText="1"/>
      <protection locked="0"/>
    </xf>
    <xf numFmtId="0" fontId="77" fillId="0" borderId="2" xfId="7" applyFont="1" applyBorder="1" applyAlignment="1" applyProtection="1">
      <alignment vertical="center"/>
      <protection locked="0"/>
    </xf>
    <xf numFmtId="0" fontId="77" fillId="0" borderId="0" xfId="7" applyFont="1" applyBorder="1" applyAlignment="1" applyProtection="1">
      <alignment horizontal="left" vertical="center"/>
      <protection locked="0"/>
    </xf>
    <xf numFmtId="0" fontId="77" fillId="0" borderId="45" xfId="7" applyFont="1" applyBorder="1" applyAlignment="1" applyProtection="1">
      <alignment horizontal="left" vertical="center"/>
      <protection locked="0"/>
    </xf>
    <xf numFmtId="0" fontId="77" fillId="0" borderId="10" xfId="7" applyFont="1" applyBorder="1" applyAlignment="1" applyProtection="1">
      <alignment horizontal="center" vertical="center" wrapText="1"/>
      <protection locked="0"/>
    </xf>
    <xf numFmtId="0" fontId="77" fillId="0" borderId="26" xfId="7" applyFont="1" applyFill="1" applyBorder="1" applyAlignment="1" applyProtection="1">
      <alignment vertical="center"/>
      <protection locked="0"/>
    </xf>
    <xf numFmtId="0" fontId="79" fillId="0" borderId="43" xfId="7" applyFont="1" applyFill="1" applyBorder="1" applyAlignment="1" applyProtection="1">
      <alignment vertical="center"/>
      <protection locked="0"/>
    </xf>
    <xf numFmtId="0" fontId="77" fillId="0" borderId="15" xfId="7" applyFont="1" applyBorder="1" applyAlignment="1" applyProtection="1">
      <alignment vertical="center"/>
      <protection locked="0"/>
    </xf>
    <xf numFmtId="0" fontId="77" fillId="51" borderId="16" xfId="7" applyFont="1" applyFill="1" applyBorder="1" applyAlignment="1" applyProtection="1">
      <alignment vertical="center"/>
      <protection locked="0"/>
    </xf>
    <xf numFmtId="0" fontId="77" fillId="51" borderId="6" xfId="7" applyFont="1" applyFill="1" applyBorder="1" applyAlignment="1" applyProtection="1">
      <alignment horizontal="center" vertical="center"/>
      <protection locked="0"/>
    </xf>
    <xf numFmtId="0" fontId="26" fillId="14" borderId="0" xfId="7" applyFont="1" applyFill="1"/>
    <xf numFmtId="0" fontId="26" fillId="52" borderId="0" xfId="7" applyFont="1" applyFill="1"/>
    <xf numFmtId="0" fontId="26" fillId="52" borderId="0" xfId="6" applyFont="1" applyFill="1"/>
    <xf numFmtId="0" fontId="26" fillId="53" borderId="0" xfId="7" applyFont="1" applyFill="1"/>
    <xf numFmtId="0" fontId="26" fillId="53" borderId="0" xfId="6" applyFont="1" applyFill="1"/>
    <xf numFmtId="0" fontId="26" fillId="0" borderId="0" xfId="6" applyFont="1" applyAlignment="1">
      <alignment wrapText="1"/>
    </xf>
    <xf numFmtId="0" fontId="79" fillId="48" borderId="5" xfId="7" applyFont="1" applyFill="1" applyBorder="1" applyAlignment="1" applyProtection="1">
      <alignment vertical="center"/>
      <protection locked="0"/>
    </xf>
    <xf numFmtId="0" fontId="43" fillId="19" borderId="0" xfId="36" applyFont="1" applyFill="1" applyProtection="1">
      <protection locked="0"/>
    </xf>
    <xf numFmtId="0" fontId="89" fillId="19" borderId="0" xfId="36" applyFont="1" applyFill="1" applyProtection="1">
      <protection locked="0"/>
    </xf>
    <xf numFmtId="0" fontId="89" fillId="19" borderId="0" xfId="36" applyFont="1" applyFill="1" applyAlignment="1" applyProtection="1">
      <alignment wrapText="1"/>
      <protection locked="0"/>
    </xf>
    <xf numFmtId="0" fontId="89" fillId="19" borderId="51" xfId="36" applyFont="1" applyFill="1" applyBorder="1" applyProtection="1">
      <protection locked="0"/>
    </xf>
    <xf numFmtId="0" fontId="89" fillId="19" borderId="0" xfId="36" applyFont="1" applyFill="1" applyBorder="1" applyProtection="1">
      <protection locked="0"/>
    </xf>
    <xf numFmtId="0" fontId="89" fillId="19" borderId="45" xfId="36" applyFont="1" applyFill="1" applyBorder="1" applyProtection="1">
      <protection locked="0"/>
    </xf>
    <xf numFmtId="0" fontId="44" fillId="11" borderId="5" xfId="36" applyFont="1" applyFill="1" applyBorder="1" applyAlignment="1" applyProtection="1">
      <alignment horizontal="center" vertical="center" wrapText="1"/>
      <protection locked="0"/>
    </xf>
    <xf numFmtId="0" fontId="44" fillId="11" borderId="1" xfId="36" applyFont="1" applyFill="1" applyBorder="1" applyAlignment="1" applyProtection="1">
      <alignment horizontal="center" vertical="center"/>
      <protection locked="0"/>
    </xf>
    <xf numFmtId="0" fontId="44" fillId="11" borderId="6" xfId="36" applyFont="1" applyFill="1" applyBorder="1" applyAlignment="1" applyProtection="1">
      <alignment horizontal="center" vertical="center"/>
      <protection locked="0"/>
    </xf>
    <xf numFmtId="0" fontId="89" fillId="19" borderId="5" xfId="36" applyFont="1" applyFill="1" applyBorder="1" applyProtection="1">
      <protection locked="0"/>
    </xf>
    <xf numFmtId="0" fontId="43" fillId="19" borderId="1" xfId="36" applyFont="1" applyFill="1" applyBorder="1" applyAlignment="1" applyProtection="1">
      <alignment horizontal="center" vertical="center"/>
      <protection locked="0"/>
    </xf>
    <xf numFmtId="14" fontId="43" fillId="19" borderId="1" xfId="36" applyNumberFormat="1" applyFont="1" applyFill="1" applyBorder="1" applyAlignment="1" applyProtection="1">
      <alignment horizontal="center" vertical="center"/>
      <protection locked="0"/>
    </xf>
    <xf numFmtId="0" fontId="43" fillId="19" borderId="6" xfId="36" applyFont="1" applyFill="1" applyBorder="1" applyAlignment="1" applyProtection="1">
      <alignment horizontal="center" vertical="center"/>
      <protection locked="0"/>
    </xf>
    <xf numFmtId="0" fontId="89" fillId="19" borderId="7" xfId="36" applyFont="1" applyFill="1" applyBorder="1" applyProtection="1">
      <protection locked="0"/>
    </xf>
    <xf numFmtId="0" fontId="43" fillId="19" borderId="8" xfId="36" applyFont="1" applyFill="1" applyBorder="1" applyAlignment="1" applyProtection="1">
      <alignment horizontal="center" vertical="center"/>
      <protection locked="0"/>
    </xf>
    <xf numFmtId="14" fontId="43" fillId="19" borderId="8" xfId="36" applyNumberFormat="1" applyFont="1" applyFill="1" applyBorder="1" applyAlignment="1" applyProtection="1">
      <alignment horizontal="center" vertical="center"/>
      <protection locked="0"/>
    </xf>
    <xf numFmtId="0" fontId="43" fillId="19" borderId="9" xfId="36" applyFont="1" applyFill="1" applyBorder="1" applyAlignment="1" applyProtection="1">
      <alignment horizontal="center" vertical="center"/>
      <protection locked="0"/>
    </xf>
    <xf numFmtId="0" fontId="26" fillId="19" borderId="0" xfId="0" applyFont="1" applyFill="1" applyAlignment="1">
      <alignment vertical="center"/>
    </xf>
    <xf numFmtId="0" fontId="16" fillId="19" borderId="0" xfId="0" applyFont="1" applyFill="1" applyAlignment="1">
      <alignment vertical="center"/>
    </xf>
    <xf numFmtId="0" fontId="16" fillId="0" borderId="0" xfId="7" applyAlignment="1" applyProtection="1">
      <alignment vertical="center"/>
    </xf>
    <xf numFmtId="0" fontId="16" fillId="0" borderId="0" xfId="7" applyAlignment="1" applyProtection="1">
      <alignment horizontal="center" vertical="center" wrapText="1"/>
    </xf>
    <xf numFmtId="17" fontId="16" fillId="0" borderId="0" xfId="7" applyNumberFormat="1" applyAlignment="1" applyProtection="1">
      <alignment vertical="center"/>
    </xf>
    <xf numFmtId="0" fontId="55" fillId="0" borderId="0" xfId="7" applyFont="1" applyAlignment="1" applyProtection="1">
      <alignment vertical="center"/>
    </xf>
    <xf numFmtId="0" fontId="4" fillId="0" borderId="0" xfId="107" applyProtection="1">
      <protection hidden="1"/>
    </xf>
    <xf numFmtId="0" fontId="31" fillId="27" borderId="95" xfId="107" applyFont="1" applyFill="1" applyBorder="1" applyAlignment="1" applyProtection="1">
      <alignment horizontal="center"/>
      <protection hidden="1"/>
    </xf>
    <xf numFmtId="0" fontId="31" fillId="27" borderId="54" xfId="107" applyFont="1" applyFill="1" applyBorder="1" applyAlignment="1" applyProtection="1">
      <alignment horizontal="center"/>
      <protection hidden="1"/>
    </xf>
    <xf numFmtId="0" fontId="31" fillId="27" borderId="119" xfId="107" applyFont="1" applyFill="1" applyBorder="1" applyAlignment="1" applyProtection="1">
      <alignment horizontal="center"/>
      <protection hidden="1"/>
    </xf>
    <xf numFmtId="0" fontId="4" fillId="0" borderId="120" xfId="107" applyBorder="1" applyAlignment="1" applyProtection="1">
      <alignment horizontal="center"/>
      <protection hidden="1"/>
    </xf>
    <xf numFmtId="0" fontId="4" fillId="0" borderId="55" xfId="107" applyBorder="1" applyProtection="1">
      <protection hidden="1"/>
    </xf>
    <xf numFmtId="183" fontId="4" fillId="3" borderId="95" xfId="107" applyNumberFormat="1" applyFill="1" applyBorder="1" applyAlignment="1" applyProtection="1">
      <alignment horizontal="center"/>
      <protection locked="0"/>
    </xf>
    <xf numFmtId="183" fontId="4" fillId="0" borderId="0" xfId="107" applyNumberFormat="1" applyAlignment="1" applyProtection="1">
      <alignment horizontal="center"/>
      <protection hidden="1"/>
    </xf>
    <xf numFmtId="0" fontId="4" fillId="0" borderId="93" xfId="107" applyBorder="1" applyAlignment="1" applyProtection="1">
      <alignment horizontal="center"/>
      <protection hidden="1"/>
    </xf>
    <xf numFmtId="0" fontId="4" fillId="0" borderId="53" xfId="107" applyBorder="1" applyProtection="1">
      <protection hidden="1"/>
    </xf>
    <xf numFmtId="183" fontId="4" fillId="3" borderId="93" xfId="107" applyNumberFormat="1" applyFill="1" applyBorder="1" applyAlignment="1" applyProtection="1">
      <alignment horizontal="center"/>
      <protection locked="0"/>
    </xf>
    <xf numFmtId="0" fontId="4" fillId="0" borderId="53" xfId="107" applyBorder="1" applyAlignment="1" applyProtection="1">
      <alignment wrapText="1"/>
      <protection hidden="1"/>
    </xf>
    <xf numFmtId="0" fontId="4" fillId="3" borderId="93" xfId="107" applyFill="1" applyBorder="1" applyAlignment="1" applyProtection="1">
      <alignment horizontal="center"/>
      <protection locked="0"/>
    </xf>
    <xf numFmtId="0" fontId="4" fillId="3" borderId="97" xfId="107" applyFill="1" applyBorder="1" applyAlignment="1" applyProtection="1">
      <alignment horizontal="center"/>
      <protection locked="0"/>
    </xf>
    <xf numFmtId="0" fontId="4" fillId="3" borderId="121" xfId="107" applyFill="1" applyBorder="1" applyAlignment="1" applyProtection="1">
      <alignment horizontal="center"/>
      <protection locked="0"/>
    </xf>
    <xf numFmtId="0" fontId="4" fillId="0" borderId="93" xfId="107" applyBorder="1" applyAlignment="1" applyProtection="1">
      <alignment horizontal="center" wrapText="1"/>
      <protection hidden="1"/>
    </xf>
    <xf numFmtId="0" fontId="4" fillId="0" borderId="122" xfId="107" applyBorder="1" applyAlignment="1" applyProtection="1">
      <alignment horizontal="center"/>
      <protection hidden="1"/>
    </xf>
    <xf numFmtId="0" fontId="4" fillId="0" borderId="40" xfId="107" applyBorder="1" applyProtection="1">
      <protection hidden="1"/>
    </xf>
    <xf numFmtId="0" fontId="4" fillId="0" borderId="0" xfId="107" applyAlignment="1" applyProtection="1">
      <alignment horizontal="center"/>
      <protection hidden="1"/>
    </xf>
    <xf numFmtId="0" fontId="31" fillId="0" borderId="0" xfId="107" applyFont="1" applyProtection="1">
      <protection hidden="1"/>
    </xf>
    <xf numFmtId="0" fontId="4" fillId="0" borderId="0" xfId="107" applyAlignment="1" applyProtection="1">
      <alignment horizontal="center" vertical="center"/>
      <protection hidden="1"/>
    </xf>
    <xf numFmtId="0" fontId="4" fillId="0" borderId="0" xfId="107" applyAlignment="1">
      <alignment horizontal="left"/>
    </xf>
    <xf numFmtId="0" fontId="31" fillId="27" borderId="1" xfId="107" applyFont="1" applyFill="1" applyBorder="1" applyProtection="1">
      <protection hidden="1"/>
    </xf>
    <xf numFmtId="0" fontId="31" fillId="27" borderId="1" xfId="107" applyFont="1" applyFill="1" applyBorder="1" applyAlignment="1" applyProtection="1">
      <alignment horizontal="center"/>
      <protection hidden="1"/>
    </xf>
    <xf numFmtId="0" fontId="31" fillId="43" borderId="1" xfId="107" applyFont="1" applyFill="1" applyBorder="1" applyProtection="1">
      <protection locked="0"/>
    </xf>
    <xf numFmtId="169" fontId="31" fillId="43" borderId="1" xfId="107" applyNumberFormat="1" applyFont="1" applyFill="1" applyBorder="1" applyAlignment="1" applyProtection="1">
      <alignment horizontal="center"/>
      <protection locked="0"/>
    </xf>
    <xf numFmtId="0" fontId="31" fillId="43" borderId="1" xfId="107" applyFont="1" applyFill="1" applyBorder="1" applyAlignment="1" applyProtection="1">
      <alignment horizontal="left"/>
      <protection locked="0"/>
    </xf>
    <xf numFmtId="49" fontId="31" fillId="43" borderId="1" xfId="107" applyNumberFormat="1" applyFont="1" applyFill="1" applyBorder="1" applyAlignment="1" applyProtection="1">
      <alignment horizontal="left"/>
      <protection locked="0"/>
    </xf>
    <xf numFmtId="183" fontId="4" fillId="43" borderId="1" xfId="107" applyNumberFormat="1" applyFill="1" applyBorder="1" applyAlignment="1" applyProtection="1">
      <alignment horizontal="center" wrapText="1"/>
      <protection locked="0"/>
    </xf>
    <xf numFmtId="0" fontId="4" fillId="0" borderId="15" xfId="107" applyBorder="1" applyProtection="1">
      <protection hidden="1"/>
    </xf>
    <xf numFmtId="0" fontId="4" fillId="0" borderId="16" xfId="107" applyBorder="1" applyProtection="1">
      <protection hidden="1"/>
    </xf>
    <xf numFmtId="0" fontId="4" fillId="0" borderId="1" xfId="107" applyBorder="1" applyAlignment="1" applyProtection="1">
      <alignment horizontal="center" vertical="center"/>
      <protection hidden="1"/>
    </xf>
    <xf numFmtId="0" fontId="4" fillId="43" borderId="1" xfId="107" applyFill="1" applyBorder="1" applyAlignment="1" applyProtection="1">
      <alignment horizontal="center" vertical="center"/>
      <protection locked="0"/>
    </xf>
    <xf numFmtId="0" fontId="4" fillId="0" borderId="1" xfId="107" applyBorder="1" applyAlignment="1" applyProtection="1">
      <alignment horizontal="right" vertical="center"/>
      <protection hidden="1"/>
    </xf>
    <xf numFmtId="0" fontId="145" fillId="0" borderId="0" xfId="107" quotePrefix="1" applyFont="1" applyAlignment="1">
      <alignment horizontal="center"/>
    </xf>
    <xf numFmtId="0" fontId="154" fillId="0" borderId="0" xfId="107" applyFont="1" applyAlignment="1">
      <alignment horizontal="center" vertical="center"/>
    </xf>
    <xf numFmtId="0" fontId="4" fillId="0" borderId="1" xfId="107" applyBorder="1" applyProtection="1">
      <protection hidden="1"/>
    </xf>
    <xf numFmtId="14" fontId="4" fillId="43" borderId="1" xfId="107" applyNumberFormat="1" applyFill="1" applyBorder="1" applyAlignment="1" applyProtection="1">
      <alignment horizontal="center" vertical="center"/>
      <protection locked="0"/>
    </xf>
    <xf numFmtId="169" fontId="4" fillId="43" borderId="1" xfId="107" applyNumberFormat="1" applyFill="1" applyBorder="1" applyAlignment="1" applyProtection="1">
      <alignment horizontal="center" vertical="center"/>
      <protection locked="0"/>
    </xf>
    <xf numFmtId="0" fontId="31" fillId="0" borderId="1" xfId="107" applyFont="1" applyBorder="1" applyAlignment="1">
      <alignment horizontal="center" vertical="center"/>
    </xf>
    <xf numFmtId="0" fontId="4" fillId="43" borderId="1" xfId="107" applyFill="1" applyBorder="1" applyAlignment="1" applyProtection="1">
      <alignment horizontal="center" vertical="center" wrapText="1"/>
      <protection locked="0"/>
    </xf>
    <xf numFmtId="0" fontId="156" fillId="0" borderId="1" xfId="107" applyFont="1" applyBorder="1" applyAlignment="1" applyProtection="1">
      <alignment horizontal="center" vertical="center" wrapText="1"/>
      <protection hidden="1"/>
    </xf>
    <xf numFmtId="183" fontId="4" fillId="43" borderId="1" xfId="107" applyNumberFormat="1" applyFill="1" applyBorder="1" applyAlignment="1" applyProtection="1">
      <alignment vertical="center" wrapText="1"/>
      <protection locked="0"/>
    </xf>
    <xf numFmtId="183" fontId="68" fillId="0" borderId="1" xfId="107" applyNumberFormat="1" applyFont="1" applyBorder="1" applyAlignment="1" applyProtection="1">
      <alignment horizontal="center" vertical="center" wrapText="1"/>
      <protection hidden="1"/>
    </xf>
    <xf numFmtId="183" fontId="4" fillId="3" borderId="1" xfId="107" applyNumberFormat="1" applyFill="1" applyBorder="1" applyAlignment="1">
      <alignment horizontal="center" vertical="center" wrapText="1"/>
    </xf>
    <xf numFmtId="183" fontId="4" fillId="43" borderId="1" xfId="107" applyNumberFormat="1" applyFill="1" applyBorder="1" applyAlignment="1" applyProtection="1">
      <alignment horizontal="center" vertical="center"/>
      <protection hidden="1"/>
    </xf>
    <xf numFmtId="0" fontId="137" fillId="27" borderId="1" xfId="107" applyFont="1" applyFill="1" applyBorder="1" applyAlignment="1" applyProtection="1">
      <alignment horizontal="center" vertical="center"/>
      <protection hidden="1"/>
    </xf>
    <xf numFmtId="0" fontId="137" fillId="27" borderId="1" xfId="107" applyFont="1" applyFill="1" applyBorder="1" applyAlignment="1" applyProtection="1">
      <alignment horizontal="center" vertical="center" wrapText="1"/>
      <protection hidden="1"/>
    </xf>
    <xf numFmtId="0" fontId="4" fillId="0" borderId="0" xfId="107"/>
    <xf numFmtId="0" fontId="4" fillId="0" borderId="0" xfId="107" applyAlignment="1">
      <alignment horizontal="center"/>
    </xf>
    <xf numFmtId="0" fontId="137" fillId="27" borderId="1" xfId="107" applyFont="1" applyFill="1" applyBorder="1" applyAlignment="1">
      <alignment horizontal="center" vertical="center" wrapText="1"/>
    </xf>
    <xf numFmtId="169" fontId="137" fillId="27" borderId="1" xfId="107" applyNumberFormat="1" applyFont="1" applyFill="1" applyBorder="1" applyAlignment="1">
      <alignment horizontal="center" vertical="center" wrapText="1"/>
    </xf>
    <xf numFmtId="0" fontId="154" fillId="0" borderId="1" xfId="107" applyFont="1" applyBorder="1" applyAlignment="1">
      <alignment horizontal="center" vertical="center"/>
    </xf>
    <xf numFmtId="0" fontId="145" fillId="0" borderId="1" xfId="107" quotePrefix="1" applyFont="1" applyBorder="1" applyAlignment="1">
      <alignment horizontal="center"/>
    </xf>
    <xf numFmtId="0" fontId="4" fillId="0" borderId="0" xfId="107" applyAlignment="1">
      <alignment horizontal="center" vertical="center"/>
    </xf>
    <xf numFmtId="0" fontId="31" fillId="0" borderId="0" xfId="107" applyFont="1" applyAlignment="1" applyProtection="1">
      <alignment vertical="center"/>
      <protection hidden="1"/>
    </xf>
    <xf numFmtId="0" fontId="4" fillId="0" borderId="0" xfId="107" applyAlignment="1" applyProtection="1">
      <alignment vertical="center"/>
      <protection hidden="1"/>
    </xf>
    <xf numFmtId="183" fontId="4" fillId="0" borderId="1" xfId="107" applyNumberFormat="1" applyBorder="1" applyProtection="1">
      <protection hidden="1"/>
    </xf>
    <xf numFmtId="0" fontId="4" fillId="33" borderId="0" xfId="107" applyFill="1" applyProtection="1">
      <protection hidden="1"/>
    </xf>
    <xf numFmtId="0" fontId="4" fillId="34" borderId="0" xfId="107" applyFill="1" applyProtection="1">
      <protection hidden="1"/>
    </xf>
    <xf numFmtId="165" fontId="0" fillId="0" borderId="1" xfId="108" applyNumberFormat="1" applyFont="1" applyBorder="1" applyProtection="1">
      <protection hidden="1"/>
    </xf>
    <xf numFmtId="165" fontId="4" fillId="0" borderId="0" xfId="107" applyNumberFormat="1" applyProtection="1">
      <protection hidden="1"/>
    </xf>
    <xf numFmtId="14" fontId="4" fillId="0" borderId="0" xfId="107" applyNumberFormat="1" applyProtection="1">
      <protection hidden="1"/>
    </xf>
    <xf numFmtId="16" fontId="4" fillId="0" borderId="0" xfId="107" applyNumberFormat="1" applyProtection="1">
      <protection hidden="1"/>
    </xf>
    <xf numFmtId="0" fontId="22" fillId="0" borderId="18" xfId="0" applyFont="1" applyBorder="1" applyAlignment="1" applyProtection="1">
      <alignment vertical="center"/>
      <protection locked="0"/>
    </xf>
    <xf numFmtId="0" fontId="26" fillId="3" borderId="1" xfId="0" applyFont="1" applyFill="1" applyBorder="1" applyAlignment="1" applyProtection="1">
      <alignment horizontal="center" vertical="center"/>
      <protection locked="0"/>
    </xf>
    <xf numFmtId="0" fontId="157" fillId="0" borderId="0" xfId="90" applyFont="1" applyFill="1" applyAlignment="1">
      <alignment vertical="center"/>
    </xf>
    <xf numFmtId="0" fontId="158" fillId="0" borderId="60" xfId="90" applyFont="1" applyFill="1" applyBorder="1" applyAlignment="1">
      <alignment vertical="center"/>
    </xf>
    <xf numFmtId="0" fontId="157" fillId="0" borderId="0" xfId="90" applyFont="1" applyFill="1"/>
    <xf numFmtId="3" fontId="158" fillId="0" borderId="60" xfId="90" applyNumberFormat="1" applyFont="1" applyFill="1" applyBorder="1" applyAlignment="1">
      <alignment vertical="center"/>
    </xf>
    <xf numFmtId="3" fontId="158" fillId="0" borderId="3" xfId="90" applyNumberFormat="1" applyFont="1" applyFill="1" applyBorder="1" applyAlignment="1">
      <alignment vertical="center"/>
    </xf>
    <xf numFmtId="3" fontId="0" fillId="0" borderId="0" xfId="90" applyNumberFormat="1" applyFont="1" applyFill="1" applyAlignment="1">
      <alignment vertical="center"/>
    </xf>
    <xf numFmtId="14" fontId="158" fillId="0" borderId="60" xfId="90" applyNumberFormat="1" applyFont="1" applyFill="1" applyBorder="1" applyAlignment="1">
      <alignment vertical="center"/>
    </xf>
    <xf numFmtId="3" fontId="158" fillId="19" borderId="60" xfId="90" applyNumberFormat="1" applyFont="1" applyFill="1" applyBorder="1" applyAlignment="1">
      <alignment vertical="center"/>
    </xf>
    <xf numFmtId="1" fontId="158" fillId="47" borderId="3" xfId="90" applyNumberFormat="1" applyFont="1" applyFill="1" applyBorder="1" applyAlignment="1">
      <alignment vertical="center"/>
    </xf>
    <xf numFmtId="0" fontId="157" fillId="0" borderId="0" xfId="90" applyNumberFormat="1" applyFont="1" applyFill="1" applyAlignment="1">
      <alignment vertical="center"/>
    </xf>
    <xf numFmtId="0" fontId="158" fillId="47" borderId="3" xfId="90" applyNumberFormat="1" applyFont="1" applyFill="1" applyBorder="1" applyAlignment="1">
      <alignment vertical="center"/>
    </xf>
    <xf numFmtId="0" fontId="158" fillId="19" borderId="0" xfId="90" applyFont="1" applyFill="1" applyAlignment="1">
      <alignment vertical="center"/>
    </xf>
    <xf numFmtId="182" fontId="158" fillId="47" borderId="3" xfId="90" applyNumberFormat="1" applyFont="1" applyFill="1" applyBorder="1" applyAlignment="1">
      <alignment vertical="center"/>
    </xf>
    <xf numFmtId="3" fontId="158" fillId="47" borderId="3" xfId="90" applyNumberFormat="1" applyFont="1" applyFill="1" applyBorder="1" applyAlignment="1">
      <alignment vertical="center"/>
    </xf>
    <xf numFmtId="0" fontId="158" fillId="19" borderId="3" xfId="90" applyNumberFormat="1" applyFont="1" applyFill="1" applyBorder="1" applyAlignment="1">
      <alignment vertical="center"/>
    </xf>
    <xf numFmtId="3" fontId="158" fillId="19" borderId="3" xfId="90" applyNumberFormat="1" applyFont="1" applyFill="1" applyBorder="1" applyAlignment="1">
      <alignment vertical="center"/>
    </xf>
    <xf numFmtId="3" fontId="158" fillId="47" borderId="60" xfId="90" applyNumberFormat="1" applyFont="1" applyFill="1" applyBorder="1" applyAlignment="1">
      <alignment vertical="center"/>
    </xf>
    <xf numFmtId="0" fontId="89" fillId="0" borderId="0" xfId="90" applyFont="1" applyFill="1"/>
    <xf numFmtId="0" fontId="43" fillId="0" borderId="60" xfId="90" applyFont="1" applyFill="1" applyBorder="1" applyAlignment="1">
      <alignment vertical="center"/>
    </xf>
    <xf numFmtId="0" fontId="89" fillId="11" borderId="90" xfId="0" applyNumberFormat="1" applyFont="1" applyFill="1" applyBorder="1" applyAlignment="1" applyProtection="1">
      <alignment vertical="center"/>
    </xf>
    <xf numFmtId="0" fontId="89" fillId="11" borderId="91" xfId="0" applyNumberFormat="1" applyFont="1" applyFill="1" applyBorder="1" applyAlignment="1" applyProtection="1">
      <alignment vertical="center"/>
    </xf>
    <xf numFmtId="182" fontId="89" fillId="11" borderId="91" xfId="0" applyNumberFormat="1" applyFont="1" applyFill="1" applyBorder="1" applyAlignment="1" applyProtection="1">
      <alignment vertical="center"/>
    </xf>
    <xf numFmtId="3" fontId="89" fillId="11" borderId="91" xfId="0" applyNumberFormat="1" applyFont="1" applyFill="1" applyBorder="1" applyAlignment="1" applyProtection="1">
      <alignment vertical="center"/>
    </xf>
    <xf numFmtId="3" fontId="89" fillId="11" borderId="86" xfId="0" applyNumberFormat="1" applyFont="1" applyFill="1" applyBorder="1" applyAlignment="1" applyProtection="1">
      <alignment vertical="center"/>
    </xf>
    <xf numFmtId="182" fontId="89" fillId="11" borderId="92" xfId="0" applyNumberFormat="1" applyFont="1" applyFill="1" applyBorder="1" applyAlignment="1" applyProtection="1">
      <alignment vertical="center"/>
    </xf>
    <xf numFmtId="175" fontId="43" fillId="0" borderId="6" xfId="90" quotePrefix="1" applyNumberFormat="1" applyFont="1" applyBorder="1" applyAlignment="1">
      <alignment horizontal="right" vertical="center"/>
    </xf>
    <xf numFmtId="22" fontId="43" fillId="0" borderId="9" xfId="57" applyNumberFormat="1" applyFont="1" applyBorder="1" applyAlignment="1">
      <alignment vertical="center"/>
    </xf>
    <xf numFmtId="22" fontId="43" fillId="0" borderId="0" xfId="90" applyNumberFormat="1" applyFont="1" applyAlignment="1">
      <alignment vertical="center" wrapText="1"/>
    </xf>
    <xf numFmtId="16" fontId="43" fillId="0" borderId="0" xfId="90" applyNumberFormat="1" applyFont="1"/>
    <xf numFmtId="0" fontId="16" fillId="0" borderId="1" xfId="0" applyFont="1" applyBorder="1" applyAlignment="1">
      <alignment vertical="center" wrapText="1"/>
    </xf>
    <xf numFmtId="0" fontId="58" fillId="0" borderId="6" xfId="12" applyBorder="1" applyAlignment="1" applyProtection="1">
      <alignment vertical="center" wrapText="1"/>
    </xf>
    <xf numFmtId="0" fontId="0" fillId="0" borderId="0" xfId="0" quotePrefix="1"/>
    <xf numFmtId="0" fontId="160" fillId="54" borderId="1" xfId="33" applyFont="1" applyFill="1" applyBorder="1" applyAlignment="1" applyProtection="1">
      <alignment horizontal="center" vertical="center"/>
      <protection hidden="1"/>
    </xf>
    <xf numFmtId="0" fontId="160" fillId="54" borderId="1" xfId="33" applyFont="1" applyFill="1" applyBorder="1" applyAlignment="1" applyProtection="1">
      <alignment horizontal="center" vertical="center" wrapText="1"/>
      <protection hidden="1"/>
    </xf>
    <xf numFmtId="0" fontId="88" fillId="0" borderId="0" xfId="33"/>
    <xf numFmtId="186" fontId="161" fillId="0" borderId="1" xfId="33" applyNumberFormat="1" applyFont="1" applyBorder="1" applyAlignment="1" applyProtection="1">
      <alignment horizontal="center" vertical="center"/>
      <protection hidden="1"/>
    </xf>
    <xf numFmtId="0" fontId="161" fillId="0" borderId="1" xfId="33" applyFont="1" applyBorder="1" applyAlignment="1" applyProtection="1">
      <alignment horizontal="left" vertical="center" wrapText="1"/>
      <protection hidden="1"/>
    </xf>
    <xf numFmtId="38" fontId="161" fillId="0" borderId="1" xfId="33" applyNumberFormat="1" applyFont="1" applyBorder="1" applyAlignment="1" applyProtection="1">
      <alignment horizontal="right" vertical="center"/>
      <protection hidden="1"/>
    </xf>
    <xf numFmtId="0" fontId="2" fillId="0" borderId="0" xfId="110"/>
    <xf numFmtId="0" fontId="68" fillId="38" borderId="10" xfId="110" applyFont="1" applyFill="1" applyBorder="1" applyAlignment="1">
      <alignment horizontal="center"/>
    </xf>
    <xf numFmtId="0" fontId="68" fillId="38" borderId="3" xfId="110" applyFont="1" applyFill="1" applyBorder="1" applyAlignment="1">
      <alignment horizontal="center"/>
    </xf>
    <xf numFmtId="0" fontId="68" fillId="38" borderId="17" xfId="110" applyFont="1" applyFill="1" applyBorder="1" applyAlignment="1">
      <alignment horizontal="center"/>
    </xf>
    <xf numFmtId="0" fontId="43" fillId="0" borderId="80" xfId="111" applyFont="1" applyBorder="1"/>
    <xf numFmtId="0" fontId="129" fillId="0" borderId="0" xfId="111"/>
    <xf numFmtId="0" fontId="43" fillId="0" borderId="126" xfId="111" applyFont="1" applyBorder="1"/>
    <xf numFmtId="0" fontId="43" fillId="0" borderId="127" xfId="111" applyFont="1" applyBorder="1"/>
    <xf numFmtId="0" fontId="43" fillId="0" borderId="128" xfId="111" applyFont="1" applyBorder="1"/>
    <xf numFmtId="0" fontId="43" fillId="0" borderId="129" xfId="111" applyFont="1" applyBorder="1"/>
    <xf numFmtId="3" fontId="43" fillId="0" borderId="80" xfId="111" applyNumberFormat="1" applyFont="1" applyBorder="1"/>
    <xf numFmtId="0" fontId="43" fillId="0" borderId="132" xfId="111" applyFont="1" applyBorder="1"/>
    <xf numFmtId="0" fontId="43" fillId="0" borderId="133" xfId="111" applyFont="1" applyBorder="1"/>
    <xf numFmtId="0" fontId="129" fillId="0" borderId="80" xfId="111" applyBorder="1"/>
    <xf numFmtId="0" fontId="163" fillId="0" borderId="80" xfId="111" applyFont="1" applyBorder="1"/>
    <xf numFmtId="0" fontId="43" fillId="0" borderId="143" xfId="111" applyFont="1" applyBorder="1"/>
    <xf numFmtId="0" fontId="129" fillId="0" borderId="144" xfId="111" applyBorder="1"/>
    <xf numFmtId="0" fontId="43" fillId="0" borderId="144" xfId="111" applyFont="1" applyBorder="1"/>
    <xf numFmtId="0" fontId="43" fillId="0" borderId="145" xfId="111" applyFont="1" applyBorder="1"/>
    <xf numFmtId="0" fontId="43" fillId="0" borderId="0" xfId="111" applyFont="1"/>
    <xf numFmtId="0" fontId="162" fillId="55" borderId="130" xfId="111" applyFont="1" applyFill="1" applyBorder="1" applyAlignment="1">
      <alignment horizontal="center"/>
    </xf>
    <xf numFmtId="0" fontId="162" fillId="55" borderId="131" xfId="111" applyFont="1" applyFill="1" applyBorder="1" applyAlignment="1">
      <alignment horizontal="center"/>
    </xf>
    <xf numFmtId="0" fontId="162" fillId="55" borderId="137" xfId="111" applyFont="1" applyFill="1" applyBorder="1" applyAlignment="1">
      <alignment horizontal="center"/>
    </xf>
    <xf numFmtId="0" fontId="43" fillId="0" borderId="83" xfId="111" applyFont="1" applyBorder="1"/>
    <xf numFmtId="0" fontId="129" fillId="56" borderId="140" xfId="111" applyFill="1" applyBorder="1"/>
    <xf numFmtId="0" fontId="43" fillId="56" borderId="146" xfId="111" applyFont="1" applyFill="1" applyBorder="1"/>
    <xf numFmtId="0" fontId="43" fillId="56" borderId="147" xfId="111" applyFont="1" applyFill="1" applyBorder="1"/>
    <xf numFmtId="0" fontId="43" fillId="0" borderId="148" xfId="111" applyFont="1" applyBorder="1"/>
    <xf numFmtId="0" fontId="164" fillId="0" borderId="140" xfId="111" applyFont="1" applyBorder="1"/>
    <xf numFmtId="0" fontId="43" fillId="0" borderId="146" xfId="111" applyFont="1" applyBorder="1"/>
    <xf numFmtId="0" fontId="43" fillId="0" borderId="147" xfId="111" applyFont="1" applyBorder="1"/>
    <xf numFmtId="0" fontId="43" fillId="0" borderId="149" xfId="111" applyFont="1" applyBorder="1"/>
    <xf numFmtId="0" fontId="164" fillId="0" borderId="150" xfId="111" applyFont="1" applyBorder="1"/>
    <xf numFmtId="0" fontId="43" fillId="0" borderId="125" xfId="111" applyFont="1" applyBorder="1"/>
    <xf numFmtId="0" fontId="43" fillId="0" borderId="151" xfId="111" applyFont="1" applyBorder="1"/>
    <xf numFmtId="0" fontId="129" fillId="0" borderId="150" xfId="111" applyBorder="1"/>
    <xf numFmtId="0" fontId="129" fillId="56" borderId="150" xfId="111" applyFill="1" applyBorder="1"/>
    <xf numFmtId="0" fontId="43" fillId="56" borderId="125" xfId="111" applyFont="1" applyFill="1" applyBorder="1"/>
    <xf numFmtId="0" fontId="43" fillId="56" borderId="151" xfId="111" applyFont="1" applyFill="1" applyBorder="1"/>
    <xf numFmtId="0" fontId="130" fillId="57" borderId="136" xfId="111" applyFont="1" applyFill="1" applyBorder="1"/>
    <xf numFmtId="0" fontId="44" fillId="57" borderId="135" xfId="111" applyFont="1" applyFill="1" applyBorder="1"/>
    <xf numFmtId="0" fontId="44" fillId="57" borderId="137" xfId="111" applyFont="1" applyFill="1" applyBorder="1"/>
    <xf numFmtId="0" fontId="44" fillId="0" borderId="148" xfId="111" applyFont="1" applyBorder="1"/>
    <xf numFmtId="0" fontId="43" fillId="0" borderId="152" xfId="111" applyFont="1" applyBorder="1"/>
    <xf numFmtId="0" fontId="129" fillId="0" borderId="153" xfId="111" applyBorder="1"/>
    <xf numFmtId="0" fontId="43" fillId="0" borderId="153" xfId="111" applyFont="1" applyBorder="1"/>
    <xf numFmtId="3" fontId="43" fillId="56" borderId="147" xfId="111" applyNumberFormat="1" applyFont="1" applyFill="1" applyBorder="1"/>
    <xf numFmtId="3" fontId="43" fillId="0" borderId="148" xfId="111" applyNumberFormat="1" applyFont="1" applyBorder="1"/>
    <xf numFmtId="3" fontId="43" fillId="0" borderId="147" xfId="111" applyNumberFormat="1" applyFont="1" applyBorder="1"/>
    <xf numFmtId="3" fontId="43" fillId="0" borderId="127" xfId="111" applyNumberFormat="1" applyFont="1" applyBorder="1"/>
    <xf numFmtId="3" fontId="43" fillId="0" borderId="151" xfId="111" applyNumberFormat="1" applyFont="1" applyBorder="1"/>
    <xf numFmtId="3" fontId="43" fillId="56" borderId="151" xfId="111" applyNumberFormat="1" applyFont="1" applyFill="1" applyBorder="1"/>
    <xf numFmtId="3" fontId="44" fillId="57" borderId="137" xfId="111" applyNumberFormat="1" applyFont="1" applyFill="1" applyBorder="1"/>
    <xf numFmtId="3" fontId="44" fillId="0" borderId="148" xfId="111" applyNumberFormat="1" applyFont="1" applyBorder="1"/>
    <xf numFmtId="0" fontId="129" fillId="0" borderId="84" xfId="111" applyBorder="1"/>
    <xf numFmtId="0" fontId="43" fillId="0" borderId="84" xfId="111" applyFont="1" applyBorder="1"/>
    <xf numFmtId="3" fontId="43" fillId="0" borderId="84" xfId="111" applyNumberFormat="1" applyFont="1" applyBorder="1"/>
    <xf numFmtId="0" fontId="43" fillId="56" borderId="150" xfId="111" applyFont="1" applyFill="1" applyBorder="1"/>
    <xf numFmtId="0" fontId="44" fillId="57" borderId="136" xfId="111" applyFont="1" applyFill="1" applyBorder="1"/>
    <xf numFmtId="3" fontId="43" fillId="0" borderId="153" xfId="111" applyNumberFormat="1" applyFont="1" applyBorder="1"/>
    <xf numFmtId="3" fontId="43" fillId="0" borderId="132" xfId="111" applyNumberFormat="1" applyFont="1" applyBorder="1"/>
    <xf numFmtId="0" fontId="68" fillId="0" borderId="6" xfId="0" applyFont="1" applyBorder="1"/>
    <xf numFmtId="0" fontId="0" fillId="0" borderId="10" xfId="0" applyBorder="1"/>
    <xf numFmtId="0" fontId="0" fillId="0" borderId="3" xfId="0" applyBorder="1"/>
    <xf numFmtId="0" fontId="68" fillId="0" borderId="11" xfId="0" applyFont="1" applyBorder="1"/>
    <xf numFmtId="0" fontId="162" fillId="55" borderId="154" xfId="111" applyFont="1" applyFill="1" applyBorder="1" applyAlignment="1">
      <alignment horizontal="center" vertical="center"/>
    </xf>
    <xf numFmtId="3" fontId="162" fillId="55" borderId="155" xfId="111" applyNumberFormat="1" applyFont="1" applyFill="1" applyBorder="1" applyAlignment="1">
      <alignment horizontal="center" vertical="center"/>
    </xf>
    <xf numFmtId="3" fontId="162" fillId="55" borderId="154" xfId="111" applyNumberFormat="1" applyFont="1" applyFill="1" applyBorder="1" applyAlignment="1">
      <alignment horizontal="center" vertical="center"/>
    </xf>
    <xf numFmtId="17" fontId="44" fillId="59" borderId="156" xfId="111" applyNumberFormat="1" applyFont="1" applyFill="1" applyBorder="1" applyAlignment="1">
      <alignment horizontal="center" vertical="center"/>
    </xf>
    <xf numFmtId="3" fontId="43" fillId="0" borderId="157" xfId="111" applyNumberFormat="1" applyFont="1" applyBorder="1"/>
    <xf numFmtId="3" fontId="43" fillId="60" borderId="157" xfId="111" applyNumberFormat="1" applyFont="1" applyFill="1" applyBorder="1"/>
    <xf numFmtId="3" fontId="44" fillId="59" borderId="156" xfId="111" applyNumberFormat="1" applyFont="1" applyFill="1" applyBorder="1"/>
    <xf numFmtId="0" fontId="44" fillId="59" borderId="154" xfId="111" applyFont="1" applyFill="1" applyBorder="1" applyAlignment="1">
      <alignment horizontal="center" vertical="center"/>
    </xf>
    <xf numFmtId="3" fontId="44" fillId="59" borderId="155" xfId="111" applyNumberFormat="1" applyFont="1" applyFill="1" applyBorder="1"/>
    <xf numFmtId="3" fontId="44" fillId="59" borderId="154" xfId="111" applyNumberFormat="1" applyFont="1" applyFill="1" applyBorder="1"/>
    <xf numFmtId="0" fontId="168" fillId="0" borderId="80" xfId="111" applyFont="1" applyBorder="1"/>
    <xf numFmtId="3" fontId="168" fillId="0" borderId="80" xfId="111" applyNumberFormat="1" applyFont="1" applyBorder="1"/>
    <xf numFmtId="0" fontId="0" fillId="0" borderId="26" xfId="0" applyBorder="1"/>
    <xf numFmtId="0" fontId="0" fillId="0" borderId="4" xfId="0" applyBorder="1"/>
    <xf numFmtId="0" fontId="68" fillId="0" borderId="28" xfId="0" applyFont="1" applyBorder="1"/>
    <xf numFmtId="0" fontId="16" fillId="0" borderId="5" xfId="0" applyFont="1" applyBorder="1"/>
    <xf numFmtId="0" fontId="167" fillId="0" borderId="0" xfId="111" applyFont="1"/>
    <xf numFmtId="0" fontId="167" fillId="58" borderId="0" xfId="111" applyFont="1" applyFill="1"/>
    <xf numFmtId="0" fontId="167" fillId="0" borderId="161" xfId="111" applyFont="1" applyBorder="1"/>
    <xf numFmtId="0" fontId="170" fillId="58" borderId="0" xfId="111" applyFont="1" applyFill="1" applyAlignment="1">
      <alignment horizontal="center"/>
    </xf>
    <xf numFmtId="0" fontId="170" fillId="58" borderId="0" xfId="111" applyFont="1" applyFill="1"/>
    <xf numFmtId="0" fontId="170" fillId="0" borderId="0" xfId="111" applyFont="1"/>
    <xf numFmtId="0" fontId="167" fillId="0" borderId="162" xfId="111" applyFont="1" applyBorder="1"/>
    <xf numFmtId="0" fontId="166" fillId="0" borderId="0" xfId="111" applyFont="1" applyAlignment="1">
      <alignment horizontal="right" vertical="center" textRotation="90"/>
    </xf>
    <xf numFmtId="0" fontId="171" fillId="58" borderId="0" xfId="111" applyFont="1" applyFill="1" applyAlignment="1">
      <alignment horizontal="center" vertical="center"/>
    </xf>
    <xf numFmtId="0" fontId="166" fillId="0" borderId="0" xfId="111" applyFont="1" applyAlignment="1">
      <alignment horizontal="right" vertical="center"/>
    </xf>
    <xf numFmtId="0" fontId="21" fillId="58" borderId="0" xfId="111" applyFont="1" applyFill="1"/>
    <xf numFmtId="0" fontId="167" fillId="0" borderId="165" xfId="111" applyFont="1" applyBorder="1"/>
    <xf numFmtId="0" fontId="167" fillId="0" borderId="166" xfId="111" applyFont="1" applyBorder="1"/>
    <xf numFmtId="0" fontId="167" fillId="0" borderId="167" xfId="111" applyFont="1" applyBorder="1"/>
    <xf numFmtId="0" fontId="167" fillId="58" borderId="168" xfId="111" applyFont="1" applyFill="1" applyBorder="1" applyAlignment="1">
      <alignment horizontal="left"/>
    </xf>
    <xf numFmtId="0" fontId="167" fillId="58" borderId="162" xfId="111" applyFont="1" applyFill="1" applyBorder="1" applyAlignment="1">
      <alignment horizontal="left"/>
    </xf>
    <xf numFmtId="0" fontId="167" fillId="58" borderId="161" xfId="111" applyFont="1" applyFill="1" applyBorder="1" applyAlignment="1">
      <alignment horizontal="left"/>
    </xf>
    <xf numFmtId="0" fontId="167" fillId="58" borderId="0" xfId="111" applyFont="1" applyFill="1" applyAlignment="1">
      <alignment horizontal="left"/>
    </xf>
    <xf numFmtId="0" fontId="173" fillId="58" borderId="161" xfId="111" applyFont="1" applyFill="1" applyBorder="1" applyAlignment="1">
      <alignment horizontal="left"/>
    </xf>
    <xf numFmtId="0" fontId="173" fillId="58" borderId="0" xfId="111" applyFont="1" applyFill="1" applyAlignment="1">
      <alignment horizontal="left"/>
    </xf>
    <xf numFmtId="0" fontId="173" fillId="58" borderId="162" xfId="111" applyFont="1" applyFill="1" applyBorder="1" applyAlignment="1">
      <alignment horizontal="left"/>
    </xf>
    <xf numFmtId="0" fontId="167" fillId="58" borderId="161" xfId="111" applyFont="1" applyFill="1" applyBorder="1" applyAlignment="1">
      <alignment horizontal="right"/>
    </xf>
    <xf numFmtId="0" fontId="166" fillId="58" borderId="124" xfId="111" applyFont="1" applyFill="1" applyBorder="1" applyAlignment="1">
      <alignment horizontal="center" vertical="center" wrapText="1"/>
    </xf>
    <xf numFmtId="0" fontId="167" fillId="58" borderId="162" xfId="111" applyFont="1" applyFill="1" applyBorder="1" applyAlignment="1">
      <alignment wrapText="1"/>
    </xf>
    <xf numFmtId="0" fontId="174" fillId="58" borderId="124" xfId="111" applyFont="1" applyFill="1" applyBorder="1" applyAlignment="1">
      <alignment horizontal="center" vertical="center" wrapText="1"/>
    </xf>
    <xf numFmtId="0" fontId="175" fillId="58" borderId="124" xfId="111" applyFont="1" applyFill="1" applyBorder="1" applyAlignment="1">
      <alignment horizontal="right" vertical="center" wrapText="1"/>
    </xf>
    <xf numFmtId="0" fontId="167" fillId="58" borderId="161" xfId="111" applyFont="1" applyFill="1" applyBorder="1" applyAlignment="1">
      <alignment horizontal="right" vertical="top"/>
    </xf>
    <xf numFmtId="0" fontId="64" fillId="0" borderId="15" xfId="0" applyFont="1" applyBorder="1" applyAlignment="1" applyProtection="1">
      <alignment horizontal="left" vertical="center"/>
    </xf>
    <xf numFmtId="0" fontId="64" fillId="0" borderId="16" xfId="0" applyFont="1" applyBorder="1" applyAlignment="1" applyProtection="1">
      <alignment horizontal="left" vertical="center"/>
    </xf>
    <xf numFmtId="0" fontId="64" fillId="0" borderId="15" xfId="0" applyFont="1" applyBorder="1" applyAlignment="1" applyProtection="1">
      <alignment horizontal="left" vertical="center"/>
      <protection locked="0"/>
    </xf>
    <xf numFmtId="0" fontId="64" fillId="0" borderId="16" xfId="0" applyFont="1" applyBorder="1" applyAlignment="1" applyProtection="1">
      <alignment horizontal="left" vertical="center"/>
      <protection locked="0"/>
    </xf>
    <xf numFmtId="0" fontId="66" fillId="22" borderId="1" xfId="0" applyFont="1" applyFill="1" applyBorder="1" applyAlignment="1" applyProtection="1">
      <alignment horizontal="left" vertical="center"/>
      <protection locked="0"/>
    </xf>
    <xf numFmtId="0" fontId="64" fillId="0" borderId="3" xfId="0" applyFont="1" applyBorder="1" applyAlignment="1" applyProtection="1">
      <alignment horizontal="left" vertical="center"/>
    </xf>
    <xf numFmtId="0" fontId="66" fillId="22" borderId="1" xfId="0" applyFont="1" applyFill="1" applyBorder="1" applyAlignment="1" applyProtection="1">
      <alignment horizontal="left" vertical="center"/>
    </xf>
    <xf numFmtId="0" fontId="67" fillId="0" borderId="1" xfId="0" applyFont="1" applyBorder="1" applyAlignment="1" applyProtection="1">
      <alignment horizontal="left" vertical="center"/>
    </xf>
    <xf numFmtId="0" fontId="64" fillId="0" borderId="1" xfId="0" applyFont="1" applyBorder="1" applyAlignment="1" applyProtection="1">
      <alignment horizontal="left" vertical="center"/>
    </xf>
    <xf numFmtId="0" fontId="64" fillId="0" borderId="15" xfId="0" applyFont="1" applyBorder="1" applyAlignment="1" applyProtection="1">
      <alignment horizontal="center" vertical="center"/>
    </xf>
    <xf numFmtId="0" fontId="64" fillId="0" borderId="16" xfId="0" applyFont="1" applyBorder="1" applyAlignment="1" applyProtection="1">
      <alignment horizontal="center" vertical="center"/>
    </xf>
    <xf numFmtId="0" fontId="64" fillId="0" borderId="15" xfId="0" applyFont="1" applyBorder="1" applyAlignment="1" applyProtection="1">
      <alignment horizontal="left" vertical="center" wrapText="1"/>
    </xf>
    <xf numFmtId="0" fontId="64" fillId="0" borderId="16" xfId="0" applyFont="1" applyBorder="1" applyAlignment="1" applyProtection="1">
      <alignment horizontal="left" vertical="center" wrapText="1"/>
    </xf>
    <xf numFmtId="0" fontId="64" fillId="0" borderId="2" xfId="0" applyFont="1" applyBorder="1" applyAlignment="1" applyProtection="1">
      <alignment horizontal="left" vertical="center" wrapText="1"/>
    </xf>
    <xf numFmtId="0" fontId="64" fillId="0" borderId="3" xfId="0" applyFont="1" applyBorder="1" applyAlignment="1" applyProtection="1">
      <alignment horizontal="left" vertical="center" wrapText="1"/>
    </xf>
    <xf numFmtId="0" fontId="64" fillId="0" borderId="1" xfId="0" applyFont="1" applyBorder="1" applyAlignment="1" applyProtection="1">
      <alignment horizontal="left" vertical="center" wrapText="1"/>
    </xf>
    <xf numFmtId="0" fontId="64" fillId="0" borderId="15" xfId="0" applyFont="1" applyBorder="1" applyAlignment="1" applyProtection="1">
      <alignment vertical="center" wrapText="1"/>
    </xf>
    <xf numFmtId="0" fontId="64" fillId="0" borderId="2" xfId="0" applyFont="1" applyBorder="1" applyAlignment="1" applyProtection="1">
      <alignment vertical="center" wrapText="1"/>
    </xf>
    <xf numFmtId="0" fontId="27" fillId="5" borderId="58" xfId="0" applyNumberFormat="1" applyFont="1" applyFill="1" applyBorder="1" applyAlignment="1" applyProtection="1">
      <alignment horizontal="center" vertical="center"/>
    </xf>
    <xf numFmtId="0" fontId="0" fillId="0" borderId="54" xfId="0" applyBorder="1" applyProtection="1"/>
    <xf numFmtId="0" fontId="0" fillId="0" borderId="51" xfId="0" applyBorder="1" applyProtection="1"/>
    <xf numFmtId="0" fontId="0" fillId="0" borderId="0" xfId="0" applyProtection="1"/>
    <xf numFmtId="0" fontId="0" fillId="0" borderId="57" xfId="0" applyBorder="1" applyProtection="1"/>
    <xf numFmtId="0" fontId="0" fillId="0" borderId="18" xfId="0" applyBorder="1" applyProtection="1"/>
    <xf numFmtId="0" fontId="23" fillId="5" borderId="54" xfId="0" applyNumberFormat="1" applyFont="1" applyFill="1" applyBorder="1" applyAlignment="1" applyProtection="1">
      <alignment horizontal="center" vertical="center" wrapText="1"/>
    </xf>
    <xf numFmtId="0" fontId="23" fillId="5" borderId="0" xfId="0" applyNumberFormat="1" applyFont="1" applyFill="1" applyBorder="1" applyAlignment="1" applyProtection="1">
      <alignment horizontal="center" vertical="center" wrapText="1"/>
    </xf>
    <xf numFmtId="0" fontId="23" fillId="5" borderId="18" xfId="0" applyNumberFormat="1" applyFont="1" applyFill="1" applyBorder="1" applyAlignment="1" applyProtection="1">
      <alignment horizontal="center" vertical="center" wrapText="1"/>
    </xf>
    <xf numFmtId="0" fontId="22" fillId="8" borderId="0" xfId="0" applyNumberFormat="1" applyFont="1" applyFill="1" applyBorder="1" applyAlignment="1" applyProtection="1">
      <alignment horizontal="center" vertical="center"/>
    </xf>
    <xf numFmtId="0" fontId="65" fillId="0" borderId="1" xfId="0" applyFont="1" applyBorder="1" applyAlignment="1" applyProtection="1">
      <alignment horizontal="center" vertical="center"/>
    </xf>
    <xf numFmtId="0" fontId="50" fillId="5" borderId="52" xfId="0" applyFont="1" applyFill="1" applyBorder="1" applyAlignment="1">
      <alignment horizontal="center"/>
    </xf>
    <xf numFmtId="0" fontId="50" fillId="5" borderId="36" xfId="0" applyFont="1" applyFill="1" applyBorder="1" applyAlignment="1">
      <alignment horizontal="center"/>
    </xf>
    <xf numFmtId="0" fontId="50" fillId="5" borderId="37" xfId="0" applyFont="1" applyFill="1" applyBorder="1" applyAlignment="1">
      <alignment horizontal="center"/>
    </xf>
    <xf numFmtId="0" fontId="17" fillId="3" borderId="52" xfId="0" applyFont="1" applyFill="1" applyBorder="1" applyAlignment="1">
      <alignment horizontal="center" vertical="center"/>
    </xf>
    <xf numFmtId="0" fontId="17" fillId="3" borderId="36" xfId="0" applyFont="1" applyFill="1" applyBorder="1" applyAlignment="1">
      <alignment horizontal="center" vertical="center"/>
    </xf>
    <xf numFmtId="0" fontId="17" fillId="3" borderId="37" xfId="0" applyFont="1" applyFill="1" applyBorder="1" applyAlignment="1">
      <alignment horizontal="center" vertical="center"/>
    </xf>
    <xf numFmtId="0" fontId="68" fillId="38" borderId="12" xfId="110" applyFont="1" applyFill="1" applyBorder="1" applyAlignment="1">
      <alignment horizontal="center"/>
    </xf>
    <xf numFmtId="0" fontId="68" fillId="38" borderId="13" xfId="110" applyFont="1" applyFill="1" applyBorder="1" applyAlignment="1">
      <alignment horizontal="center"/>
    </xf>
    <xf numFmtId="0" fontId="68" fillId="38" borderId="14" xfId="110" applyFont="1" applyFill="1" applyBorder="1" applyAlignment="1">
      <alignment horizontal="center"/>
    </xf>
    <xf numFmtId="0" fontId="97" fillId="38" borderId="58" xfId="23" applyFont="1" applyFill="1" applyBorder="1" applyAlignment="1">
      <alignment horizontal="center" vertical="center"/>
    </xf>
    <xf numFmtId="0" fontId="97" fillId="38" borderId="54" xfId="23" applyFont="1" applyFill="1" applyBorder="1" applyAlignment="1">
      <alignment horizontal="center" vertical="center"/>
    </xf>
    <xf numFmtId="0" fontId="97" fillId="38" borderId="55" xfId="23" applyFont="1" applyFill="1" applyBorder="1" applyAlignment="1">
      <alignment horizontal="center" vertical="center"/>
    </xf>
    <xf numFmtId="0" fontId="17" fillId="11" borderId="25" xfId="23" applyFont="1" applyFill="1" applyBorder="1" applyAlignment="1">
      <alignment horizontal="left" vertical="center"/>
    </xf>
    <xf numFmtId="0" fontId="17" fillId="11" borderId="27" xfId="23" applyFont="1" applyFill="1" applyBorder="1" applyAlignment="1">
      <alignment horizontal="left" vertical="center"/>
    </xf>
    <xf numFmtId="0" fontId="113" fillId="0" borderId="21" xfId="57" applyFont="1" applyBorder="1" applyAlignment="1">
      <alignment horizontal="right" vertical="center" wrapText="1"/>
    </xf>
    <xf numFmtId="0" fontId="113" fillId="0" borderId="49" xfId="57" applyFont="1" applyBorder="1" applyAlignment="1">
      <alignment horizontal="right" vertical="center" wrapText="1"/>
    </xf>
    <xf numFmtId="0" fontId="113" fillId="0" borderId="48" xfId="57" applyFont="1" applyBorder="1" applyAlignment="1">
      <alignment horizontal="right" vertical="center" wrapText="1"/>
    </xf>
    <xf numFmtId="0" fontId="17" fillId="11" borderId="5" xfId="23" applyFont="1" applyFill="1" applyBorder="1" applyAlignment="1">
      <alignment horizontal="left" vertical="center"/>
    </xf>
    <xf numFmtId="0" fontId="17" fillId="11" borderId="1" xfId="23" applyFont="1" applyFill="1" applyBorder="1" applyAlignment="1">
      <alignment horizontal="left" vertical="center"/>
    </xf>
    <xf numFmtId="0" fontId="113" fillId="0" borderId="1" xfId="90" applyFont="1" applyBorder="1" applyAlignment="1">
      <alignment horizontal="right" vertical="center" wrapText="1"/>
    </xf>
    <xf numFmtId="0" fontId="113" fillId="0" borderId="6" xfId="90" applyFont="1" applyBorder="1" applyAlignment="1">
      <alignment horizontal="right" vertical="center" wrapText="1"/>
    </xf>
    <xf numFmtId="0" fontId="113" fillId="0" borderId="15" xfId="57" applyFont="1" applyBorder="1" applyAlignment="1">
      <alignment horizontal="right" vertical="center" wrapText="1"/>
    </xf>
    <xf numFmtId="0" fontId="113" fillId="0" borderId="16" xfId="57" applyFont="1" applyBorder="1" applyAlignment="1">
      <alignment horizontal="right" vertical="center" wrapText="1"/>
    </xf>
    <xf numFmtId="22" fontId="113" fillId="0" borderId="15" xfId="57" applyNumberFormat="1" applyFont="1" applyBorder="1" applyAlignment="1">
      <alignment horizontal="right" vertical="center" wrapText="1"/>
    </xf>
    <xf numFmtId="22" fontId="113" fillId="0" borderId="53" xfId="57" applyNumberFormat="1" applyFont="1" applyBorder="1" applyAlignment="1">
      <alignment horizontal="right" vertical="center" wrapText="1"/>
    </xf>
    <xf numFmtId="175" fontId="113" fillId="0" borderId="15" xfId="57" applyNumberFormat="1" applyFont="1" applyBorder="1" applyAlignment="1">
      <alignment horizontal="right" vertical="center" wrapText="1"/>
    </xf>
    <xf numFmtId="175" fontId="113" fillId="0" borderId="16" xfId="57" applyNumberFormat="1" applyFont="1" applyBorder="1" applyAlignment="1">
      <alignment horizontal="right" vertical="center" wrapText="1"/>
    </xf>
    <xf numFmtId="175" fontId="113" fillId="0" borderId="53" xfId="57" applyNumberFormat="1" applyFont="1" applyBorder="1" applyAlignment="1">
      <alignment horizontal="right" vertical="center" wrapText="1"/>
    </xf>
    <xf numFmtId="14" fontId="16" fillId="0" borderId="1" xfId="23" applyNumberFormat="1" applyFont="1" applyBorder="1" applyAlignment="1">
      <alignment horizontal="right" vertical="center" wrapText="1"/>
    </xf>
    <xf numFmtId="0" fontId="16" fillId="0" borderId="1" xfId="23" applyFont="1" applyBorder="1" applyAlignment="1">
      <alignment horizontal="right" vertical="center" wrapText="1"/>
    </xf>
    <xf numFmtId="0" fontId="16" fillId="0" borderId="6" xfId="23" applyFont="1" applyBorder="1" applyAlignment="1">
      <alignment horizontal="right" vertical="center" wrapText="1"/>
    </xf>
    <xf numFmtId="176" fontId="16" fillId="0" borderId="15" xfId="23" applyNumberFormat="1" applyFont="1" applyBorder="1" applyAlignment="1">
      <alignment horizontal="right" vertical="center"/>
    </xf>
    <xf numFmtId="176" fontId="16" fillId="0" borderId="2" xfId="23" applyNumberFormat="1" applyFont="1" applyBorder="1" applyAlignment="1">
      <alignment horizontal="right" vertical="center"/>
    </xf>
    <xf numFmtId="176" fontId="16" fillId="0" borderId="53" xfId="23" applyNumberFormat="1" applyFont="1" applyBorder="1" applyAlignment="1">
      <alignment horizontal="right" vertical="center"/>
    </xf>
    <xf numFmtId="175" fontId="16" fillId="0" borderId="15" xfId="23" applyNumberFormat="1" applyFont="1" applyBorder="1" applyAlignment="1">
      <alignment horizontal="right" vertical="center" wrapText="1"/>
    </xf>
    <xf numFmtId="175" fontId="16" fillId="0" borderId="2" xfId="23" applyNumberFormat="1" applyFont="1" applyBorder="1" applyAlignment="1">
      <alignment horizontal="right" vertical="center" wrapText="1"/>
    </xf>
    <xf numFmtId="175" fontId="16" fillId="0" borderId="53" xfId="23" applyNumberFormat="1" applyFont="1" applyBorder="1" applyAlignment="1">
      <alignment horizontal="right" vertical="center" wrapText="1"/>
    </xf>
    <xf numFmtId="0" fontId="16" fillId="0" borderId="15" xfId="23" applyFont="1" applyBorder="1" applyAlignment="1">
      <alignment horizontal="right" vertical="center" wrapText="1"/>
    </xf>
    <xf numFmtId="0" fontId="16" fillId="0" borderId="16" xfId="23" applyFont="1" applyBorder="1" applyAlignment="1">
      <alignment horizontal="right" vertical="center" wrapText="1"/>
    </xf>
    <xf numFmtId="0" fontId="16" fillId="0" borderId="53" xfId="23" applyFont="1" applyBorder="1" applyAlignment="1">
      <alignment horizontal="right" vertical="center" wrapText="1"/>
    </xf>
    <xf numFmtId="175" fontId="16" fillId="0" borderId="1" xfId="23" applyNumberFormat="1" applyFont="1" applyBorder="1" applyAlignment="1">
      <alignment horizontal="right" vertical="center" wrapText="1"/>
    </xf>
    <xf numFmtId="175" fontId="16" fillId="0" borderId="6" xfId="23" applyNumberFormat="1" applyFont="1" applyBorder="1" applyAlignment="1">
      <alignment horizontal="right" vertical="center" wrapText="1"/>
    </xf>
    <xf numFmtId="0" fontId="43" fillId="0" borderId="1" xfId="57" applyFont="1" applyBorder="1" applyAlignment="1">
      <alignment horizontal="left" vertical="center" wrapText="1"/>
    </xf>
    <xf numFmtId="0" fontId="43" fillId="0" borderId="6" xfId="57" applyFont="1" applyBorder="1" applyAlignment="1">
      <alignment horizontal="left" vertical="center" wrapText="1"/>
    </xf>
    <xf numFmtId="0" fontId="17" fillId="11" borderId="7" xfId="23" applyFont="1" applyFill="1" applyBorder="1" applyAlignment="1">
      <alignment horizontal="left" vertical="center"/>
    </xf>
    <xf numFmtId="0" fontId="17" fillId="11" borderId="8" xfId="23" applyFont="1" applyFill="1" applyBorder="1" applyAlignment="1">
      <alignment horizontal="left" vertical="center"/>
    </xf>
    <xf numFmtId="0" fontId="58" fillId="0" borderId="8" xfId="12" applyBorder="1" applyAlignment="1" applyProtection="1">
      <alignment horizontal="right" vertical="center" wrapText="1"/>
    </xf>
    <xf numFmtId="0" fontId="43" fillId="0" borderId="8" xfId="38" applyFont="1" applyBorder="1" applyAlignment="1">
      <alignment horizontal="right" vertical="center" wrapText="1"/>
    </xf>
    <xf numFmtId="0" fontId="43" fillId="0" borderId="9" xfId="38" applyFont="1" applyBorder="1" applyAlignment="1">
      <alignment horizontal="right" vertical="center" wrapText="1"/>
    </xf>
    <xf numFmtId="175" fontId="16" fillId="0" borderId="15" xfId="23" applyNumberFormat="1" applyFont="1" applyBorder="1" applyAlignment="1">
      <alignment horizontal="right" vertical="center"/>
    </xf>
    <xf numFmtId="175" fontId="16" fillId="0" borderId="2" xfId="23" applyNumberFormat="1" applyFont="1" applyBorder="1" applyAlignment="1">
      <alignment horizontal="right" vertical="center"/>
    </xf>
    <xf numFmtId="175" fontId="16" fillId="0" borderId="53" xfId="23" applyNumberFormat="1" applyFont="1" applyBorder="1" applyAlignment="1">
      <alignment horizontal="right" vertical="center"/>
    </xf>
    <xf numFmtId="0" fontId="58" fillId="0" borderId="1" xfId="12" applyBorder="1" applyAlignment="1" applyProtection="1">
      <alignment horizontal="right" vertical="center"/>
    </xf>
    <xf numFmtId="0" fontId="114" fillId="0" borderId="1" xfId="38" applyFont="1" applyBorder="1" applyAlignment="1">
      <alignment horizontal="right" vertical="center"/>
    </xf>
    <xf numFmtId="0" fontId="114" fillId="0" borderId="6" xfId="38" applyFont="1" applyBorder="1" applyAlignment="1">
      <alignment horizontal="right" vertical="center"/>
    </xf>
    <xf numFmtId="0" fontId="43" fillId="0" borderId="1" xfId="90" applyFont="1" applyBorder="1" applyAlignment="1">
      <alignment vertical="center" wrapText="1"/>
    </xf>
    <xf numFmtId="0" fontId="43" fillId="0" borderId="6" xfId="90" applyFont="1" applyBorder="1" applyAlignment="1">
      <alignment vertical="center" wrapText="1"/>
    </xf>
    <xf numFmtId="0" fontId="114" fillId="0" borderId="8" xfId="38" applyFont="1" applyBorder="1" applyAlignment="1">
      <alignment horizontal="right" vertical="center"/>
    </xf>
    <xf numFmtId="0" fontId="16" fillId="0" borderId="8" xfId="38" applyFont="1" applyBorder="1" applyAlignment="1">
      <alignment horizontal="right" vertical="center"/>
    </xf>
    <xf numFmtId="0" fontId="16" fillId="0" borderId="9" xfId="38" applyFont="1" applyBorder="1" applyAlignment="1">
      <alignment horizontal="right" vertical="center"/>
    </xf>
    <xf numFmtId="0" fontId="25" fillId="39" borderId="25" xfId="23" applyFont="1" applyFill="1" applyBorder="1" applyAlignment="1">
      <alignment horizontal="center" vertical="center"/>
    </xf>
    <xf numFmtId="0" fontId="25" fillId="39" borderId="27" xfId="23" applyFont="1" applyFill="1" applyBorder="1" applyAlignment="1">
      <alignment horizontal="center" vertical="center"/>
    </xf>
    <xf numFmtId="0" fontId="25" fillId="39" borderId="22" xfId="23" applyFont="1" applyFill="1" applyBorder="1" applyAlignment="1">
      <alignment horizontal="center" vertical="center"/>
    </xf>
    <xf numFmtId="0" fontId="43" fillId="0" borderId="1" xfId="90" applyFont="1" applyBorder="1" applyAlignment="1">
      <alignment vertical="center"/>
    </xf>
    <xf numFmtId="14" fontId="43" fillId="0" borderId="1" xfId="90" applyNumberFormat="1" applyFont="1" applyBorder="1" applyAlignment="1">
      <alignment vertical="center"/>
    </xf>
    <xf numFmtId="0" fontId="43" fillId="0" borderId="6" xfId="90" applyFont="1" applyBorder="1" applyAlignment="1">
      <alignment vertical="center"/>
    </xf>
    <xf numFmtId="0" fontId="25" fillId="44" borderId="58" xfId="57" applyFont="1" applyFill="1" applyBorder="1" applyAlignment="1">
      <alignment horizontal="center" vertical="center"/>
    </xf>
    <xf numFmtId="0" fontId="25" fillId="44" borderId="54" xfId="57" applyFont="1" applyFill="1" applyBorder="1" applyAlignment="1">
      <alignment horizontal="center" vertical="center"/>
    </xf>
    <xf numFmtId="0" fontId="25" fillId="44" borderId="55" xfId="57" applyFont="1" applyFill="1" applyBorder="1" applyAlignment="1">
      <alignment horizontal="center" vertical="center"/>
    </xf>
    <xf numFmtId="0" fontId="133" fillId="19" borderId="8" xfId="100" applyFont="1" applyFill="1" applyBorder="1" applyAlignment="1">
      <alignment horizontal="center" vertical="center" wrapText="1"/>
    </xf>
    <xf numFmtId="0" fontId="133" fillId="19" borderId="9" xfId="100" applyFont="1" applyFill="1" applyBorder="1" applyAlignment="1">
      <alignment horizontal="center" vertical="center" wrapText="1"/>
    </xf>
    <xf numFmtId="0" fontId="31" fillId="11" borderId="5" xfId="100" applyFont="1" applyFill="1" applyBorder="1"/>
    <xf numFmtId="0" fontId="31" fillId="11" borderId="1" xfId="100" applyFont="1" applyFill="1" applyBorder="1"/>
    <xf numFmtId="0" fontId="31" fillId="11" borderId="7" xfId="100" applyFont="1" applyFill="1" applyBorder="1"/>
    <xf numFmtId="0" fontId="31" fillId="11" borderId="8" xfId="100" applyFont="1" applyFill="1" applyBorder="1"/>
    <xf numFmtId="0" fontId="132" fillId="38" borderId="12" xfId="100" applyFont="1" applyFill="1" applyBorder="1" applyAlignment="1">
      <alignment horizontal="center" vertical="center"/>
    </xf>
    <xf numFmtId="0" fontId="132" fillId="38" borderId="13" xfId="100" applyFont="1" applyFill="1" applyBorder="1" applyAlignment="1">
      <alignment horizontal="center" vertical="center"/>
    </xf>
    <xf numFmtId="0" fontId="132" fillId="38" borderId="14" xfId="100" applyFont="1" applyFill="1" applyBorder="1" applyAlignment="1">
      <alignment horizontal="center" vertical="center"/>
    </xf>
    <xf numFmtId="0" fontId="132" fillId="38" borderId="62" xfId="100" applyFont="1" applyFill="1" applyBorder="1" applyAlignment="1">
      <alignment horizontal="center" vertical="center" wrapText="1"/>
    </xf>
    <xf numFmtId="0" fontId="132" fillId="38" borderId="63" xfId="100" applyFont="1" applyFill="1" applyBorder="1" applyAlignment="1">
      <alignment horizontal="center" vertical="center" wrapText="1"/>
    </xf>
    <xf numFmtId="0" fontId="132" fillId="38" borderId="64" xfId="100" applyFont="1" applyFill="1" applyBorder="1" applyAlignment="1">
      <alignment horizontal="center" vertical="center" wrapText="1"/>
    </xf>
    <xf numFmtId="0" fontId="31" fillId="11" borderId="27" xfId="100" applyFont="1" applyFill="1" applyBorder="1" applyAlignment="1">
      <alignment horizontal="center" vertical="center" wrapText="1"/>
    </xf>
    <xf numFmtId="0" fontId="31" fillId="11" borderId="22" xfId="100" applyFont="1" applyFill="1" applyBorder="1" applyAlignment="1">
      <alignment horizontal="center" vertical="center" wrapText="1"/>
    </xf>
    <xf numFmtId="0" fontId="133" fillId="19" borderId="1" xfId="100" applyFont="1" applyFill="1" applyBorder="1" applyAlignment="1">
      <alignment horizontal="center" vertical="center" wrapText="1"/>
    </xf>
    <xf numFmtId="0" fontId="133" fillId="19" borderId="6" xfId="100" applyFont="1" applyFill="1" applyBorder="1" applyAlignment="1">
      <alignment horizontal="center" vertical="center" wrapText="1"/>
    </xf>
    <xf numFmtId="0" fontId="31" fillId="11" borderId="23" xfId="100" applyFont="1" applyFill="1" applyBorder="1" applyAlignment="1">
      <alignment vertical="center"/>
    </xf>
    <xf numFmtId="0" fontId="31" fillId="11" borderId="2" xfId="100" applyFont="1" applyFill="1" applyBorder="1" applyAlignment="1">
      <alignment vertical="center"/>
    </xf>
    <xf numFmtId="0" fontId="31" fillId="11" borderId="16" xfId="100" applyFont="1" applyFill="1" applyBorder="1" applyAlignment="1">
      <alignment vertical="center"/>
    </xf>
    <xf numFmtId="0" fontId="7" fillId="19" borderId="1" xfId="100" applyFill="1" applyBorder="1" applyAlignment="1">
      <alignment horizontal="right" vertical="center"/>
    </xf>
    <xf numFmtId="0" fontId="7" fillId="19" borderId="6" xfId="100" applyFill="1" applyBorder="1" applyAlignment="1">
      <alignment horizontal="right" vertical="center"/>
    </xf>
    <xf numFmtId="14" fontId="7" fillId="19" borderId="1" xfId="100" applyNumberFormat="1" applyFill="1" applyBorder="1" applyAlignment="1">
      <alignment horizontal="right" vertical="center"/>
    </xf>
    <xf numFmtId="14" fontId="7" fillId="19" borderId="6" xfId="100" applyNumberFormat="1" applyFill="1" applyBorder="1" applyAlignment="1">
      <alignment horizontal="right" vertical="center"/>
    </xf>
    <xf numFmtId="0" fontId="3" fillId="19" borderId="4" xfId="100" applyFont="1" applyFill="1" applyBorder="1" applyAlignment="1">
      <alignment horizontal="right" vertical="center"/>
    </xf>
    <xf numFmtId="0" fontId="7" fillId="19" borderId="4" xfId="100" applyFill="1" applyBorder="1" applyAlignment="1">
      <alignment horizontal="right" vertical="center"/>
    </xf>
    <xf numFmtId="0" fontId="7" fillId="19" borderId="28" xfId="100" applyFill="1" applyBorder="1" applyAlignment="1">
      <alignment horizontal="right" vertical="center"/>
    </xf>
    <xf numFmtId="0" fontId="31" fillId="11" borderId="38" xfId="100" applyFont="1" applyFill="1" applyBorder="1" applyAlignment="1">
      <alignment horizontal="left" vertical="center"/>
    </xf>
    <xf numFmtId="0" fontId="31" fillId="11" borderId="39" xfId="100" applyFont="1" applyFill="1" applyBorder="1" applyAlignment="1">
      <alignment horizontal="left" vertical="center"/>
    </xf>
    <xf numFmtId="0" fontId="31" fillId="11" borderId="42" xfId="100" applyFont="1" applyFill="1" applyBorder="1" applyAlignment="1">
      <alignment horizontal="left" vertical="center"/>
    </xf>
    <xf numFmtId="22" fontId="7" fillId="19" borderId="56" xfId="100" applyNumberFormat="1" applyFill="1" applyBorder="1" applyAlignment="1">
      <alignment horizontal="right" vertical="center"/>
    </xf>
    <xf numFmtId="22" fontId="7" fillId="19" borderId="39" xfId="100" applyNumberFormat="1" applyFill="1" applyBorder="1" applyAlignment="1">
      <alignment horizontal="right" vertical="center"/>
    </xf>
    <xf numFmtId="22" fontId="7" fillId="19" borderId="40" xfId="100" applyNumberFormat="1" applyFill="1" applyBorder="1" applyAlignment="1">
      <alignment horizontal="right" vertical="center"/>
    </xf>
    <xf numFmtId="0" fontId="31" fillId="11" borderId="23" xfId="100" applyFont="1" applyFill="1" applyBorder="1" applyAlignment="1">
      <alignment vertical="center" wrapText="1"/>
    </xf>
    <xf numFmtId="0" fontId="31" fillId="11" borderId="2" xfId="100" applyFont="1" applyFill="1" applyBorder="1" applyAlignment="1">
      <alignment vertical="center" wrapText="1"/>
    </xf>
    <xf numFmtId="0" fontId="31" fillId="11" borderId="16" xfId="100" applyFont="1" applyFill="1" applyBorder="1" applyAlignment="1">
      <alignment vertical="center" wrapText="1"/>
    </xf>
    <xf numFmtId="0" fontId="7" fillId="19" borderId="1" xfId="100" applyFill="1" applyBorder="1" applyAlignment="1">
      <alignment horizontal="right" vertical="center" wrapText="1"/>
    </xf>
    <xf numFmtId="0" fontId="7" fillId="19" borderId="6" xfId="100" applyFill="1" applyBorder="1" applyAlignment="1">
      <alignment horizontal="right" vertical="center" wrapText="1"/>
    </xf>
    <xf numFmtId="5" fontId="43" fillId="19" borderId="1" xfId="100" applyNumberFormat="1" applyFont="1" applyFill="1" applyBorder="1" applyAlignment="1">
      <alignment horizontal="right" vertical="center"/>
    </xf>
    <xf numFmtId="5" fontId="43" fillId="19" borderId="6" xfId="100" applyNumberFormat="1" applyFont="1" applyFill="1" applyBorder="1" applyAlignment="1">
      <alignment horizontal="right" vertical="center"/>
    </xf>
    <xf numFmtId="49" fontId="0" fillId="19" borderId="1" xfId="100" applyNumberFormat="1" applyFont="1" applyFill="1" applyBorder="1" applyAlignment="1">
      <alignment horizontal="right" vertical="center"/>
    </xf>
    <xf numFmtId="49" fontId="7" fillId="19" borderId="1" xfId="100" applyNumberFormat="1" applyFill="1" applyBorder="1" applyAlignment="1">
      <alignment horizontal="right" vertical="center"/>
    </xf>
    <xf numFmtId="49" fontId="7" fillId="19" borderId="6" xfId="100" applyNumberFormat="1" applyFill="1" applyBorder="1" applyAlignment="1">
      <alignment horizontal="right" vertical="center"/>
    </xf>
    <xf numFmtId="0" fontId="132" fillId="38" borderId="52" xfId="100" applyFont="1" applyFill="1" applyBorder="1" applyAlignment="1">
      <alignment horizontal="center" vertical="center"/>
    </xf>
    <xf numFmtId="0" fontId="132" fillId="38" borderId="36" xfId="100" applyFont="1" applyFill="1" applyBorder="1" applyAlignment="1">
      <alignment horizontal="center" vertical="center"/>
    </xf>
    <xf numFmtId="0" fontId="132" fillId="38" borderId="37" xfId="100" applyFont="1" applyFill="1" applyBorder="1" applyAlignment="1">
      <alignment horizontal="center" vertical="center"/>
    </xf>
    <xf numFmtId="0" fontId="31" fillId="11" borderId="57" xfId="100" applyFont="1" applyFill="1" applyBorder="1" applyAlignment="1">
      <alignment vertical="center"/>
    </xf>
    <xf numFmtId="0" fontId="31" fillId="11" borderId="18" xfId="100" applyFont="1" applyFill="1" applyBorder="1" applyAlignment="1">
      <alignment vertical="center"/>
    </xf>
    <xf numFmtId="0" fontId="31" fillId="11" borderId="19" xfId="100" applyFont="1" applyFill="1" applyBorder="1" applyAlignment="1">
      <alignment vertical="center"/>
    </xf>
    <xf numFmtId="0" fontId="3" fillId="19" borderId="3" xfId="100" applyFont="1" applyFill="1" applyBorder="1" applyAlignment="1">
      <alignment horizontal="right" vertical="center"/>
    </xf>
    <xf numFmtId="0" fontId="7" fillId="19" borderId="3" xfId="100" applyFill="1" applyBorder="1" applyAlignment="1">
      <alignment horizontal="right" vertical="center"/>
    </xf>
    <xf numFmtId="0" fontId="7" fillId="19" borderId="11" xfId="100" applyFill="1" applyBorder="1" applyAlignment="1">
      <alignment horizontal="right" vertical="center"/>
    </xf>
    <xf numFmtId="0" fontId="98" fillId="38" borderId="12" xfId="23" applyFont="1" applyFill="1" applyBorder="1" applyAlignment="1">
      <alignment horizontal="center" vertical="center"/>
    </xf>
    <xf numFmtId="0" fontId="98" fillId="38" borderId="14" xfId="23" applyFont="1" applyFill="1" applyBorder="1" applyAlignment="1">
      <alignment horizontal="center" vertical="center"/>
    </xf>
    <xf numFmtId="0" fontId="44" fillId="11" borderId="5" xfId="36" applyFont="1" applyFill="1" applyBorder="1" applyAlignment="1" applyProtection="1">
      <alignment vertical="center"/>
      <protection locked="0"/>
    </xf>
    <xf numFmtId="0" fontId="44" fillId="11" borderId="1" xfId="36" applyFont="1" applyFill="1" applyBorder="1" applyAlignment="1" applyProtection="1">
      <alignment vertical="center"/>
      <protection locked="0"/>
    </xf>
    <xf numFmtId="0" fontId="43" fillId="19" borderId="1" xfId="36" applyFont="1" applyFill="1" applyBorder="1" applyAlignment="1" applyProtection="1">
      <alignment horizontal="right" vertical="center" wrapText="1"/>
      <protection locked="0"/>
    </xf>
    <xf numFmtId="0" fontId="43" fillId="19" borderId="6" xfId="36" applyFont="1" applyFill="1" applyBorder="1" applyAlignment="1" applyProtection="1">
      <alignment horizontal="right" vertical="center" wrapText="1"/>
      <protection locked="0"/>
    </xf>
    <xf numFmtId="0" fontId="43" fillId="19" borderId="1" xfId="36" applyFont="1" applyFill="1" applyBorder="1" applyAlignment="1" applyProtection="1">
      <alignment horizontal="right" vertical="center"/>
      <protection locked="0"/>
    </xf>
    <xf numFmtId="0" fontId="43" fillId="19" borderId="6" xfId="36" applyFont="1" applyFill="1" applyBorder="1" applyAlignment="1" applyProtection="1">
      <alignment horizontal="right" vertical="center"/>
      <protection locked="0"/>
    </xf>
    <xf numFmtId="22" fontId="43" fillId="19" borderId="1" xfId="36" applyNumberFormat="1" applyFont="1" applyFill="1" applyBorder="1" applyAlignment="1" applyProtection="1">
      <alignment horizontal="right" vertical="center"/>
      <protection locked="0"/>
    </xf>
    <xf numFmtId="14" fontId="43" fillId="19" borderId="1" xfId="36" applyNumberFormat="1" applyFont="1" applyFill="1" applyBorder="1" applyAlignment="1" applyProtection="1">
      <alignment horizontal="right" vertical="center"/>
      <protection locked="0"/>
    </xf>
    <xf numFmtId="0" fontId="44" fillId="11" borderId="5" xfId="36" applyFont="1" applyFill="1" applyBorder="1" applyAlignment="1" applyProtection="1">
      <alignment vertical="center" wrapText="1"/>
      <protection locked="0"/>
    </xf>
    <xf numFmtId="0" fontId="44" fillId="11" borderId="1" xfId="36" applyFont="1" applyFill="1" applyBorder="1" applyAlignment="1" applyProtection="1">
      <alignment vertical="center" wrapText="1"/>
      <protection locked="0"/>
    </xf>
    <xf numFmtId="0" fontId="23" fillId="38" borderId="12" xfId="36" applyFont="1" applyFill="1" applyBorder="1" applyAlignment="1" applyProtection="1">
      <alignment horizontal="center" vertical="center"/>
      <protection locked="0"/>
    </xf>
    <xf numFmtId="0" fontId="23" fillId="38" borderId="13" xfId="36" applyFont="1" applyFill="1" applyBorder="1" applyAlignment="1" applyProtection="1">
      <alignment horizontal="center" vertical="center"/>
      <protection locked="0"/>
    </xf>
    <xf numFmtId="0" fontId="23" fillId="38" borderId="14" xfId="36" applyFont="1" applyFill="1" applyBorder="1" applyAlignment="1" applyProtection="1">
      <alignment horizontal="center" vertical="center"/>
      <protection locked="0"/>
    </xf>
    <xf numFmtId="0" fontId="44" fillId="11" borderId="10" xfId="36" applyFont="1" applyFill="1" applyBorder="1" applyAlignment="1" applyProtection="1">
      <alignment vertical="center"/>
      <protection locked="0"/>
    </xf>
    <xf numFmtId="0" fontId="44" fillId="11" borderId="3" xfId="36" applyFont="1" applyFill="1" applyBorder="1" applyAlignment="1" applyProtection="1">
      <alignment vertical="center"/>
      <protection locked="0"/>
    </xf>
    <xf numFmtId="0" fontId="43" fillId="19" borderId="3" xfId="36" applyFont="1" applyFill="1" applyBorder="1" applyAlignment="1" applyProtection="1">
      <alignment horizontal="right" vertical="center"/>
      <protection locked="0"/>
    </xf>
    <xf numFmtId="0" fontId="43" fillId="19" borderId="11" xfId="36" applyFont="1" applyFill="1" applyBorder="1" applyAlignment="1" applyProtection="1">
      <alignment horizontal="right" vertical="center"/>
      <protection locked="0"/>
    </xf>
    <xf numFmtId="0" fontId="44" fillId="11" borderId="10" xfId="35" applyFont="1" applyFill="1" applyBorder="1" applyAlignment="1">
      <alignment horizontal="left" vertical="center"/>
    </xf>
    <xf numFmtId="0" fontId="44" fillId="11" borderId="3" xfId="35" applyFont="1" applyFill="1" applyBorder="1" applyAlignment="1">
      <alignment horizontal="left" vertical="center"/>
    </xf>
    <xf numFmtId="0" fontId="23" fillId="38" borderId="12" xfId="35" applyFont="1" applyFill="1" applyBorder="1" applyAlignment="1">
      <alignment horizontal="center" vertical="center"/>
    </xf>
    <xf numFmtId="0" fontId="23" fillId="38" borderId="13" xfId="35" applyFont="1" applyFill="1" applyBorder="1" applyAlignment="1">
      <alignment horizontal="center" vertical="center"/>
    </xf>
    <xf numFmtId="0" fontId="23" fillId="38" borderId="14" xfId="35" applyFont="1" applyFill="1" applyBorder="1" applyAlignment="1">
      <alignment horizontal="center" vertical="center"/>
    </xf>
    <xf numFmtId="0" fontId="43" fillId="0" borderId="5" xfId="35" applyFont="1" applyBorder="1"/>
    <xf numFmtId="0" fontId="43" fillId="0" borderId="1" xfId="35" applyFont="1" applyBorder="1"/>
    <xf numFmtId="0" fontId="43" fillId="0" borderId="6" xfId="35" applyFont="1" applyBorder="1"/>
    <xf numFmtId="0" fontId="44" fillId="11" borderId="5" xfId="95" applyFont="1" applyFill="1" applyBorder="1" applyAlignment="1">
      <alignment horizontal="left" vertical="center" wrapText="1"/>
    </xf>
    <xf numFmtId="0" fontId="44" fillId="11" borderId="1" xfId="95" applyFont="1" applyFill="1" applyBorder="1" applyAlignment="1">
      <alignment horizontal="left" vertical="center" wrapText="1"/>
    </xf>
    <xf numFmtId="0" fontId="44" fillId="11" borderId="7" xfId="95" applyFont="1" applyFill="1" applyBorder="1" applyAlignment="1">
      <alignment horizontal="left" vertical="center" wrapText="1"/>
    </xf>
    <xf numFmtId="0" fontId="44" fillId="11" borderId="8" xfId="95" applyFont="1" applyFill="1" applyBorder="1" applyAlignment="1">
      <alignment horizontal="left" vertical="center" wrapText="1"/>
    </xf>
    <xf numFmtId="0" fontId="23" fillId="38" borderId="58" xfId="95" applyFont="1" applyFill="1" applyBorder="1" applyAlignment="1">
      <alignment horizontal="center" vertical="center"/>
    </xf>
    <xf numFmtId="0" fontId="23" fillId="38" borderId="54" xfId="95" applyFont="1" applyFill="1" applyBorder="1" applyAlignment="1">
      <alignment horizontal="center" vertical="center"/>
    </xf>
    <xf numFmtId="0" fontId="23" fillId="38" borderId="55" xfId="95" applyFont="1" applyFill="1" applyBorder="1" applyAlignment="1">
      <alignment horizontal="center" vertical="center"/>
    </xf>
    <xf numFmtId="0" fontId="159" fillId="0" borderId="124" xfId="109" applyFont="1" applyBorder="1" applyAlignment="1">
      <alignment horizontal="left" vertical="top" wrapText="1"/>
    </xf>
    <xf numFmtId="0" fontId="3" fillId="0" borderId="0" xfId="109"/>
    <xf numFmtId="0" fontId="23" fillId="38" borderId="12" xfId="95" applyFont="1" applyFill="1" applyBorder="1" applyAlignment="1">
      <alignment horizontal="center" vertical="center"/>
    </xf>
    <xf numFmtId="0" fontId="23" fillId="38" borderId="13" xfId="95" applyFont="1" applyFill="1" applyBorder="1" applyAlignment="1">
      <alignment horizontal="center" vertical="center"/>
    </xf>
    <xf numFmtId="0" fontId="23" fillId="38" borderId="14" xfId="95" applyFont="1" applyFill="1" applyBorder="1" applyAlignment="1">
      <alignment horizontal="center" vertical="center"/>
    </xf>
    <xf numFmtId="0" fontId="44" fillId="11" borderId="10" xfId="95" applyFont="1" applyFill="1" applyBorder="1" applyAlignment="1">
      <alignment horizontal="left" vertical="center" wrapText="1"/>
    </xf>
    <xf numFmtId="0" fontId="44" fillId="11" borderId="3" xfId="95" applyFont="1" applyFill="1" applyBorder="1" applyAlignment="1">
      <alignment horizontal="left" vertical="center" wrapText="1"/>
    </xf>
    <xf numFmtId="0" fontId="99" fillId="19" borderId="3" xfId="95" applyFont="1" applyFill="1" applyBorder="1" applyAlignment="1">
      <alignment horizontal="center" vertical="center"/>
    </xf>
    <xf numFmtId="0" fontId="99" fillId="19" borderId="11" xfId="95" applyFont="1" applyFill="1" applyBorder="1" applyAlignment="1">
      <alignment horizontal="center" vertical="center"/>
    </xf>
    <xf numFmtId="0" fontId="99" fillId="19" borderId="1" xfId="95" applyFont="1" applyFill="1" applyBorder="1" applyAlignment="1">
      <alignment horizontal="left" vertical="center" wrapText="1"/>
    </xf>
    <xf numFmtId="0" fontId="99" fillId="19" borderId="1" xfId="95" applyFont="1" applyFill="1" applyBorder="1" applyAlignment="1">
      <alignment horizontal="left" vertical="center"/>
    </xf>
    <xf numFmtId="0" fontId="99" fillId="19" borderId="6" xfId="95" applyFont="1" applyFill="1" applyBorder="1" applyAlignment="1">
      <alignment horizontal="left" vertical="center"/>
    </xf>
    <xf numFmtId="0" fontId="27" fillId="44" borderId="52" xfId="90" applyFont="1" applyFill="1" applyBorder="1" applyAlignment="1">
      <alignment horizontal="center" vertical="center"/>
    </xf>
    <xf numFmtId="0" fontId="27" fillId="44" borderId="37" xfId="90" applyFont="1" applyFill="1" applyBorder="1" applyAlignment="1">
      <alignment horizontal="center" vertical="center"/>
    </xf>
    <xf numFmtId="0" fontId="27" fillId="44" borderId="36" xfId="90" applyFont="1" applyFill="1" applyBorder="1" applyAlignment="1">
      <alignment horizontal="center" vertical="center"/>
    </xf>
    <xf numFmtId="0" fontId="27" fillId="44" borderId="52" xfId="57" applyFont="1" applyFill="1" applyBorder="1" applyAlignment="1">
      <alignment horizontal="center" vertical="center"/>
    </xf>
    <xf numFmtId="0" fontId="27" fillId="44" borderId="37" xfId="57" applyFont="1" applyFill="1" applyBorder="1" applyAlignment="1">
      <alignment horizontal="center" vertical="center"/>
    </xf>
    <xf numFmtId="0" fontId="16" fillId="0" borderId="26" xfId="0" applyFont="1" applyBorder="1" applyAlignment="1">
      <alignment horizontal="center" vertical="center"/>
    </xf>
    <xf numFmtId="0" fontId="16" fillId="0" borderId="43" xfId="0" applyFont="1" applyBorder="1" applyAlignment="1">
      <alignment horizontal="center" vertical="center"/>
    </xf>
    <xf numFmtId="0" fontId="16" fillId="0" borderId="59" xfId="0" applyFont="1" applyBorder="1" applyAlignment="1">
      <alignment horizontal="center" vertical="center"/>
    </xf>
    <xf numFmtId="0" fontId="16" fillId="0" borderId="10" xfId="0" applyFont="1" applyBorder="1" applyAlignment="1">
      <alignment horizontal="center" vertical="center"/>
    </xf>
    <xf numFmtId="0" fontId="27" fillId="38" borderId="47" xfId="0" applyFont="1" applyFill="1" applyBorder="1" applyAlignment="1">
      <alignment horizontal="center"/>
    </xf>
    <xf numFmtId="0" fontId="27" fillId="38" borderId="32" xfId="0" applyFont="1" applyFill="1" applyBorder="1" applyAlignment="1">
      <alignment horizontal="center"/>
    </xf>
    <xf numFmtId="0" fontId="27" fillId="38" borderId="48" xfId="0" applyFont="1" applyFill="1" applyBorder="1" applyAlignment="1">
      <alignment horizontal="center"/>
    </xf>
    <xf numFmtId="0" fontId="27" fillId="44" borderId="12" xfId="57" applyFont="1" applyFill="1" applyBorder="1" applyAlignment="1">
      <alignment horizontal="center" vertical="center"/>
    </xf>
    <xf numFmtId="0" fontId="27" fillId="44" borderId="13" xfId="57" applyFont="1" applyFill="1" applyBorder="1" applyAlignment="1">
      <alignment horizontal="center" vertical="center"/>
    </xf>
    <xf numFmtId="0" fontId="27" fillId="44" borderId="14" xfId="57" applyFont="1" applyFill="1" applyBorder="1" applyAlignment="1">
      <alignment horizontal="center" vertical="center"/>
    </xf>
    <xf numFmtId="0" fontId="43" fillId="0" borderId="8" xfId="57" applyFont="1" applyBorder="1" applyAlignment="1">
      <alignment horizontal="center" vertical="center"/>
    </xf>
    <xf numFmtId="0" fontId="43" fillId="0" borderId="9" xfId="57" applyFont="1" applyBorder="1" applyAlignment="1">
      <alignment horizontal="center" vertical="center"/>
    </xf>
    <xf numFmtId="0" fontId="27" fillId="44" borderId="25" xfId="57" applyFont="1" applyFill="1" applyBorder="1" applyAlignment="1">
      <alignment horizontal="center" vertical="center"/>
    </xf>
    <xf numFmtId="0" fontId="27" fillId="44" borderId="22" xfId="57" applyFont="1" applyFill="1" applyBorder="1" applyAlignment="1">
      <alignment horizontal="center" vertical="center"/>
    </xf>
    <xf numFmtId="0" fontId="43" fillId="19" borderId="50" xfId="0" applyFont="1" applyFill="1" applyBorder="1" applyAlignment="1" applyProtection="1">
      <alignment horizontal="left" vertical="center" wrapText="1"/>
      <protection locked="0"/>
    </xf>
    <xf numFmtId="0" fontId="43" fillId="19" borderId="34" xfId="0" applyFont="1" applyFill="1" applyBorder="1" applyAlignment="1" applyProtection="1">
      <alignment horizontal="left" vertical="center" wrapText="1"/>
      <protection locked="0"/>
    </xf>
    <xf numFmtId="0" fontId="43" fillId="19" borderId="51" xfId="0" applyFont="1" applyFill="1" applyBorder="1" applyAlignment="1" applyProtection="1">
      <alignment horizontal="left" vertical="center" wrapText="1"/>
      <protection locked="0"/>
    </xf>
    <xf numFmtId="0" fontId="43" fillId="19" borderId="79" xfId="0" applyFont="1" applyFill="1" applyBorder="1" applyAlignment="1" applyProtection="1">
      <alignment horizontal="left" vertical="center" wrapText="1"/>
      <protection locked="0"/>
    </xf>
    <xf numFmtId="0" fontId="43" fillId="19" borderId="29" xfId="0" applyFont="1" applyFill="1" applyBorder="1" applyAlignment="1" applyProtection="1">
      <alignment horizontal="left" vertical="center" wrapText="1"/>
      <protection locked="0"/>
    </xf>
    <xf numFmtId="0" fontId="43" fillId="19" borderId="94" xfId="0" applyFont="1" applyFill="1" applyBorder="1" applyAlignment="1" applyProtection="1">
      <alignment horizontal="left" vertical="center" wrapText="1"/>
      <protection locked="0"/>
    </xf>
    <xf numFmtId="0" fontId="82" fillId="19" borderId="27" xfId="0" applyFont="1" applyFill="1" applyBorder="1" applyAlignment="1" applyProtection="1">
      <alignment horizontal="center" vertical="center" wrapText="1"/>
      <protection locked="0"/>
    </xf>
    <xf numFmtId="0" fontId="82" fillId="19" borderId="22" xfId="0" applyFont="1" applyFill="1" applyBorder="1" applyAlignment="1" applyProtection="1">
      <alignment horizontal="center" vertical="center" wrapText="1"/>
      <protection locked="0"/>
    </xf>
    <xf numFmtId="0" fontId="16" fillId="19" borderId="6" xfId="0" applyFont="1" applyFill="1" applyBorder="1" applyAlignment="1" applyProtection="1">
      <alignment horizontal="center"/>
      <protection locked="0"/>
    </xf>
    <xf numFmtId="0" fontId="16" fillId="19" borderId="9" xfId="0" applyFont="1" applyFill="1" applyBorder="1" applyAlignment="1" applyProtection="1">
      <alignment horizontal="center"/>
      <protection locked="0"/>
    </xf>
    <xf numFmtId="0" fontId="43" fillId="19" borderId="1" xfId="0" applyFont="1" applyFill="1" applyBorder="1" applyAlignment="1" applyProtection="1">
      <alignment vertical="center" wrapText="1"/>
      <protection locked="0"/>
    </xf>
    <xf numFmtId="0" fontId="43" fillId="19" borderId="8" xfId="0" applyFont="1" applyFill="1" applyBorder="1" applyAlignment="1" applyProtection="1">
      <alignment vertical="center" wrapText="1"/>
      <protection locked="0"/>
    </xf>
    <xf numFmtId="0" fontId="82" fillId="19" borderId="25" xfId="0" applyFont="1" applyFill="1" applyBorder="1" applyAlignment="1" applyProtection="1">
      <alignment horizontal="center" vertical="center" wrapText="1"/>
      <protection locked="0"/>
    </xf>
    <xf numFmtId="0" fontId="43" fillId="19" borderId="5" xfId="0" applyFont="1" applyFill="1" applyBorder="1" applyAlignment="1" applyProtection="1">
      <alignment vertical="center" wrapText="1"/>
      <protection locked="0"/>
    </xf>
    <xf numFmtId="0" fontId="23" fillId="5" borderId="54" xfId="0" applyNumberFormat="1" applyFont="1" applyFill="1" applyBorder="1" applyAlignment="1" applyProtection="1">
      <alignment horizontal="center" vertical="center" wrapText="1"/>
      <protection locked="0"/>
    </xf>
    <xf numFmtId="0" fontId="23" fillId="5" borderId="0" xfId="0" applyNumberFormat="1" applyFont="1" applyFill="1" applyBorder="1" applyAlignment="1" applyProtection="1">
      <alignment horizontal="center" vertical="center" wrapText="1"/>
      <protection locked="0"/>
    </xf>
    <xf numFmtId="0" fontId="23" fillId="5" borderId="30" xfId="0" applyNumberFormat="1" applyFont="1" applyFill="1" applyBorder="1" applyAlignment="1" applyProtection="1">
      <alignment horizontal="center" vertical="center" wrapText="1"/>
      <protection locked="0"/>
    </xf>
    <xf numFmtId="0" fontId="24" fillId="5" borderId="55" xfId="0" applyNumberFormat="1" applyFont="1" applyFill="1" applyBorder="1" applyAlignment="1" applyProtection="1">
      <alignment horizontal="center" vertical="center"/>
      <protection locked="0"/>
    </xf>
    <xf numFmtId="0" fontId="24" fillId="5" borderId="45" xfId="0" applyNumberFormat="1" applyFont="1" applyFill="1" applyBorder="1" applyAlignment="1" applyProtection="1">
      <alignment horizontal="center" vertical="center"/>
      <protection locked="0"/>
    </xf>
    <xf numFmtId="0" fontId="24" fillId="5" borderId="31" xfId="0" applyNumberFormat="1" applyFont="1" applyFill="1" applyBorder="1" applyAlignment="1" applyProtection="1">
      <alignment horizontal="center" vertical="center"/>
      <protection locked="0"/>
    </xf>
    <xf numFmtId="0" fontId="16" fillId="19" borderId="0" xfId="0" applyFont="1" applyFill="1" applyBorder="1" applyAlignment="1" applyProtection="1">
      <alignment horizontal="left"/>
      <protection locked="0"/>
    </xf>
    <xf numFmtId="0" fontId="16" fillId="19" borderId="45" xfId="0" applyFont="1" applyFill="1" applyBorder="1" applyAlignment="1" applyProtection="1">
      <alignment horizontal="left"/>
      <protection locked="0"/>
    </xf>
    <xf numFmtId="0" fontId="16" fillId="19" borderId="0" xfId="0" applyFont="1" applyFill="1" applyBorder="1" applyAlignment="1" applyProtection="1">
      <alignment horizontal="left" wrapText="1"/>
      <protection locked="0"/>
    </xf>
    <xf numFmtId="0" fontId="16" fillId="19" borderId="45" xfId="0" applyFont="1" applyFill="1" applyBorder="1" applyAlignment="1" applyProtection="1">
      <alignment horizontal="left" wrapText="1"/>
      <protection locked="0"/>
    </xf>
    <xf numFmtId="0" fontId="22" fillId="8" borderId="25" xfId="0" applyNumberFormat="1" applyFont="1" applyFill="1" applyBorder="1" applyAlignment="1" applyProtection="1">
      <alignment horizontal="center" vertical="center"/>
      <protection locked="0"/>
    </xf>
    <xf numFmtId="0" fontId="22" fillId="8" borderId="27" xfId="0" applyNumberFormat="1" applyFont="1" applyFill="1" applyBorder="1" applyAlignment="1" applyProtection="1">
      <alignment horizontal="center" vertical="center"/>
      <protection locked="0"/>
    </xf>
    <xf numFmtId="0" fontId="22" fillId="8" borderId="22" xfId="0" applyNumberFormat="1" applyFont="1" applyFill="1" applyBorder="1" applyAlignment="1" applyProtection="1">
      <alignment horizontal="center" vertical="center"/>
      <protection locked="0"/>
    </xf>
    <xf numFmtId="0" fontId="27" fillId="5" borderId="58" xfId="0" applyNumberFormat="1" applyFont="1" applyFill="1" applyBorder="1" applyAlignment="1" applyProtection="1">
      <alignment horizontal="center" vertical="center"/>
      <protection locked="0"/>
    </xf>
    <xf numFmtId="0" fontId="27" fillId="5" borderId="54" xfId="0" applyNumberFormat="1" applyFont="1" applyFill="1" applyBorder="1" applyAlignment="1" applyProtection="1">
      <alignment horizontal="center" vertical="center"/>
      <protection locked="0"/>
    </xf>
    <xf numFmtId="0" fontId="27" fillId="5" borderId="51" xfId="0" applyNumberFormat="1" applyFont="1" applyFill="1" applyBorder="1" applyAlignment="1" applyProtection="1">
      <alignment horizontal="center" vertical="center"/>
      <protection locked="0"/>
    </xf>
    <xf numFmtId="0" fontId="27" fillId="5" borderId="0" xfId="0" applyNumberFormat="1" applyFont="1" applyFill="1" applyBorder="1" applyAlignment="1" applyProtection="1">
      <alignment horizontal="center" vertical="center"/>
      <protection locked="0"/>
    </xf>
    <xf numFmtId="0" fontId="27" fillId="5" borderId="29" xfId="0" applyNumberFormat="1" applyFont="1" applyFill="1" applyBorder="1" applyAlignment="1" applyProtection="1">
      <alignment horizontal="center" vertical="center"/>
      <protection locked="0"/>
    </xf>
    <xf numFmtId="0" fontId="27" fillId="5" borderId="30" xfId="0" applyNumberFormat="1" applyFont="1" applyFill="1" applyBorder="1" applyAlignment="1" applyProtection="1">
      <alignment horizontal="center" vertical="center"/>
      <protection locked="0"/>
    </xf>
    <xf numFmtId="15" fontId="26" fillId="3" borderId="21" xfId="3" applyNumberFormat="1" applyFont="1" applyFill="1" applyBorder="1" applyAlignment="1" applyProtection="1">
      <alignment horizontal="left" vertical="center"/>
    </xf>
    <xf numFmtId="15" fontId="26" fillId="3" borderId="48" xfId="3" applyNumberFormat="1" applyFont="1" applyFill="1" applyBorder="1" applyAlignment="1" applyProtection="1">
      <alignment horizontal="left" vertical="center"/>
    </xf>
    <xf numFmtId="175" fontId="26" fillId="3" borderId="21" xfId="3" applyNumberFormat="1" applyFont="1" applyFill="1" applyBorder="1" applyAlignment="1" applyProtection="1">
      <alignment horizontal="left" vertical="center"/>
    </xf>
    <xf numFmtId="175" fontId="26" fillId="3" borderId="32" xfId="3" applyNumberFormat="1" applyFont="1" applyFill="1" applyBorder="1" applyAlignment="1" applyProtection="1">
      <alignment horizontal="left" vertical="center"/>
    </xf>
    <xf numFmtId="175" fontId="26" fillId="3" borderId="49" xfId="3" applyNumberFormat="1" applyFont="1" applyFill="1" applyBorder="1" applyAlignment="1" applyProtection="1">
      <alignment horizontal="left" vertical="center"/>
    </xf>
    <xf numFmtId="0" fontId="26" fillId="9" borderId="5" xfId="3" applyFont="1" applyFill="1" applyBorder="1" applyAlignment="1">
      <alignment horizontal="left" vertical="center" wrapText="1"/>
    </xf>
    <xf numFmtId="0" fontId="26" fillId="9" borderId="1" xfId="3" applyFont="1" applyFill="1" applyBorder="1" applyAlignment="1">
      <alignment horizontal="left" vertical="center" wrapText="1"/>
    </xf>
    <xf numFmtId="0" fontId="26" fillId="3" borderId="15" xfId="3" applyFont="1" applyFill="1" applyBorder="1" applyAlignment="1" applyProtection="1">
      <alignment horizontal="center" vertical="center" wrapText="1"/>
      <protection locked="0"/>
    </xf>
    <xf numFmtId="0" fontId="26" fillId="3" borderId="2" xfId="3" applyFont="1" applyFill="1" applyBorder="1" applyAlignment="1" applyProtection="1">
      <alignment horizontal="center" vertical="center" wrapText="1"/>
      <protection locked="0"/>
    </xf>
    <xf numFmtId="0" fontId="26" fillId="3" borderId="16" xfId="3" applyFont="1" applyFill="1" applyBorder="1" applyAlignment="1" applyProtection="1">
      <alignment horizontal="center" vertical="center" wrapText="1"/>
      <protection locked="0"/>
    </xf>
    <xf numFmtId="0" fontId="26" fillId="9" borderId="15" xfId="3" applyFont="1" applyFill="1" applyBorder="1" applyAlignment="1">
      <alignment horizontal="left" vertical="center" wrapText="1"/>
    </xf>
    <xf numFmtId="0" fontId="26" fillId="9" borderId="2" xfId="3" applyFont="1" applyFill="1" applyBorder="1" applyAlignment="1">
      <alignment horizontal="left" vertical="center" wrapText="1"/>
    </xf>
    <xf numFmtId="0" fontId="26" fillId="9" borderId="16" xfId="3" applyFont="1" applyFill="1" applyBorder="1" applyAlignment="1">
      <alignment horizontal="left" vertical="center" wrapText="1"/>
    </xf>
    <xf numFmtId="0" fontId="26" fillId="3" borderId="53" xfId="3" applyFont="1" applyFill="1" applyBorder="1" applyAlignment="1" applyProtection="1">
      <alignment horizontal="center" vertical="center" wrapText="1"/>
      <protection locked="0"/>
    </xf>
    <xf numFmtId="49" fontId="26" fillId="3" borderId="1" xfId="3" applyNumberFormat="1" applyFont="1" applyFill="1" applyBorder="1" applyAlignment="1" applyProtection="1">
      <alignment horizontal="left" vertical="center" wrapText="1"/>
      <protection locked="0"/>
    </xf>
    <xf numFmtId="49" fontId="26" fillId="3" borderId="15" xfId="0" quotePrefix="1" applyNumberFormat="1" applyFont="1" applyFill="1" applyBorder="1" applyAlignment="1" applyProtection="1">
      <alignment horizontal="left" vertical="center"/>
      <protection locked="0"/>
    </xf>
    <xf numFmtId="49" fontId="26" fillId="3" borderId="53" xfId="0" applyNumberFormat="1" applyFont="1" applyFill="1" applyBorder="1" applyAlignment="1" applyProtection="1">
      <alignment horizontal="left" vertical="center"/>
      <protection locked="0"/>
    </xf>
    <xf numFmtId="0" fontId="26" fillId="3" borderId="1" xfId="3" applyFont="1" applyFill="1" applyBorder="1" applyAlignment="1" applyProtection="1">
      <alignment horizontal="left" vertical="center"/>
      <protection locked="0"/>
    </xf>
    <xf numFmtId="0" fontId="26" fillId="9" borderId="1" xfId="0" applyFont="1" applyFill="1" applyBorder="1" applyAlignment="1">
      <alignment horizontal="left" vertical="center"/>
    </xf>
    <xf numFmtId="0" fontId="26" fillId="3" borderId="15" xfId="0" applyFont="1" applyFill="1" applyBorder="1" applyAlignment="1" applyProtection="1">
      <alignment horizontal="center" vertical="center"/>
      <protection locked="0"/>
    </xf>
    <xf numFmtId="0" fontId="26" fillId="3" borderId="2" xfId="0" applyFont="1" applyFill="1" applyBorder="1" applyAlignment="1" applyProtection="1">
      <alignment horizontal="center" vertical="center"/>
      <protection locked="0"/>
    </xf>
    <xf numFmtId="0" fontId="26" fillId="3" borderId="16" xfId="0" applyFont="1" applyFill="1" applyBorder="1" applyAlignment="1" applyProtection="1">
      <alignment horizontal="center" vertical="center"/>
      <protection locked="0"/>
    </xf>
    <xf numFmtId="0" fontId="26" fillId="3" borderId="1" xfId="3" applyFont="1" applyFill="1" applyBorder="1" applyAlignment="1" applyProtection="1">
      <alignment horizontal="right" vertical="center"/>
      <protection locked="0"/>
    </xf>
    <xf numFmtId="0" fontId="26" fillId="3" borderId="6" xfId="3" applyFont="1" applyFill="1" applyBorder="1" applyAlignment="1" applyProtection="1">
      <alignment horizontal="right" vertical="center"/>
      <protection locked="0"/>
    </xf>
    <xf numFmtId="0" fontId="22" fillId="8" borderId="12" xfId="0" applyNumberFormat="1" applyFont="1" applyFill="1" applyBorder="1" applyAlignment="1" applyProtection="1">
      <alignment horizontal="center" vertical="center"/>
      <protection locked="0"/>
    </xf>
    <xf numFmtId="0" fontId="22" fillId="8" borderId="13" xfId="0" applyNumberFormat="1" applyFont="1" applyFill="1" applyBorder="1" applyAlignment="1" applyProtection="1">
      <alignment horizontal="center" vertical="center"/>
      <protection locked="0"/>
    </xf>
    <xf numFmtId="0" fontId="22" fillId="8" borderId="14" xfId="0" applyNumberFormat="1" applyFont="1" applyFill="1" applyBorder="1" applyAlignment="1" applyProtection="1">
      <alignment horizontal="center" vertical="center"/>
      <protection locked="0"/>
    </xf>
    <xf numFmtId="175" fontId="26" fillId="3" borderId="1" xfId="3" applyNumberFormat="1" applyFont="1" applyFill="1" applyBorder="1" applyAlignment="1" applyProtection="1">
      <alignment horizontal="left" vertical="center"/>
    </xf>
    <xf numFmtId="175" fontId="26" fillId="3" borderId="6" xfId="3" applyNumberFormat="1" applyFont="1" applyFill="1" applyBorder="1" applyAlignment="1" applyProtection="1">
      <alignment horizontal="left" vertical="center"/>
    </xf>
    <xf numFmtId="175" fontId="26" fillId="3" borderId="4" xfId="3" applyNumberFormat="1" applyFont="1" applyFill="1" applyBorder="1" applyAlignment="1" applyProtection="1">
      <alignment horizontal="left" vertical="center" wrapText="1"/>
    </xf>
    <xf numFmtId="175" fontId="26" fillId="3" borderId="1" xfId="3" quotePrefix="1" applyNumberFormat="1" applyFont="1" applyFill="1" applyBorder="1" applyAlignment="1" applyProtection="1">
      <alignment horizontal="left" vertical="center" wrapText="1"/>
    </xf>
    <xf numFmtId="175" fontId="26" fillId="3" borderId="1" xfId="3" applyNumberFormat="1" applyFont="1" applyFill="1" applyBorder="1" applyAlignment="1" applyProtection="1">
      <alignment horizontal="left" vertical="center" wrapText="1"/>
    </xf>
    <xf numFmtId="175" fontId="26" fillId="3" borderId="6" xfId="3" applyNumberFormat="1" applyFont="1" applyFill="1" applyBorder="1" applyAlignment="1" applyProtection="1">
      <alignment horizontal="left" vertical="center" wrapText="1"/>
    </xf>
    <xf numFmtId="0" fontId="26" fillId="9" borderId="1" xfId="0" applyNumberFormat="1" applyFont="1" applyFill="1" applyBorder="1" applyAlignment="1" applyProtection="1">
      <alignment horizontal="left" vertical="center"/>
    </xf>
    <xf numFmtId="175" fontId="26" fillId="3" borderId="15" xfId="0" quotePrefix="1" applyNumberFormat="1" applyFont="1" applyFill="1" applyBorder="1" applyAlignment="1" applyProtection="1">
      <alignment horizontal="left" vertical="center"/>
    </xf>
    <xf numFmtId="175" fontId="26" fillId="3" borderId="53" xfId="0" applyNumberFormat="1" applyFont="1" applyFill="1" applyBorder="1" applyAlignment="1" applyProtection="1">
      <alignment horizontal="left" vertical="center"/>
    </xf>
    <xf numFmtId="175" fontId="26" fillId="3" borderId="15" xfId="3" applyNumberFormat="1" applyFont="1" applyFill="1" applyBorder="1" applyAlignment="1" applyProtection="1">
      <alignment horizontal="left" vertical="center"/>
    </xf>
    <xf numFmtId="175" fontId="26" fillId="3" borderId="16" xfId="3" applyNumberFormat="1" applyFont="1" applyFill="1" applyBorder="1" applyAlignment="1" applyProtection="1">
      <alignment horizontal="left" vertical="center"/>
    </xf>
    <xf numFmtId="180" fontId="26" fillId="3" borderId="1" xfId="3" applyNumberFormat="1" applyFont="1" applyFill="1" applyBorder="1" applyAlignment="1" applyProtection="1">
      <alignment horizontal="right" vertical="center"/>
    </xf>
    <xf numFmtId="0" fontId="23" fillId="5" borderId="54" xfId="0" applyNumberFormat="1" applyFont="1" applyFill="1" applyBorder="1" applyAlignment="1" applyProtection="1">
      <alignment horizontal="center" vertical="center"/>
    </xf>
    <xf numFmtId="0" fontId="23" fillId="5" borderId="0" xfId="0" applyNumberFormat="1" applyFont="1" applyFill="1" applyBorder="1" applyAlignment="1" applyProtection="1">
      <alignment horizontal="center" vertical="center"/>
    </xf>
    <xf numFmtId="0" fontId="23" fillId="5" borderId="18" xfId="0" applyNumberFormat="1" applyFont="1" applyFill="1" applyBorder="1" applyAlignment="1" applyProtection="1">
      <alignment horizontal="center" vertical="center"/>
    </xf>
    <xf numFmtId="0" fontId="24" fillId="5" borderId="55" xfId="0" applyNumberFormat="1" applyFont="1" applyFill="1" applyBorder="1" applyAlignment="1" applyProtection="1">
      <alignment horizontal="center" vertical="center"/>
    </xf>
    <xf numFmtId="0" fontId="24" fillId="5" borderId="45" xfId="0" applyNumberFormat="1" applyFont="1" applyFill="1" applyBorder="1" applyAlignment="1" applyProtection="1">
      <alignment horizontal="center" vertical="center"/>
    </xf>
    <xf numFmtId="0" fontId="24" fillId="5" borderId="46" xfId="0" applyNumberFormat="1" applyFont="1" applyFill="1" applyBorder="1" applyAlignment="1" applyProtection="1">
      <alignment horizontal="center" vertical="center"/>
    </xf>
    <xf numFmtId="0" fontId="27" fillId="5" borderId="54" xfId="0" applyNumberFormat="1" applyFont="1" applyFill="1" applyBorder="1" applyAlignment="1" applyProtection="1">
      <alignment horizontal="center" vertical="center"/>
    </xf>
    <xf numFmtId="0" fontId="27" fillId="5" borderId="51" xfId="0" applyNumberFormat="1" applyFont="1" applyFill="1" applyBorder="1" applyAlignment="1" applyProtection="1">
      <alignment horizontal="center" vertical="center"/>
    </xf>
    <xf numFmtId="0" fontId="27" fillId="5" borderId="0" xfId="0" applyNumberFormat="1" applyFont="1" applyFill="1" applyBorder="1" applyAlignment="1" applyProtection="1">
      <alignment horizontal="center" vertical="center"/>
    </xf>
    <xf numFmtId="0" fontId="27" fillId="5" borderId="57" xfId="0" applyNumberFormat="1" applyFont="1" applyFill="1" applyBorder="1" applyAlignment="1" applyProtection="1">
      <alignment horizontal="center" vertical="center"/>
    </xf>
    <xf numFmtId="0" fontId="27" fillId="5" borderId="18" xfId="0" applyNumberFormat="1" applyFont="1" applyFill="1" applyBorder="1" applyAlignment="1" applyProtection="1">
      <alignment horizontal="center" vertical="center"/>
    </xf>
    <xf numFmtId="0" fontId="26" fillId="7" borderId="15" xfId="0" applyFont="1" applyFill="1" applyBorder="1" applyAlignment="1">
      <alignment horizontal="left" vertical="center"/>
    </xf>
    <xf numFmtId="0" fontId="26" fillId="7" borderId="16" xfId="0" applyFont="1" applyFill="1" applyBorder="1" applyAlignment="1">
      <alignment horizontal="left" vertical="center"/>
    </xf>
    <xf numFmtId="49" fontId="26" fillId="3" borderId="20" xfId="0" quotePrefix="1" applyNumberFormat="1" applyFont="1" applyFill="1" applyBorder="1" applyAlignment="1" applyProtection="1">
      <alignment horizontal="center" vertical="center"/>
      <protection locked="0"/>
    </xf>
    <xf numFmtId="49" fontId="26" fillId="3" borderId="44" xfId="0" applyNumberFormat="1" applyFont="1" applyFill="1" applyBorder="1" applyAlignment="1" applyProtection="1">
      <alignment horizontal="center" vertical="center"/>
      <protection locked="0"/>
    </xf>
    <xf numFmtId="0" fontId="26" fillId="7" borderId="68" xfId="0" applyFont="1" applyFill="1" applyBorder="1" applyAlignment="1">
      <alignment horizontal="left" vertical="center"/>
    </xf>
    <xf numFmtId="0" fontId="16" fillId="0" borderId="94" xfId="0" applyFont="1" applyBorder="1" applyAlignment="1">
      <alignment horizontal="left" vertical="center"/>
    </xf>
    <xf numFmtId="14" fontId="26" fillId="3" borderId="56" xfId="0" applyNumberFormat="1" applyFont="1" applyFill="1" applyBorder="1" applyAlignment="1" applyProtection="1">
      <alignment horizontal="center" vertical="center"/>
      <protection locked="0"/>
    </xf>
    <xf numFmtId="0" fontId="26" fillId="3" borderId="39" xfId="0" applyFont="1" applyFill="1" applyBorder="1" applyAlignment="1" applyProtection="1">
      <alignment horizontal="center" vertical="center"/>
      <protection locked="0"/>
    </xf>
    <xf numFmtId="0" fontId="26" fillId="3" borderId="42" xfId="0" applyFont="1" applyFill="1" applyBorder="1" applyAlignment="1" applyProtection="1">
      <alignment horizontal="center" vertical="center"/>
      <protection locked="0"/>
    </xf>
    <xf numFmtId="0" fontId="26" fillId="3" borderId="15" xfId="0" applyFont="1" applyFill="1" applyBorder="1" applyAlignment="1" applyProtection="1">
      <alignment vertical="center"/>
      <protection locked="0"/>
    </xf>
    <xf numFmtId="0" fontId="26" fillId="3" borderId="2" xfId="0" applyFont="1" applyFill="1" applyBorder="1" applyAlignment="1" applyProtection="1">
      <alignment vertical="center"/>
      <protection locked="0"/>
    </xf>
    <xf numFmtId="0" fontId="26" fillId="3" borderId="16" xfId="0" applyFont="1" applyFill="1" applyBorder="1" applyAlignment="1" applyProtection="1">
      <alignment vertical="center"/>
      <protection locked="0"/>
    </xf>
    <xf numFmtId="0" fontId="22" fillId="8" borderId="51" xfId="0" applyFont="1" applyFill="1" applyBorder="1" applyAlignment="1" applyProtection="1">
      <alignment horizontal="center" vertical="center"/>
      <protection locked="0"/>
    </xf>
    <xf numFmtId="0" fontId="22" fillId="8" borderId="0" xfId="0" applyFont="1" applyFill="1" applyBorder="1" applyAlignment="1" applyProtection="1">
      <alignment horizontal="center" vertical="center"/>
      <protection locked="0"/>
    </xf>
    <xf numFmtId="0" fontId="22" fillId="8" borderId="45" xfId="0" applyFont="1" applyFill="1" applyBorder="1" applyAlignment="1" applyProtection="1">
      <alignment horizontal="center" vertical="center"/>
      <protection locked="0"/>
    </xf>
    <xf numFmtId="175" fontId="26" fillId="3" borderId="4" xfId="3" applyNumberFormat="1" applyFont="1" applyFill="1" applyBorder="1" applyAlignment="1" applyProtection="1">
      <alignment horizontal="left" vertical="center"/>
    </xf>
    <xf numFmtId="175" fontId="26" fillId="3" borderId="28" xfId="3" applyNumberFormat="1" applyFont="1" applyFill="1" applyBorder="1" applyAlignment="1" applyProtection="1">
      <alignment horizontal="left" vertical="center"/>
    </xf>
    <xf numFmtId="49" fontId="26" fillId="3" borderId="15" xfId="0" applyNumberFormat="1" applyFont="1" applyFill="1" applyBorder="1" applyAlignment="1" applyProtection="1">
      <alignment horizontal="center" vertical="center"/>
      <protection locked="0"/>
    </xf>
    <xf numFmtId="49" fontId="26" fillId="3" borderId="53" xfId="0" applyNumberFormat="1" applyFont="1" applyFill="1" applyBorder="1" applyAlignment="1" applyProtection="1">
      <alignment horizontal="center" vertical="center"/>
      <protection locked="0"/>
    </xf>
    <xf numFmtId="0" fontId="16" fillId="0" borderId="1" xfId="0" applyFont="1" applyBorder="1" applyAlignment="1">
      <alignment horizontal="left" vertical="center" wrapText="1"/>
    </xf>
    <xf numFmtId="0" fontId="26" fillId="9" borderId="4" xfId="0" applyNumberFormat="1" applyFont="1" applyFill="1" applyBorder="1" applyAlignment="1" applyProtection="1">
      <alignment horizontal="left" vertical="center"/>
    </xf>
    <xf numFmtId="0" fontId="26" fillId="3" borderId="15" xfId="3" applyNumberFormat="1" applyFont="1" applyFill="1" applyBorder="1" applyAlignment="1" applyProtection="1">
      <alignment horizontal="left" vertical="center" wrapText="1"/>
      <protection locked="0"/>
    </xf>
    <xf numFmtId="0" fontId="26" fillId="3" borderId="2" xfId="3" applyNumberFormat="1" applyFont="1" applyFill="1" applyBorder="1" applyAlignment="1" applyProtection="1">
      <alignment horizontal="left" vertical="center" wrapText="1"/>
      <protection locked="0"/>
    </xf>
    <xf numFmtId="0" fontId="26" fillId="3" borderId="53" xfId="3" applyNumberFormat="1" applyFont="1" applyFill="1" applyBorder="1" applyAlignment="1" applyProtection="1">
      <alignment horizontal="left" vertical="center" wrapText="1"/>
      <protection locked="0"/>
    </xf>
    <xf numFmtId="0" fontId="26" fillId="9" borderId="23" xfId="3" applyNumberFormat="1" applyFont="1" applyFill="1" applyBorder="1" applyAlignment="1" applyProtection="1">
      <alignment horizontal="left" vertical="center" wrapText="1"/>
      <protection locked="0"/>
    </xf>
    <xf numFmtId="0" fontId="26" fillId="9" borderId="16" xfId="3" applyNumberFormat="1" applyFont="1" applyFill="1" applyBorder="1" applyAlignment="1" applyProtection="1">
      <alignment horizontal="left" vertical="center" wrapText="1"/>
      <protection locked="0"/>
    </xf>
    <xf numFmtId="0" fontId="26" fillId="3" borderId="17" xfId="3" applyNumberFormat="1" applyFont="1" applyFill="1" applyBorder="1" applyAlignment="1" applyProtection="1">
      <alignment horizontal="left" vertical="center" wrapText="1"/>
      <protection locked="0"/>
    </xf>
    <xf numFmtId="0" fontId="26" fillId="3" borderId="18" xfId="3" applyNumberFormat="1" applyFont="1" applyFill="1" applyBorder="1" applyAlignment="1" applyProtection="1">
      <alignment horizontal="left" vertical="center" wrapText="1"/>
      <protection locked="0"/>
    </xf>
    <xf numFmtId="0" fontId="26" fillId="3" borderId="46" xfId="3" applyNumberFormat="1" applyFont="1" applyFill="1" applyBorder="1" applyAlignment="1" applyProtection="1">
      <alignment horizontal="left" vertical="center" wrapText="1"/>
      <protection locked="0"/>
    </xf>
    <xf numFmtId="175" fontId="26" fillId="3" borderId="4" xfId="0" applyNumberFormat="1" applyFont="1" applyFill="1" applyBorder="1" applyAlignment="1" applyProtection="1">
      <alignment horizontal="left" vertical="center"/>
    </xf>
    <xf numFmtId="0" fontId="26" fillId="9" borderId="10" xfId="3" applyNumberFormat="1" applyFont="1" applyFill="1" applyBorder="1" applyAlignment="1" applyProtection="1">
      <alignment horizontal="left" vertical="center" wrapText="1"/>
      <protection locked="0"/>
    </xf>
    <xf numFmtId="0" fontId="26" fillId="9" borderId="3" xfId="3" applyNumberFormat="1" applyFont="1" applyFill="1" applyBorder="1" applyAlignment="1" applyProtection="1">
      <alignment horizontal="left" vertical="center" wrapText="1"/>
      <protection locked="0"/>
    </xf>
    <xf numFmtId="0" fontId="26" fillId="9" borderId="15" xfId="2" applyFont="1" applyFill="1" applyBorder="1" applyAlignment="1" applyProtection="1">
      <alignment horizontal="center" vertical="center"/>
      <protection locked="0"/>
    </xf>
    <xf numFmtId="0" fontId="26" fillId="0" borderId="2" xfId="0" applyFont="1" applyBorder="1" applyAlignment="1">
      <alignment horizontal="center" vertical="center"/>
    </xf>
    <xf numFmtId="0" fontId="26" fillId="0" borderId="16" xfId="0" applyFont="1" applyBorder="1" applyAlignment="1">
      <alignment horizontal="center" vertical="center"/>
    </xf>
    <xf numFmtId="0" fontId="26" fillId="9" borderId="15" xfId="2" applyFont="1" applyFill="1" applyBorder="1" applyAlignment="1" applyProtection="1">
      <alignment vertical="center" wrapText="1"/>
      <protection locked="0"/>
    </xf>
    <xf numFmtId="0" fontId="26" fillId="0" borderId="2" xfId="0" applyFont="1" applyBorder="1" applyAlignment="1">
      <alignment vertical="center"/>
    </xf>
    <xf numFmtId="0" fontId="26" fillId="9" borderId="23" xfId="2" applyNumberFormat="1" applyFont="1" applyFill="1" applyBorder="1" applyAlignment="1" applyProtection="1">
      <alignment horizontal="left" vertical="center"/>
      <protection locked="0"/>
    </xf>
    <xf numFmtId="0" fontId="26" fillId="9" borderId="16" xfId="2" applyNumberFormat="1" applyFont="1" applyFill="1" applyBorder="1" applyAlignment="1" applyProtection="1">
      <alignment horizontal="left" vertical="center"/>
      <protection locked="0"/>
    </xf>
    <xf numFmtId="0" fontId="26" fillId="3" borderId="20" xfId="3" applyNumberFormat="1" applyFont="1" applyFill="1" applyBorder="1" applyAlignment="1" applyProtection="1">
      <alignment horizontal="left" vertical="center" wrapText="1"/>
      <protection locked="0"/>
    </xf>
    <xf numFmtId="0" fontId="26" fillId="3" borderId="33" xfId="3" applyNumberFormat="1" applyFont="1" applyFill="1" applyBorder="1" applyAlignment="1" applyProtection="1">
      <alignment horizontal="left" vertical="center" wrapText="1"/>
      <protection locked="0"/>
    </xf>
    <xf numFmtId="0" fontId="26" fillId="3" borderId="44" xfId="3" applyNumberFormat="1" applyFont="1" applyFill="1" applyBorder="1" applyAlignment="1" applyProtection="1">
      <alignment horizontal="left" vertical="center" wrapText="1"/>
      <protection locked="0"/>
    </xf>
    <xf numFmtId="0" fontId="26" fillId="9" borderId="50" xfId="3" applyNumberFormat="1" applyFont="1" applyFill="1" applyBorder="1" applyAlignment="1" applyProtection="1">
      <alignment horizontal="left" vertical="center"/>
      <protection locked="0"/>
    </xf>
    <xf numFmtId="0" fontId="26" fillId="9" borderId="34" xfId="3" applyNumberFormat="1" applyFont="1" applyFill="1" applyBorder="1" applyAlignment="1" applyProtection="1">
      <alignment horizontal="left" vertical="center"/>
      <protection locked="0"/>
    </xf>
    <xf numFmtId="0" fontId="117" fillId="4" borderId="10" xfId="0" applyFont="1" applyFill="1" applyBorder="1" applyAlignment="1">
      <alignment horizontal="center" vertical="center"/>
    </xf>
    <xf numFmtId="0" fontId="117" fillId="4" borderId="3" xfId="0" applyFont="1" applyFill="1" applyBorder="1" applyAlignment="1">
      <alignment horizontal="center" vertical="center"/>
    </xf>
    <xf numFmtId="0" fontId="117" fillId="4" borderId="11" xfId="0" applyFont="1" applyFill="1" applyBorder="1" applyAlignment="1">
      <alignment horizontal="center" vertical="center"/>
    </xf>
    <xf numFmtId="0" fontId="26" fillId="3" borderId="15" xfId="0" applyFont="1" applyFill="1" applyBorder="1" applyAlignment="1" applyProtection="1">
      <alignment horizontal="left" vertical="center"/>
      <protection locked="0"/>
    </xf>
    <xf numFmtId="0" fontId="26" fillId="3" borderId="2" xfId="0" applyFont="1" applyFill="1" applyBorder="1" applyAlignment="1" applyProtection="1">
      <alignment horizontal="left" vertical="center"/>
      <protection locked="0"/>
    </xf>
    <xf numFmtId="0" fontId="26" fillId="3" borderId="16" xfId="0" applyFont="1" applyFill="1" applyBorder="1" applyAlignment="1" applyProtection="1">
      <alignment horizontal="left" vertical="center"/>
      <protection locked="0"/>
    </xf>
    <xf numFmtId="0" fontId="109" fillId="0" borderId="55" xfId="0" applyFont="1" applyBorder="1" applyAlignment="1" applyProtection="1">
      <alignment horizontal="center" vertical="center" wrapText="1"/>
      <protection locked="0"/>
    </xf>
    <xf numFmtId="0" fontId="109" fillId="0" borderId="31" xfId="0" applyFont="1" applyBorder="1" applyAlignment="1" applyProtection="1">
      <alignment horizontal="center" vertical="center" wrapText="1"/>
      <protection locked="0"/>
    </xf>
    <xf numFmtId="0" fontId="26" fillId="3" borderId="56" xfId="0" applyFont="1" applyFill="1" applyBorder="1" applyAlignment="1" applyProtection="1">
      <alignment horizontal="left" vertical="center"/>
      <protection locked="0"/>
    </xf>
    <xf numFmtId="0" fontId="26" fillId="3" borderId="39" xfId="0" applyFont="1" applyFill="1" applyBorder="1" applyAlignment="1" applyProtection="1">
      <alignment horizontal="left" vertical="center"/>
      <protection locked="0"/>
    </xf>
    <xf numFmtId="0" fontId="26" fillId="3" borderId="42" xfId="0" applyFont="1" applyFill="1" applyBorder="1" applyAlignment="1" applyProtection="1">
      <alignment horizontal="left" vertical="center"/>
      <protection locked="0"/>
    </xf>
    <xf numFmtId="49" fontId="26" fillId="3" borderId="1" xfId="0" applyNumberFormat="1" applyFont="1" applyFill="1" applyBorder="1" applyAlignment="1" applyProtection="1">
      <alignment horizontal="left" vertical="center"/>
      <protection locked="0"/>
    </xf>
    <xf numFmtId="0" fontId="26" fillId="3" borderId="1" xfId="0" applyFont="1" applyFill="1" applyBorder="1" applyAlignment="1" applyProtection="1">
      <alignment horizontal="center" vertical="center"/>
      <protection locked="0"/>
    </xf>
    <xf numFmtId="0" fontId="26" fillId="3" borderId="6" xfId="0" applyFont="1" applyFill="1" applyBorder="1" applyAlignment="1" applyProtection="1">
      <alignment horizontal="center" vertical="center"/>
      <protection locked="0"/>
    </xf>
    <xf numFmtId="49" fontId="26" fillId="3" borderId="8" xfId="0" applyNumberFormat="1" applyFont="1" applyFill="1" applyBorder="1" applyAlignment="1" applyProtection="1">
      <alignment horizontal="left" vertical="center"/>
      <protection locked="0"/>
    </xf>
    <xf numFmtId="0" fontId="26" fillId="3" borderId="8" xfId="0" applyFont="1" applyFill="1" applyBorder="1" applyAlignment="1" applyProtection="1">
      <alignment horizontal="center" vertical="center"/>
      <protection locked="0"/>
    </xf>
    <xf numFmtId="0" fontId="26" fillId="3" borderId="9" xfId="0" applyFont="1" applyFill="1" applyBorder="1" applyAlignment="1" applyProtection="1">
      <alignment horizontal="center" vertical="center"/>
      <protection locked="0"/>
    </xf>
    <xf numFmtId="0" fontId="22" fillId="8" borderId="52" xfId="0" applyFont="1" applyFill="1" applyBorder="1" applyAlignment="1">
      <alignment horizontal="center" vertical="center"/>
    </xf>
    <xf numFmtId="0" fontId="22" fillId="8" borderId="36" xfId="0" applyFont="1" applyFill="1" applyBorder="1" applyAlignment="1">
      <alignment horizontal="center" vertical="center"/>
    </xf>
    <xf numFmtId="0" fontId="22" fillId="8" borderId="37" xfId="0" applyFont="1" applyFill="1" applyBorder="1" applyAlignment="1">
      <alignment horizontal="center" vertical="center"/>
    </xf>
    <xf numFmtId="0" fontId="26" fillId="4" borderId="56" xfId="0" applyFont="1" applyFill="1" applyBorder="1" applyAlignment="1">
      <alignment horizontal="center" vertical="center"/>
    </xf>
    <xf numFmtId="0" fontId="26" fillId="4" borderId="40" xfId="0" applyFont="1" applyFill="1" applyBorder="1" applyAlignment="1">
      <alignment horizontal="center" vertical="center"/>
    </xf>
    <xf numFmtId="0" fontId="26" fillId="3" borderId="27" xfId="0" applyFont="1" applyFill="1" applyBorder="1" applyAlignment="1" applyProtection="1">
      <alignment horizontal="left" vertical="center"/>
      <protection locked="0"/>
    </xf>
    <xf numFmtId="0" fontId="26" fillId="3" borderId="27" xfId="0" applyFont="1" applyFill="1" applyBorder="1" applyAlignment="1" applyProtection="1">
      <alignment horizontal="center" vertical="center"/>
      <protection locked="0"/>
    </xf>
    <xf numFmtId="0" fontId="16" fillId="3" borderId="22" xfId="0" applyFont="1" applyFill="1" applyBorder="1" applyAlignment="1" applyProtection="1">
      <alignment vertical="center"/>
      <protection locked="0"/>
    </xf>
    <xf numFmtId="0" fontId="26" fillId="3" borderId="1" xfId="0" applyFont="1" applyFill="1" applyBorder="1" applyAlignment="1" applyProtection="1">
      <alignment horizontal="left" vertical="center"/>
      <protection locked="0"/>
    </xf>
    <xf numFmtId="15" fontId="26" fillId="3" borderId="1" xfId="0" applyNumberFormat="1" applyFont="1" applyFill="1" applyBorder="1" applyAlignment="1" applyProtection="1">
      <alignment horizontal="center" vertical="center"/>
      <protection locked="0"/>
    </xf>
    <xf numFmtId="0" fontId="26" fillId="7" borderId="38" xfId="0" applyFont="1" applyFill="1" applyBorder="1" applyAlignment="1">
      <alignment horizontal="left" vertical="center" wrapText="1"/>
    </xf>
    <xf numFmtId="0" fontId="26" fillId="7" borderId="42" xfId="0" applyFont="1" applyFill="1" applyBorder="1" applyAlignment="1">
      <alignment horizontal="left" vertical="center" wrapText="1"/>
    </xf>
    <xf numFmtId="15" fontId="26" fillId="10" borderId="1" xfId="0" applyNumberFormat="1" applyFont="1" applyFill="1" applyBorder="1" applyAlignment="1" applyProtection="1">
      <alignment horizontal="left" vertical="center" wrapText="1"/>
      <protection locked="0"/>
    </xf>
    <xf numFmtId="0" fontId="22" fillId="8" borderId="43" xfId="0" applyFont="1" applyFill="1" applyBorder="1" applyAlignment="1">
      <alignment horizontal="center" vertical="center"/>
    </xf>
    <xf numFmtId="0" fontId="22" fillId="8" borderId="60" xfId="0" applyFont="1" applyFill="1" applyBorder="1" applyAlignment="1">
      <alignment horizontal="center" vertical="center"/>
    </xf>
    <xf numFmtId="0" fontId="22" fillId="8" borderId="61" xfId="0" applyFont="1" applyFill="1" applyBorder="1" applyAlignment="1">
      <alignment horizontal="center" vertical="center"/>
    </xf>
    <xf numFmtId="0" fontId="26" fillId="3" borderId="1" xfId="0" applyFont="1" applyFill="1" applyBorder="1" applyAlignment="1">
      <alignment horizontal="left" vertical="center"/>
    </xf>
    <xf numFmtId="0" fontId="26" fillId="4" borderId="5" xfId="0" applyFont="1" applyFill="1" applyBorder="1" applyAlignment="1">
      <alignment horizontal="left" vertical="center"/>
    </xf>
    <xf numFmtId="0" fontId="26" fillId="4" borderId="1" xfId="0" applyFont="1" applyFill="1" applyBorder="1" applyAlignment="1">
      <alignment horizontal="left" vertical="center"/>
    </xf>
    <xf numFmtId="0" fontId="22" fillId="4" borderId="7" xfId="0" applyFont="1" applyFill="1" applyBorder="1" applyAlignment="1">
      <alignment horizontal="left" vertical="center"/>
    </xf>
    <xf numFmtId="0" fontId="22" fillId="4" borderId="8" xfId="0" applyFont="1" applyFill="1" applyBorder="1" applyAlignment="1">
      <alignment horizontal="left" vertical="center"/>
    </xf>
    <xf numFmtId="0" fontId="23" fillId="5" borderId="58" xfId="0" applyFont="1" applyFill="1" applyBorder="1" applyAlignment="1">
      <alignment horizontal="center" vertical="center"/>
    </xf>
    <xf numFmtId="0" fontId="23" fillId="5" borderId="54" xfId="0" applyFont="1" applyFill="1" applyBorder="1" applyAlignment="1">
      <alignment horizontal="center" vertical="center"/>
    </xf>
    <xf numFmtId="0" fontId="23" fillId="5" borderId="51" xfId="0" applyFont="1" applyFill="1" applyBorder="1" applyAlignment="1">
      <alignment horizontal="center" vertical="center"/>
    </xf>
    <xf numFmtId="0" fontId="23" fillId="5" borderId="0" xfId="0" applyFont="1" applyFill="1" applyBorder="1" applyAlignment="1">
      <alignment horizontal="center" vertical="center"/>
    </xf>
    <xf numFmtId="0" fontId="23" fillId="5" borderId="29" xfId="0" applyFont="1" applyFill="1" applyBorder="1" applyAlignment="1">
      <alignment horizontal="center" vertical="center"/>
    </xf>
    <xf numFmtId="0" fontId="23" fillId="5" borderId="30" xfId="0" applyFont="1" applyFill="1" applyBorder="1" applyAlignment="1">
      <alignment horizontal="center" vertical="center"/>
    </xf>
    <xf numFmtId="0" fontId="22" fillId="0" borderId="41" xfId="0" applyFont="1" applyBorder="1" applyAlignment="1">
      <alignment horizontal="left" vertical="center"/>
    </xf>
    <xf numFmtId="0" fontId="22" fillId="0" borderId="0" xfId="0" applyFont="1" applyBorder="1" applyAlignment="1">
      <alignment horizontal="left" vertical="center"/>
    </xf>
    <xf numFmtId="0" fontId="22" fillId="0" borderId="45" xfId="0" applyFont="1" applyBorder="1" applyAlignment="1">
      <alignment horizontal="left" vertical="center"/>
    </xf>
    <xf numFmtId="0" fontId="23" fillId="5" borderId="54" xfId="0" applyFont="1" applyFill="1" applyBorder="1" applyAlignment="1">
      <alignment horizontal="right" vertical="center"/>
    </xf>
    <xf numFmtId="0" fontId="23" fillId="5" borderId="0" xfId="0" applyFont="1" applyFill="1" applyBorder="1" applyAlignment="1">
      <alignment horizontal="right" vertical="center"/>
    </xf>
    <xf numFmtId="0" fontId="23" fillId="5" borderId="30" xfId="0" applyFont="1" applyFill="1" applyBorder="1" applyAlignment="1">
      <alignment horizontal="right" vertical="center"/>
    </xf>
    <xf numFmtId="0" fontId="22" fillId="8" borderId="12" xfId="0" applyFont="1" applyFill="1" applyBorder="1" applyAlignment="1">
      <alignment horizontal="center" vertical="center"/>
    </xf>
    <xf numFmtId="0" fontId="22" fillId="8" borderId="13" xfId="0" applyFont="1" applyFill="1" applyBorder="1" applyAlignment="1">
      <alignment horizontal="center" vertical="center"/>
    </xf>
    <xf numFmtId="0" fontId="22" fillId="8" borderId="14" xfId="0" applyFont="1" applyFill="1" applyBorder="1" applyAlignment="1">
      <alignment horizontal="center" vertical="center"/>
    </xf>
    <xf numFmtId="0" fontId="22" fillId="7" borderId="58" xfId="0" applyFont="1" applyFill="1" applyBorder="1" applyAlignment="1">
      <alignment horizontal="center" vertical="center" wrapText="1"/>
    </xf>
    <xf numFmtId="0" fontId="22" fillId="7" borderId="55" xfId="0" applyFont="1" applyFill="1" applyBorder="1" applyAlignment="1">
      <alignment horizontal="center" vertical="center" wrapText="1"/>
    </xf>
    <xf numFmtId="0" fontId="22" fillId="7" borderId="51" xfId="0" applyFont="1" applyFill="1" applyBorder="1" applyAlignment="1">
      <alignment horizontal="center" vertical="center" wrapText="1"/>
    </xf>
    <xf numFmtId="0" fontId="22" fillId="7" borderId="45" xfId="0" applyFont="1" applyFill="1" applyBorder="1" applyAlignment="1">
      <alignment horizontal="center" vertical="center" wrapText="1"/>
    </xf>
    <xf numFmtId="0" fontId="22" fillId="7" borderId="57" xfId="0" applyFont="1" applyFill="1" applyBorder="1" applyAlignment="1">
      <alignment horizontal="center" vertical="center" wrapText="1"/>
    </xf>
    <xf numFmtId="0" fontId="22" fillId="7" borderId="46" xfId="0" applyFont="1" applyFill="1" applyBorder="1" applyAlignment="1">
      <alignment horizontal="center" vertical="center" wrapText="1"/>
    </xf>
    <xf numFmtId="0" fontId="22" fillId="7" borderId="38" xfId="0" applyFont="1" applyFill="1" applyBorder="1" applyAlignment="1" applyProtection="1">
      <alignment horizontal="left" vertical="center" wrapText="1"/>
      <protection locked="0"/>
    </xf>
    <xf numFmtId="0" fontId="22" fillId="7" borderId="39" xfId="0" applyFont="1" applyFill="1" applyBorder="1" applyAlignment="1" applyProtection="1">
      <alignment horizontal="left" vertical="center" wrapText="1"/>
      <protection locked="0"/>
    </xf>
    <xf numFmtId="0" fontId="22" fillId="7" borderId="42" xfId="0" applyFont="1" applyFill="1" applyBorder="1" applyAlignment="1" applyProtection="1">
      <alignment horizontal="left" vertical="center" wrapText="1"/>
      <protection locked="0"/>
    </xf>
    <xf numFmtId="0" fontId="26" fillId="10" borderId="27" xfId="0" applyFont="1" applyFill="1" applyBorder="1" applyAlignment="1" applyProtection="1">
      <alignment horizontal="left" vertical="center" wrapText="1"/>
      <protection locked="0"/>
    </xf>
    <xf numFmtId="0" fontId="22" fillId="7" borderId="13" xfId="0" applyFont="1" applyFill="1" applyBorder="1" applyAlignment="1">
      <alignment horizontal="center" vertical="center" wrapText="1"/>
    </xf>
    <xf numFmtId="0" fontId="17" fillId="4" borderId="4" xfId="0" applyFont="1" applyFill="1" applyBorder="1" applyAlignment="1">
      <alignment horizontal="center"/>
    </xf>
    <xf numFmtId="0" fontId="17" fillId="4" borderId="1" xfId="0" applyFont="1" applyFill="1" applyBorder="1" applyAlignment="1">
      <alignment horizontal="center"/>
    </xf>
    <xf numFmtId="0" fontId="0" fillId="3" borderId="38" xfId="0" applyFill="1" applyBorder="1" applyAlignment="1" applyProtection="1">
      <alignment horizontal="left"/>
      <protection locked="0"/>
    </xf>
    <xf numFmtId="0" fontId="0" fillId="3" borderId="39" xfId="0" applyFill="1" applyBorder="1" applyAlignment="1" applyProtection="1">
      <alignment horizontal="left"/>
      <protection locked="0"/>
    </xf>
    <xf numFmtId="0" fontId="0" fillId="3" borderId="40" xfId="0" applyFill="1" applyBorder="1" applyAlignment="1" applyProtection="1">
      <alignment horizontal="left"/>
      <protection locked="0"/>
    </xf>
    <xf numFmtId="3" fontId="26" fillId="3" borderId="68" xfId="1" applyNumberFormat="1" applyFont="1" applyFill="1" applyBorder="1" applyAlignment="1" applyProtection="1">
      <alignment horizontal="left" vertical="center" wrapText="1"/>
      <protection locked="0"/>
    </xf>
    <xf numFmtId="3" fontId="26" fillId="3" borderId="30" xfId="1" applyNumberFormat="1" applyFont="1" applyFill="1" applyBorder="1" applyAlignment="1" applyProtection="1">
      <alignment horizontal="left" vertical="center" wrapText="1"/>
      <protection locked="0"/>
    </xf>
    <xf numFmtId="3" fontId="26" fillId="3" borderId="31" xfId="1" applyNumberFormat="1" applyFont="1" applyFill="1" applyBorder="1" applyAlignment="1" applyProtection="1">
      <alignment horizontal="left" vertical="center" wrapText="1"/>
      <protection locked="0"/>
    </xf>
    <xf numFmtId="165" fontId="27" fillId="13" borderId="29" xfId="1" applyNumberFormat="1" applyFont="1" applyFill="1" applyBorder="1" applyAlignment="1" applyProtection="1">
      <alignment horizontal="center" vertical="center"/>
      <protection locked="0"/>
    </xf>
    <xf numFmtId="165" fontId="27" fillId="13" borderId="30" xfId="1" applyNumberFormat="1" applyFont="1" applyFill="1" applyBorder="1" applyAlignment="1" applyProtection="1">
      <alignment horizontal="center" vertical="center"/>
      <protection locked="0"/>
    </xf>
    <xf numFmtId="165" fontId="27" fillId="13" borderId="31" xfId="1" applyNumberFormat="1" applyFont="1" applyFill="1" applyBorder="1" applyAlignment="1" applyProtection="1">
      <alignment horizontal="center" vertical="center"/>
      <protection locked="0"/>
    </xf>
    <xf numFmtId="0" fontId="22" fillId="12" borderId="47" xfId="0" applyFont="1" applyFill="1" applyBorder="1" applyAlignment="1" applyProtection="1">
      <alignment horizontal="left" vertical="center"/>
      <protection locked="0"/>
    </xf>
    <xf numFmtId="0" fontId="22" fillId="12" borderId="32" xfId="0" applyFont="1" applyFill="1" applyBorder="1" applyAlignment="1" applyProtection="1">
      <alignment horizontal="left" vertical="center"/>
      <protection locked="0"/>
    </xf>
    <xf numFmtId="0" fontId="22" fillId="12" borderId="48" xfId="0" applyFont="1" applyFill="1" applyBorder="1" applyAlignment="1" applyProtection="1">
      <alignment horizontal="left" vertical="center"/>
      <protection locked="0"/>
    </xf>
    <xf numFmtId="3" fontId="22" fillId="3" borderId="44" xfId="1" applyNumberFormat="1" applyFont="1" applyFill="1" applyBorder="1" applyAlignment="1" applyProtection="1">
      <alignment horizontal="center" vertical="top" wrapText="1"/>
      <protection locked="0"/>
    </xf>
    <xf numFmtId="3" fontId="22" fillId="3" borderId="45" xfId="1" applyNumberFormat="1" applyFont="1" applyFill="1" applyBorder="1" applyAlignment="1" applyProtection="1">
      <alignment horizontal="center" vertical="top"/>
      <protection locked="0"/>
    </xf>
    <xf numFmtId="3" fontId="22" fillId="3" borderId="46" xfId="1" applyNumberFormat="1" applyFont="1" applyFill="1" applyBorder="1" applyAlignment="1" applyProtection="1">
      <alignment horizontal="center" vertical="top"/>
      <protection locked="0"/>
    </xf>
    <xf numFmtId="0" fontId="22" fillId="9" borderId="23" xfId="0" applyFont="1" applyFill="1" applyBorder="1" applyAlignment="1" applyProtection="1">
      <alignment horizontal="left" vertical="center"/>
      <protection locked="0"/>
    </xf>
    <xf numFmtId="0" fontId="22" fillId="9" borderId="2" xfId="0" applyFont="1" applyFill="1" applyBorder="1" applyAlignment="1" applyProtection="1">
      <alignment horizontal="left" vertical="center"/>
      <protection locked="0"/>
    </xf>
    <xf numFmtId="0" fontId="22" fillId="12" borderId="57" xfId="0" applyFont="1" applyFill="1" applyBorder="1" applyAlignment="1" applyProtection="1">
      <alignment horizontal="left" vertical="center"/>
      <protection locked="0"/>
    </xf>
    <xf numFmtId="0" fontId="22" fillId="12" borderId="18" xfId="0" applyFont="1" applyFill="1" applyBorder="1" applyAlignment="1" applyProtection="1">
      <alignment horizontal="left" vertical="center"/>
      <protection locked="0"/>
    </xf>
    <xf numFmtId="0" fontId="22" fillId="12" borderId="46" xfId="0" applyFont="1" applyFill="1" applyBorder="1" applyAlignment="1" applyProtection="1">
      <alignment horizontal="left" vertical="center"/>
      <protection locked="0"/>
    </xf>
    <xf numFmtId="3" fontId="22" fillId="3" borderId="28" xfId="1" applyNumberFormat="1" applyFont="1" applyFill="1" applyBorder="1" applyAlignment="1" applyProtection="1">
      <alignment horizontal="center" vertical="top" wrapText="1"/>
      <protection locked="0"/>
    </xf>
    <xf numFmtId="3" fontId="22" fillId="3" borderId="61" xfId="1" applyNumberFormat="1" applyFont="1" applyFill="1" applyBorder="1" applyAlignment="1" applyProtection="1">
      <alignment horizontal="center" vertical="top"/>
      <protection locked="0"/>
    </xf>
    <xf numFmtId="3" fontId="22" fillId="3" borderId="11" xfId="1" applyNumberFormat="1" applyFont="1" applyFill="1" applyBorder="1" applyAlignment="1" applyProtection="1">
      <alignment horizontal="center" vertical="top"/>
      <protection locked="0"/>
    </xf>
    <xf numFmtId="0" fontId="22" fillId="9" borderId="23" xfId="0" applyFont="1" applyFill="1" applyBorder="1" applyAlignment="1" applyProtection="1">
      <alignment vertical="center"/>
      <protection locked="0"/>
    </xf>
    <xf numFmtId="0" fontId="22" fillId="9" borderId="2" xfId="0" applyFont="1" applyFill="1" applyBorder="1" applyAlignment="1" applyProtection="1">
      <alignment vertical="center"/>
      <protection locked="0"/>
    </xf>
    <xf numFmtId="0" fontId="22" fillId="9" borderId="53" xfId="0" applyFont="1" applyFill="1" applyBorder="1" applyAlignment="1" applyProtection="1">
      <alignment vertical="center"/>
      <protection locked="0"/>
    </xf>
    <xf numFmtId="3" fontId="22" fillId="3" borderId="61" xfId="1" applyNumberFormat="1" applyFont="1" applyFill="1" applyBorder="1" applyAlignment="1" applyProtection="1">
      <alignment horizontal="center" vertical="top" wrapText="1"/>
      <protection locked="0"/>
    </xf>
    <xf numFmtId="3" fontId="26" fillId="3" borderId="28" xfId="1" applyNumberFormat="1" applyFont="1" applyFill="1" applyBorder="1" applyAlignment="1" applyProtection="1">
      <alignment horizontal="center" vertical="top" wrapText="1"/>
      <protection locked="0"/>
    </xf>
    <xf numFmtId="3" fontId="26" fillId="3" borderId="61" xfId="1" applyNumberFormat="1" applyFont="1" applyFill="1" applyBorder="1" applyAlignment="1" applyProtection="1">
      <alignment horizontal="center" vertical="top" wrapText="1"/>
      <protection locked="0"/>
    </xf>
    <xf numFmtId="3" fontId="26" fillId="3" borderId="11" xfId="1" applyNumberFormat="1" applyFont="1" applyFill="1" applyBorder="1" applyAlignment="1" applyProtection="1">
      <alignment horizontal="center" vertical="top" wrapText="1"/>
      <protection locked="0"/>
    </xf>
    <xf numFmtId="3" fontId="26" fillId="3" borderId="15" xfId="1" applyNumberFormat="1" applyFont="1" applyFill="1" applyBorder="1" applyAlignment="1" applyProtection="1">
      <alignment horizontal="center" vertical="center" wrapText="1"/>
      <protection locked="0"/>
    </xf>
    <xf numFmtId="3" fontId="26" fillId="3" borderId="2" xfId="1" applyNumberFormat="1" applyFont="1" applyFill="1" applyBorder="1" applyAlignment="1" applyProtection="1">
      <alignment horizontal="center" vertical="center" wrapText="1"/>
      <protection locked="0"/>
    </xf>
    <xf numFmtId="3" fontId="26" fillId="3" borderId="53" xfId="1" applyNumberFormat="1" applyFont="1" applyFill="1" applyBorder="1" applyAlignment="1" applyProtection="1">
      <alignment horizontal="center" vertical="center" wrapText="1"/>
      <protection locked="0"/>
    </xf>
    <xf numFmtId="3" fontId="26" fillId="3" borderId="61" xfId="1" applyNumberFormat="1" applyFont="1" applyFill="1" applyBorder="1" applyAlignment="1" applyProtection="1">
      <alignment horizontal="center" vertical="top"/>
      <protection locked="0"/>
    </xf>
    <xf numFmtId="3" fontId="26" fillId="3" borderId="35" xfId="1" applyNumberFormat="1" applyFont="1" applyFill="1" applyBorder="1" applyAlignment="1" applyProtection="1">
      <alignment horizontal="center" vertical="top"/>
      <protection locked="0"/>
    </xf>
    <xf numFmtId="0" fontId="84" fillId="5" borderId="58" xfId="0" applyFont="1" applyFill="1" applyBorder="1" applyAlignment="1" applyProtection="1">
      <alignment horizontal="center" vertical="center"/>
    </xf>
    <xf numFmtId="0" fontId="84" fillId="5" borderId="54" xfId="0" applyFont="1" applyFill="1" applyBorder="1" applyAlignment="1" applyProtection="1">
      <alignment horizontal="center" vertical="center"/>
    </xf>
    <xf numFmtId="0" fontId="84" fillId="5" borderId="51" xfId="0" applyFont="1" applyFill="1" applyBorder="1" applyAlignment="1" applyProtection="1">
      <alignment horizontal="center" vertical="center"/>
    </xf>
    <xf numFmtId="0" fontId="84" fillId="5" borderId="0" xfId="0" applyFont="1" applyFill="1" applyBorder="1" applyAlignment="1" applyProtection="1">
      <alignment horizontal="center" vertical="center"/>
    </xf>
    <xf numFmtId="0" fontId="84" fillId="5" borderId="57" xfId="0" applyFont="1" applyFill="1" applyBorder="1" applyAlignment="1" applyProtection="1">
      <alignment horizontal="center" vertical="center"/>
    </xf>
    <xf numFmtId="0" fontId="84" fillId="5" borderId="18" xfId="0" applyFont="1" applyFill="1" applyBorder="1" applyAlignment="1" applyProtection="1">
      <alignment horizontal="center" vertical="center"/>
    </xf>
    <xf numFmtId="0" fontId="27" fillId="6" borderId="0" xfId="0" applyFont="1" applyFill="1" applyBorder="1" applyAlignment="1" applyProtection="1">
      <alignment horizontal="center" vertical="center" wrapText="1"/>
      <protection locked="0"/>
    </xf>
    <xf numFmtId="0" fontId="22" fillId="8" borderId="5" xfId="0" applyFont="1" applyFill="1" applyBorder="1" applyAlignment="1" applyProtection="1">
      <alignment horizontal="center" vertical="center"/>
      <protection locked="0"/>
    </xf>
    <xf numFmtId="0" fontId="22" fillId="8" borderId="16" xfId="0" applyFont="1" applyFill="1" applyBorder="1" applyAlignment="1" applyProtection="1">
      <alignment horizontal="center" vertical="center"/>
      <protection locked="0"/>
    </xf>
    <xf numFmtId="0" fontId="22" fillId="8" borderId="1" xfId="0" applyFont="1" applyFill="1" applyBorder="1" applyAlignment="1" applyProtection="1">
      <alignment horizontal="center" vertical="center"/>
      <protection locked="0"/>
    </xf>
    <xf numFmtId="0" fontId="22" fillId="8" borderId="15" xfId="0" applyFont="1" applyFill="1" applyBorder="1" applyAlignment="1" applyProtection="1">
      <alignment horizontal="center" vertical="center"/>
      <protection locked="0"/>
    </xf>
    <xf numFmtId="0" fontId="22" fillId="8" borderId="6" xfId="0" applyFont="1" applyFill="1" applyBorder="1" applyAlignment="1" applyProtection="1">
      <alignment horizontal="center" vertical="center"/>
      <protection locked="0"/>
    </xf>
    <xf numFmtId="165" fontId="27" fillId="13" borderId="52" xfId="1" applyNumberFormat="1" applyFont="1" applyFill="1" applyBorder="1" applyAlignment="1" applyProtection="1">
      <alignment horizontal="center" vertical="center"/>
      <protection locked="0"/>
    </xf>
    <xf numFmtId="165" fontId="27" fillId="13" borderId="36" xfId="1" applyNumberFormat="1" applyFont="1" applyFill="1" applyBorder="1" applyAlignment="1" applyProtection="1">
      <alignment horizontal="center" vertical="center"/>
      <protection locked="0"/>
    </xf>
    <xf numFmtId="165" fontId="27" fillId="13" borderId="37" xfId="1" applyNumberFormat="1" applyFont="1" applyFill="1" applyBorder="1" applyAlignment="1" applyProtection="1">
      <alignment horizontal="center" vertical="center"/>
      <protection locked="0"/>
    </xf>
    <xf numFmtId="0" fontId="22" fillId="0" borderId="15" xfId="0" applyFont="1" applyBorder="1" applyAlignment="1" applyProtection="1">
      <alignment horizontal="center" vertical="center"/>
    </xf>
    <xf numFmtId="0" fontId="22" fillId="0" borderId="2" xfId="0" applyFont="1" applyBorder="1" applyAlignment="1" applyProtection="1">
      <alignment horizontal="center" vertical="center"/>
    </xf>
    <xf numFmtId="3" fontId="22" fillId="3" borderId="45" xfId="1" applyNumberFormat="1" applyFont="1" applyFill="1" applyBorder="1" applyAlignment="1" applyProtection="1">
      <alignment horizontal="center" vertical="top" wrapText="1"/>
      <protection locked="0"/>
    </xf>
    <xf numFmtId="3" fontId="22" fillId="3" borderId="46" xfId="1" applyNumberFormat="1" applyFont="1" applyFill="1" applyBorder="1" applyAlignment="1" applyProtection="1">
      <alignment horizontal="center" vertical="top" wrapText="1"/>
      <protection locked="0"/>
    </xf>
    <xf numFmtId="0" fontId="22" fillId="12" borderId="23" xfId="0" applyFont="1" applyFill="1" applyBorder="1" applyAlignment="1" applyProtection="1">
      <alignment horizontal="left" vertical="center"/>
      <protection locked="0"/>
    </xf>
    <xf numFmtId="0" fontId="22" fillId="12" borderId="2" xfId="0" applyFont="1" applyFill="1" applyBorder="1" applyAlignment="1" applyProtection="1">
      <alignment horizontal="left" vertical="center"/>
      <protection locked="0"/>
    </xf>
    <xf numFmtId="0" fontId="22" fillId="12" borderId="53" xfId="0" applyFont="1" applyFill="1" applyBorder="1" applyAlignment="1" applyProtection="1">
      <alignment horizontal="left" vertical="center"/>
      <protection locked="0"/>
    </xf>
    <xf numFmtId="3" fontId="22" fillId="3" borderId="11" xfId="1" applyNumberFormat="1" applyFont="1" applyFill="1" applyBorder="1" applyAlignment="1" applyProtection="1">
      <alignment horizontal="center" vertical="top" wrapText="1"/>
      <protection locked="0"/>
    </xf>
    <xf numFmtId="3" fontId="26" fillId="3" borderId="35" xfId="1" applyNumberFormat="1" applyFont="1" applyFill="1" applyBorder="1" applyAlignment="1" applyProtection="1">
      <alignment horizontal="center" vertical="top" wrapText="1"/>
      <protection locked="0"/>
    </xf>
    <xf numFmtId="0" fontId="27" fillId="6" borderId="51" xfId="0" applyFont="1" applyFill="1" applyBorder="1" applyAlignment="1" applyProtection="1">
      <alignment horizontal="center" vertical="center" wrapText="1"/>
      <protection locked="0"/>
    </xf>
    <xf numFmtId="165" fontId="27" fillId="13" borderId="54" xfId="1" applyNumberFormat="1" applyFont="1" applyFill="1" applyBorder="1" applyAlignment="1" applyProtection="1">
      <alignment horizontal="center" vertical="center"/>
      <protection locked="0"/>
    </xf>
    <xf numFmtId="3" fontId="26" fillId="3" borderId="64" xfId="1" applyNumberFormat="1" applyFont="1" applyFill="1" applyBorder="1" applyAlignment="1" applyProtection="1">
      <alignment horizontal="center" vertical="top" wrapText="1"/>
      <protection locked="0"/>
    </xf>
    <xf numFmtId="0" fontId="22" fillId="0" borderId="17" xfId="0" applyFont="1" applyBorder="1" applyAlignment="1" applyProtection="1">
      <alignment horizontal="left" vertical="center"/>
    </xf>
    <xf numFmtId="0" fontId="22" fillId="0" borderId="18" xfId="0" applyFont="1" applyBorder="1" applyAlignment="1" applyProtection="1">
      <alignment horizontal="left" vertical="center"/>
    </xf>
    <xf numFmtId="3" fontId="26" fillId="3" borderId="17" xfId="1" applyNumberFormat="1" applyFont="1" applyFill="1" applyBorder="1" applyAlignment="1" applyProtection="1">
      <alignment horizontal="center" vertical="center" wrapText="1"/>
      <protection locked="0"/>
    </xf>
    <xf numFmtId="3" fontId="26" fillId="3" borderId="18" xfId="1" applyNumberFormat="1" applyFont="1" applyFill="1" applyBorder="1" applyAlignment="1" applyProtection="1">
      <alignment horizontal="center" vertical="center" wrapText="1"/>
      <protection locked="0"/>
    </xf>
    <xf numFmtId="3" fontId="26" fillId="3" borderId="46" xfId="1" applyNumberFormat="1" applyFont="1" applyFill="1" applyBorder="1" applyAlignment="1" applyProtection="1">
      <alignment horizontal="center" vertical="center" wrapText="1"/>
      <protection locked="0"/>
    </xf>
    <xf numFmtId="3" fontId="26" fillId="3" borderId="56" xfId="1" applyNumberFormat="1" applyFont="1" applyFill="1" applyBorder="1" applyAlignment="1" applyProtection="1">
      <alignment horizontal="left" vertical="center" wrapText="1"/>
      <protection locked="0"/>
    </xf>
    <xf numFmtId="3" fontId="26" fillId="3" borderId="39" xfId="1" applyNumberFormat="1" applyFont="1" applyFill="1" applyBorder="1" applyAlignment="1" applyProtection="1">
      <alignment horizontal="left" vertical="center" wrapText="1"/>
      <protection locked="0"/>
    </xf>
    <xf numFmtId="3" fontId="26" fillId="3" borderId="40" xfId="1" applyNumberFormat="1" applyFont="1" applyFill="1" applyBorder="1" applyAlignment="1" applyProtection="1">
      <alignment horizontal="left" vertical="center" wrapText="1"/>
      <protection locked="0"/>
    </xf>
    <xf numFmtId="0" fontId="22" fillId="9" borderId="33" xfId="0" applyFont="1" applyFill="1" applyBorder="1" applyAlignment="1" applyProtection="1">
      <alignment vertical="center"/>
      <protection locked="0"/>
    </xf>
    <xf numFmtId="0" fontId="22" fillId="12" borderId="0" xfId="0" applyFont="1" applyFill="1" applyBorder="1" applyAlignment="1" applyProtection="1">
      <alignment horizontal="left" vertical="center"/>
      <protection locked="0"/>
    </xf>
    <xf numFmtId="0" fontId="22" fillId="9" borderId="33" xfId="0" applyFont="1" applyFill="1" applyBorder="1" applyAlignment="1" applyProtection="1">
      <alignment horizontal="left" vertical="center"/>
      <protection locked="0"/>
    </xf>
    <xf numFmtId="0" fontId="17" fillId="8" borderId="58" xfId="0" applyNumberFormat="1" applyFont="1" applyFill="1" applyBorder="1" applyAlignment="1" applyProtection="1">
      <alignment horizontal="center" vertical="center"/>
      <protection locked="0"/>
    </xf>
    <xf numFmtId="0" fontId="17" fillId="8" borderId="55" xfId="0" applyNumberFormat="1" applyFont="1" applyFill="1" applyBorder="1" applyAlignment="1" applyProtection="1">
      <alignment horizontal="center" vertical="center"/>
      <protection locked="0"/>
    </xf>
    <xf numFmtId="0" fontId="92" fillId="19" borderId="0" xfId="0" applyFont="1" applyFill="1" applyBorder="1" applyAlignment="1" applyProtection="1">
      <alignment horizontal="center" vertical="center" wrapText="1"/>
      <protection locked="0"/>
    </xf>
    <xf numFmtId="0" fontId="23" fillId="5" borderId="55" xfId="0" applyNumberFormat="1" applyFont="1" applyFill="1" applyBorder="1" applyAlignment="1" applyProtection="1">
      <alignment horizontal="center" vertical="center" wrapText="1"/>
    </xf>
    <xf numFmtId="0" fontId="23" fillId="5" borderId="45" xfId="0" applyNumberFormat="1" applyFont="1" applyFill="1" applyBorder="1" applyAlignment="1" applyProtection="1">
      <alignment horizontal="center" vertical="center" wrapText="1"/>
    </xf>
    <xf numFmtId="0" fontId="23" fillId="5" borderId="46" xfId="0" applyNumberFormat="1" applyFont="1" applyFill="1" applyBorder="1" applyAlignment="1" applyProtection="1">
      <alignment horizontal="center" vertical="center" wrapText="1"/>
    </xf>
    <xf numFmtId="0" fontId="43" fillId="4" borderId="23" xfId="0" applyFont="1" applyFill="1" applyBorder="1" applyAlignment="1" applyProtection="1">
      <alignment horizontal="center"/>
      <protection locked="0"/>
    </xf>
    <xf numFmtId="0" fontId="43" fillId="4" borderId="53" xfId="0" applyFont="1" applyFill="1" applyBorder="1" applyAlignment="1" applyProtection="1">
      <alignment horizontal="center"/>
      <protection locked="0"/>
    </xf>
    <xf numFmtId="0" fontId="23" fillId="5" borderId="58" xfId="0" applyFont="1" applyFill="1" applyBorder="1" applyAlignment="1" applyProtection="1">
      <alignment horizontal="center" vertical="center"/>
    </xf>
    <xf numFmtId="0" fontId="23" fillId="5" borderId="51" xfId="0" applyFont="1" applyFill="1" applyBorder="1" applyAlignment="1" applyProtection="1">
      <alignment horizontal="center" vertical="center"/>
    </xf>
    <xf numFmtId="0" fontId="23" fillId="5" borderId="57" xfId="0" applyFont="1" applyFill="1" applyBorder="1" applyAlignment="1" applyProtection="1">
      <alignment horizontal="center" vertical="center"/>
    </xf>
    <xf numFmtId="0" fontId="110" fillId="4" borderId="23" xfId="0" applyFont="1" applyFill="1" applyBorder="1" applyAlignment="1" applyProtection="1">
      <alignment horizontal="center"/>
      <protection locked="0"/>
    </xf>
    <xf numFmtId="0" fontId="110" fillId="4" borderId="53" xfId="0" applyFont="1" applyFill="1" applyBorder="1" applyAlignment="1" applyProtection="1">
      <alignment horizontal="center"/>
      <protection locked="0"/>
    </xf>
    <xf numFmtId="0" fontId="26" fillId="19" borderId="15" xfId="0" applyFont="1" applyFill="1" applyBorder="1" applyAlignment="1" applyProtection="1">
      <alignment horizontal="left"/>
    </xf>
    <xf numFmtId="0" fontId="26" fillId="19" borderId="2" xfId="0" applyFont="1" applyFill="1" applyBorder="1" applyAlignment="1" applyProtection="1">
      <alignment horizontal="left"/>
    </xf>
    <xf numFmtId="0" fontId="26" fillId="19" borderId="16" xfId="0" applyFont="1" applyFill="1" applyBorder="1" applyAlignment="1" applyProtection="1">
      <alignment horizontal="left"/>
    </xf>
    <xf numFmtId="0" fontId="22" fillId="19" borderId="1" xfId="0" applyFont="1" applyFill="1" applyBorder="1" applyAlignment="1" applyProtection="1">
      <alignment horizontal="left"/>
      <protection locked="0"/>
    </xf>
    <xf numFmtId="0" fontId="26" fillId="0" borderId="2" xfId="0" applyFont="1" applyBorder="1" applyAlignment="1" applyProtection="1">
      <alignment horizontal="left"/>
    </xf>
    <xf numFmtId="0" fontId="26" fillId="0" borderId="16" xfId="0" applyFont="1" applyBorder="1" applyAlignment="1" applyProtection="1">
      <alignment horizontal="left"/>
    </xf>
    <xf numFmtId="0" fontId="23" fillId="5" borderId="54" xfId="0" applyFont="1" applyFill="1" applyBorder="1" applyAlignment="1" applyProtection="1">
      <alignment horizontal="center" vertical="center"/>
    </xf>
    <xf numFmtId="0" fontId="23" fillId="5" borderId="0" xfId="0" applyFont="1" applyFill="1" applyBorder="1" applyAlignment="1" applyProtection="1">
      <alignment horizontal="center" vertical="center"/>
    </xf>
    <xf numFmtId="0" fontId="23" fillId="5" borderId="29" xfId="0" applyFont="1" applyFill="1" applyBorder="1" applyAlignment="1" applyProtection="1">
      <alignment horizontal="center" vertical="center"/>
    </xf>
    <xf numFmtId="0" fontId="23" fillId="5" borderId="30" xfId="0" applyFont="1" applyFill="1" applyBorder="1" applyAlignment="1" applyProtection="1">
      <alignment horizontal="center" vertical="center"/>
    </xf>
    <xf numFmtId="0" fontId="22" fillId="19" borderId="1" xfId="0" applyFont="1" applyFill="1" applyBorder="1" applyAlignment="1" applyProtection="1">
      <alignment horizontal="left" vertical="center"/>
    </xf>
    <xf numFmtId="0" fontId="110" fillId="4" borderId="57" xfId="0" applyFont="1" applyFill="1" applyBorder="1" applyAlignment="1" applyProtection="1">
      <alignment horizontal="center" vertical="center"/>
      <protection locked="0"/>
    </xf>
    <xf numFmtId="0" fontId="110" fillId="4" borderId="18" xfId="0" applyFont="1" applyFill="1" applyBorder="1" applyAlignment="1" applyProtection="1">
      <alignment horizontal="center" vertical="center"/>
      <protection locked="0"/>
    </xf>
    <xf numFmtId="0" fontId="110" fillId="4" borderId="46" xfId="0" applyFont="1" applyFill="1" applyBorder="1" applyAlignment="1" applyProtection="1">
      <alignment horizontal="center" vertical="center"/>
      <protection locked="0"/>
    </xf>
    <xf numFmtId="0" fontId="16" fillId="3" borderId="1" xfId="5" applyFont="1" applyFill="1" applyBorder="1" applyAlignment="1" applyProtection="1">
      <alignment horizontal="center"/>
      <protection locked="0"/>
    </xf>
    <xf numFmtId="0" fontId="16" fillId="3" borderId="6" xfId="5" applyFont="1" applyFill="1" applyBorder="1" applyAlignment="1" applyProtection="1">
      <alignment horizontal="center"/>
      <protection locked="0"/>
    </xf>
    <xf numFmtId="1" fontId="16" fillId="19" borderId="1" xfId="5" applyNumberFormat="1" applyFont="1" applyFill="1" applyBorder="1" applyAlignment="1" applyProtection="1">
      <alignment horizontal="center"/>
    </xf>
    <xf numFmtId="1" fontId="16" fillId="19" borderId="6" xfId="5" applyNumberFormat="1" applyFont="1" applyFill="1" applyBorder="1" applyAlignment="1" applyProtection="1">
      <alignment horizontal="center"/>
    </xf>
    <xf numFmtId="10" fontId="16" fillId="19" borderId="8" xfId="5" applyNumberFormat="1" applyFont="1" applyFill="1" applyBorder="1" applyAlignment="1" applyProtection="1">
      <alignment horizontal="center"/>
    </xf>
    <xf numFmtId="10" fontId="16" fillId="19" borderId="9" xfId="5" applyNumberFormat="1" applyFont="1" applyFill="1" applyBorder="1" applyAlignment="1" applyProtection="1">
      <alignment horizontal="center"/>
    </xf>
    <xf numFmtId="9" fontId="16" fillId="3" borderId="1" xfId="5" applyNumberFormat="1" applyFont="1" applyFill="1" applyBorder="1" applyAlignment="1" applyProtection="1">
      <alignment horizontal="center"/>
      <protection locked="0"/>
    </xf>
    <xf numFmtId="3" fontId="16" fillId="19" borderId="1" xfId="5" applyNumberFormat="1" applyFont="1" applyFill="1" applyBorder="1" applyAlignment="1" applyProtection="1">
      <alignment horizontal="center"/>
    </xf>
    <xf numFmtId="0" fontId="16" fillId="19" borderId="6" xfId="5" applyFont="1" applyFill="1" applyBorder="1" applyAlignment="1" applyProtection="1">
      <alignment horizontal="center"/>
    </xf>
    <xf numFmtId="2" fontId="16" fillId="19" borderId="1" xfId="5" applyNumberFormat="1" applyFont="1" applyFill="1" applyBorder="1" applyAlignment="1" applyProtection="1">
      <alignment horizontal="center"/>
    </xf>
    <xf numFmtId="2" fontId="16" fillId="19" borderId="6" xfId="5" applyNumberFormat="1" applyFont="1" applyFill="1" applyBorder="1" applyAlignment="1" applyProtection="1">
      <alignment horizontal="center"/>
    </xf>
    <xf numFmtId="0" fontId="16" fillId="28" borderId="0" xfId="5" applyFont="1" applyFill="1" applyBorder="1" applyAlignment="1" applyProtection="1">
      <alignment horizontal="center" vertical="center" wrapText="1"/>
      <protection locked="0"/>
    </xf>
    <xf numFmtId="10" fontId="16" fillId="3" borderId="1" xfId="5" applyNumberFormat="1" applyFont="1" applyFill="1" applyBorder="1" applyAlignment="1" applyProtection="1">
      <alignment horizontal="center"/>
      <protection locked="0"/>
    </xf>
    <xf numFmtId="10" fontId="16" fillId="3" borderId="6" xfId="5" applyNumberFormat="1" applyFont="1" applyFill="1" applyBorder="1" applyAlignment="1" applyProtection="1">
      <alignment horizontal="center"/>
      <protection locked="0"/>
    </xf>
    <xf numFmtId="10" fontId="17" fillId="19" borderId="1" xfId="5" applyNumberFormat="1" applyFont="1" applyFill="1" applyBorder="1" applyAlignment="1" applyProtection="1">
      <alignment horizontal="center"/>
    </xf>
    <xf numFmtId="10" fontId="17" fillId="19" borderId="6" xfId="5" applyNumberFormat="1" applyFont="1" applyFill="1" applyBorder="1" applyAlignment="1" applyProtection="1">
      <alignment horizontal="center"/>
    </xf>
    <xf numFmtId="1" fontId="17" fillId="19" borderId="1" xfId="5" applyNumberFormat="1" applyFont="1" applyFill="1" applyBorder="1" applyAlignment="1" applyProtection="1">
      <alignment horizontal="center"/>
    </xf>
    <xf numFmtId="1" fontId="17" fillId="19" borderId="6" xfId="5" applyNumberFormat="1" applyFont="1" applyFill="1" applyBorder="1" applyAlignment="1" applyProtection="1">
      <alignment horizontal="center"/>
    </xf>
    <xf numFmtId="0" fontId="43" fillId="4" borderId="23" xfId="0" applyFont="1" applyFill="1" applyBorder="1" applyAlignment="1" applyProtection="1">
      <alignment horizontal="center" vertical="center"/>
      <protection locked="0"/>
    </xf>
    <xf numFmtId="0" fontId="43" fillId="4" borderId="2" xfId="0" applyFont="1" applyFill="1" applyBorder="1" applyAlignment="1" applyProtection="1">
      <alignment horizontal="center" vertical="center"/>
      <protection locked="0"/>
    </xf>
    <xf numFmtId="0" fontId="43" fillId="4" borderId="53" xfId="0" applyFont="1" applyFill="1" applyBorder="1" applyAlignment="1" applyProtection="1">
      <alignment horizontal="center" vertical="center"/>
      <protection locked="0"/>
    </xf>
    <xf numFmtId="0" fontId="22" fillId="8" borderId="53" xfId="0" applyFont="1" applyFill="1" applyBorder="1" applyAlignment="1" applyProtection="1">
      <alignment horizontal="center" vertical="center"/>
      <protection locked="0"/>
    </xf>
    <xf numFmtId="0" fontId="23" fillId="5" borderId="55" xfId="0" applyFont="1" applyFill="1" applyBorder="1" applyAlignment="1" applyProtection="1">
      <alignment horizontal="center" vertical="center"/>
      <protection locked="0"/>
    </xf>
    <xf numFmtId="0" fontId="23" fillId="5" borderId="45" xfId="0" applyFont="1" applyFill="1" applyBorder="1" applyAlignment="1" applyProtection="1">
      <alignment horizontal="center" vertical="center"/>
      <protection locked="0"/>
    </xf>
    <xf numFmtId="0" fontId="23" fillId="5" borderId="46" xfId="0" applyFont="1" applyFill="1" applyBorder="1" applyAlignment="1" applyProtection="1">
      <alignment horizontal="center" vertical="center"/>
      <protection locked="0"/>
    </xf>
    <xf numFmtId="38" fontId="26" fillId="36" borderId="8" xfId="16" applyNumberFormat="1" applyFont="1" applyFill="1" applyBorder="1" applyAlignment="1" applyProtection="1">
      <alignment horizontal="center" vertical="center"/>
      <protection locked="0"/>
    </xf>
    <xf numFmtId="38" fontId="26" fillId="36" borderId="9" xfId="16" applyNumberFormat="1" applyFont="1" applyFill="1" applyBorder="1" applyAlignment="1" applyProtection="1">
      <alignment horizontal="center" vertical="center"/>
      <protection locked="0"/>
    </xf>
    <xf numFmtId="0" fontId="84" fillId="13" borderId="58" xfId="16" applyFont="1" applyFill="1" applyBorder="1" applyAlignment="1" applyProtection="1">
      <alignment horizontal="center" vertical="center"/>
      <protection locked="0"/>
    </xf>
    <xf numFmtId="0" fontId="84" fillId="13" borderId="54" xfId="16" applyFont="1" applyFill="1" applyBorder="1" applyAlignment="1" applyProtection="1">
      <alignment horizontal="center" vertical="center"/>
      <protection locked="0"/>
    </xf>
    <xf numFmtId="0" fontId="84" fillId="13" borderId="55" xfId="16" applyFont="1" applyFill="1" applyBorder="1" applyAlignment="1" applyProtection="1">
      <alignment horizontal="center" vertical="center"/>
      <protection locked="0"/>
    </xf>
    <xf numFmtId="0" fontId="26" fillId="3" borderId="5" xfId="16" applyFont="1" applyFill="1" applyBorder="1" applyAlignment="1" applyProtection="1">
      <alignment horizontal="left" vertical="center"/>
      <protection locked="0"/>
    </xf>
    <xf numFmtId="0" fontId="26" fillId="3" borderId="1" xfId="16" applyFont="1" applyFill="1" applyBorder="1" applyAlignment="1" applyProtection="1">
      <alignment horizontal="left" vertical="center"/>
      <protection locked="0"/>
    </xf>
    <xf numFmtId="37" fontId="26" fillId="36" borderId="6" xfId="1" applyNumberFormat="1" applyFont="1" applyFill="1" applyBorder="1" applyAlignment="1" applyProtection="1">
      <alignment horizontal="center" vertical="center"/>
    </xf>
    <xf numFmtId="38" fontId="26" fillId="36" borderId="1" xfId="16" applyNumberFormat="1" applyFont="1" applyFill="1" applyBorder="1" applyAlignment="1" applyProtection="1">
      <alignment horizontal="left" vertical="center" wrapText="1"/>
      <protection locked="0"/>
    </xf>
    <xf numFmtId="38" fontId="26" fillId="36" borderId="15" xfId="16" applyNumberFormat="1" applyFont="1" applyFill="1" applyBorder="1" applyAlignment="1" applyProtection="1">
      <alignment horizontal="left" vertical="center" wrapText="1"/>
      <protection locked="0"/>
    </xf>
    <xf numFmtId="38" fontId="26" fillId="36" borderId="2" xfId="16" applyNumberFormat="1" applyFont="1" applyFill="1" applyBorder="1" applyAlignment="1" applyProtection="1">
      <alignment horizontal="left" vertical="center" wrapText="1"/>
      <protection locked="0"/>
    </xf>
    <xf numFmtId="38" fontId="26" fillId="36" borderId="16" xfId="16" applyNumberFormat="1" applyFont="1" applyFill="1" applyBorder="1" applyAlignment="1" applyProtection="1">
      <alignment horizontal="left" vertical="center" wrapText="1"/>
      <protection locked="0"/>
    </xf>
    <xf numFmtId="0" fontId="110" fillId="4" borderId="51" xfId="0" applyFont="1" applyFill="1" applyBorder="1" applyAlignment="1" applyProtection="1">
      <alignment horizontal="center" vertical="center"/>
      <protection locked="0"/>
    </xf>
    <xf numFmtId="0" fontId="110" fillId="4" borderId="0" xfId="0" applyFont="1" applyFill="1" applyBorder="1" applyAlignment="1" applyProtection="1">
      <alignment horizontal="center" vertical="center"/>
      <protection locked="0"/>
    </xf>
    <xf numFmtId="0" fontId="110" fillId="4" borderId="45" xfId="0" applyFont="1" applyFill="1" applyBorder="1" applyAlignment="1" applyProtection="1">
      <alignment horizontal="center" vertical="center"/>
      <protection locked="0"/>
    </xf>
    <xf numFmtId="0" fontId="26" fillId="0" borderId="0" xfId="16" applyFont="1" applyBorder="1" applyAlignment="1" applyProtection="1">
      <alignment horizontal="center" vertical="center" wrapText="1"/>
      <protection locked="0"/>
    </xf>
    <xf numFmtId="0" fontId="22" fillId="0" borderId="13" xfId="16" applyFont="1" applyBorder="1" applyAlignment="1" applyProtection="1">
      <alignment horizontal="center"/>
    </xf>
    <xf numFmtId="165" fontId="84" fillId="13" borderId="52" xfId="1" applyNumberFormat="1" applyFont="1" applyFill="1" applyBorder="1" applyAlignment="1" applyProtection="1">
      <alignment horizontal="center" vertical="center"/>
      <protection locked="0"/>
    </xf>
    <xf numFmtId="165" fontId="84" fillId="13" borderId="30" xfId="1" applyNumberFormat="1" applyFont="1" applyFill="1" applyBorder="1" applyAlignment="1" applyProtection="1">
      <alignment horizontal="center" vertical="center"/>
      <protection locked="0"/>
    </xf>
    <xf numFmtId="165" fontId="84" fillId="13" borderId="0" xfId="1" applyNumberFormat="1" applyFont="1" applyFill="1" applyBorder="1" applyAlignment="1" applyProtection="1">
      <alignment horizontal="center" vertical="center"/>
      <protection locked="0"/>
    </xf>
    <xf numFmtId="165" fontId="84" fillId="13" borderId="36" xfId="1" applyNumberFormat="1" applyFont="1" applyFill="1" applyBorder="1" applyAlignment="1" applyProtection="1">
      <alignment horizontal="center" vertical="center"/>
      <protection locked="0"/>
    </xf>
    <xf numFmtId="165" fontId="84" fillId="13" borderId="55" xfId="1" applyNumberFormat="1" applyFont="1" applyFill="1" applyBorder="1" applyAlignment="1" applyProtection="1">
      <alignment horizontal="center" vertical="center"/>
      <protection locked="0"/>
    </xf>
    <xf numFmtId="0" fontId="84" fillId="13" borderId="52" xfId="16" applyFont="1" applyFill="1" applyBorder="1" applyAlignment="1" applyProtection="1">
      <alignment horizontal="center" vertical="center"/>
      <protection locked="0"/>
    </xf>
    <xf numFmtId="0" fontId="84" fillId="13" borderId="36" xfId="16" applyFont="1" applyFill="1" applyBorder="1" applyAlignment="1" applyProtection="1">
      <alignment horizontal="center" vertical="center"/>
      <protection locked="0"/>
    </xf>
    <xf numFmtId="0" fontId="84" fillId="13" borderId="37" xfId="16" applyFont="1" applyFill="1" applyBorder="1" applyAlignment="1" applyProtection="1">
      <alignment horizontal="center" vertical="center"/>
      <protection locked="0"/>
    </xf>
    <xf numFmtId="38" fontId="26" fillId="36" borderId="1" xfId="16" applyNumberFormat="1" applyFont="1" applyFill="1" applyBorder="1" applyAlignment="1" applyProtection="1">
      <alignment horizontal="center" vertical="center" wrapText="1"/>
      <protection locked="0" hidden="1"/>
    </xf>
    <xf numFmtId="178" fontId="102" fillId="37" borderId="39" xfId="16" applyNumberFormat="1" applyFont="1" applyFill="1" applyBorder="1" applyAlignment="1" applyProtection="1">
      <alignment horizontal="center"/>
      <protection locked="0"/>
    </xf>
    <xf numFmtId="0" fontId="103" fillId="19" borderId="0" xfId="16" applyFont="1" applyFill="1" applyAlignment="1" applyProtection="1">
      <alignment horizontal="center" wrapText="1"/>
      <protection locked="0"/>
    </xf>
    <xf numFmtId="0" fontId="26" fillId="3" borderId="15" xfId="16" applyFont="1" applyFill="1" applyBorder="1" applyAlignment="1" applyProtection="1">
      <alignment horizontal="left" vertical="center" wrapText="1"/>
      <protection locked="0"/>
    </xf>
    <xf numFmtId="0" fontId="26" fillId="3" borderId="16" xfId="16" applyFont="1" applyFill="1" applyBorder="1" applyAlignment="1" applyProtection="1">
      <alignment horizontal="left" vertical="center" wrapText="1"/>
      <protection locked="0"/>
    </xf>
    <xf numFmtId="0" fontId="26" fillId="3" borderId="1" xfId="16" applyFont="1" applyFill="1" applyBorder="1" applyAlignment="1" applyProtection="1">
      <alignment horizontal="left" vertical="center" wrapText="1"/>
      <protection locked="0"/>
    </xf>
    <xf numFmtId="37" fontId="26" fillId="36" borderId="1" xfId="1" applyNumberFormat="1" applyFont="1" applyFill="1" applyBorder="1" applyAlignment="1" applyProtection="1">
      <alignment horizontal="center" vertical="center" wrapText="1"/>
    </xf>
    <xf numFmtId="0" fontId="22" fillId="0" borderId="15" xfId="16" applyFont="1" applyBorder="1" applyAlignment="1" applyProtection="1">
      <alignment horizontal="center" wrapText="1"/>
    </xf>
    <xf numFmtId="0" fontId="22" fillId="0" borderId="2" xfId="16" applyFont="1" applyBorder="1" applyAlignment="1" applyProtection="1">
      <alignment horizontal="center" wrapText="1"/>
    </xf>
    <xf numFmtId="0" fontId="22" fillId="0" borderId="16" xfId="16" applyFont="1" applyBorder="1" applyAlignment="1" applyProtection="1">
      <alignment horizontal="center" wrapText="1"/>
    </xf>
    <xf numFmtId="165" fontId="84" fillId="13" borderId="54" xfId="1" applyNumberFormat="1" applyFont="1" applyFill="1" applyBorder="1" applyAlignment="1" applyProtection="1">
      <alignment horizontal="center" vertical="center"/>
      <protection locked="0"/>
    </xf>
    <xf numFmtId="0" fontId="22" fillId="0" borderId="20" xfId="16" applyFont="1" applyBorder="1" applyAlignment="1" applyProtection="1">
      <alignment horizontal="center" vertical="center" wrapText="1"/>
    </xf>
    <xf numFmtId="0" fontId="22" fillId="0" borderId="33" xfId="16" applyFont="1" applyBorder="1" applyAlignment="1" applyProtection="1">
      <alignment horizontal="center" vertical="center" wrapText="1"/>
    </xf>
    <xf numFmtId="0" fontId="22" fillId="8" borderId="10" xfId="0" applyFont="1" applyFill="1" applyBorder="1" applyAlignment="1" applyProtection="1">
      <alignment horizontal="center" vertical="center"/>
      <protection locked="0"/>
    </xf>
    <xf numFmtId="0" fontId="22" fillId="8" borderId="19" xfId="0" applyFont="1" applyFill="1" applyBorder="1" applyAlignment="1" applyProtection="1">
      <alignment horizontal="center" vertical="center"/>
      <protection locked="0"/>
    </xf>
    <xf numFmtId="0" fontId="22" fillId="8" borderId="3" xfId="0" applyFont="1" applyFill="1" applyBorder="1" applyAlignment="1" applyProtection="1">
      <alignment horizontal="center" vertical="center"/>
      <protection locked="0"/>
    </xf>
    <xf numFmtId="0" fontId="22" fillId="8" borderId="11" xfId="0" applyFont="1" applyFill="1" applyBorder="1" applyAlignment="1" applyProtection="1">
      <alignment horizontal="center" vertical="center"/>
      <protection locked="0"/>
    </xf>
    <xf numFmtId="0" fontId="22" fillId="19" borderId="6" xfId="0" applyFont="1" applyFill="1" applyBorder="1" applyAlignment="1" applyProtection="1">
      <alignment horizontal="left" vertical="center"/>
    </xf>
    <xf numFmtId="0" fontId="110" fillId="4" borderId="58" xfId="0" applyFont="1" applyFill="1" applyBorder="1" applyAlignment="1" applyProtection="1">
      <alignment horizontal="center" vertical="center"/>
      <protection locked="0"/>
    </xf>
    <xf numFmtId="0" fontId="110" fillId="4" borderId="54" xfId="0" applyFont="1" applyFill="1" applyBorder="1" applyAlignment="1" applyProtection="1">
      <alignment horizontal="center" vertical="center"/>
      <protection locked="0"/>
    </xf>
    <xf numFmtId="0" fontId="23" fillId="5" borderId="58" xfId="0" applyFont="1" applyFill="1" applyBorder="1" applyAlignment="1" applyProtection="1">
      <alignment horizontal="center" vertical="center"/>
      <protection locked="0"/>
    </xf>
    <xf numFmtId="0" fontId="23" fillId="5" borderId="54" xfId="0" applyFont="1" applyFill="1" applyBorder="1" applyAlignment="1" applyProtection="1">
      <alignment horizontal="center" vertical="center"/>
      <protection locked="0"/>
    </xf>
    <xf numFmtId="0" fontId="23" fillId="5" borderId="51" xfId="0" applyFont="1" applyFill="1" applyBorder="1" applyAlignment="1" applyProtection="1">
      <alignment horizontal="center" vertical="center"/>
      <protection locked="0"/>
    </xf>
    <xf numFmtId="0" fontId="23" fillId="5" borderId="0" xfId="0" applyFont="1" applyFill="1" applyBorder="1" applyAlignment="1" applyProtection="1">
      <alignment horizontal="center" vertical="center"/>
      <protection locked="0"/>
    </xf>
    <xf numFmtId="0" fontId="23" fillId="5" borderId="29" xfId="0" applyFont="1" applyFill="1" applyBorder="1" applyAlignment="1" applyProtection="1">
      <alignment horizontal="center" vertical="center"/>
      <protection locked="0"/>
    </xf>
    <xf numFmtId="0" fontId="23" fillId="5" borderId="30" xfId="0" applyFont="1" applyFill="1" applyBorder="1" applyAlignment="1" applyProtection="1">
      <alignment horizontal="center" vertical="center"/>
      <protection locked="0"/>
    </xf>
    <xf numFmtId="0" fontId="110" fillId="4" borderId="55" xfId="0" applyFont="1" applyFill="1" applyBorder="1" applyAlignment="1" applyProtection="1">
      <alignment horizontal="center" vertical="center"/>
      <protection locked="0"/>
    </xf>
    <xf numFmtId="0" fontId="16" fillId="0" borderId="1" xfId="5" applyFont="1" applyFill="1" applyBorder="1" applyAlignment="1" applyProtection="1">
      <alignment horizontal="center" vertical="center"/>
      <protection locked="0"/>
    </xf>
    <xf numFmtId="0" fontId="16" fillId="0" borderId="1" xfId="5" applyFont="1" applyBorder="1" applyAlignment="1" applyProtection="1">
      <alignment horizontal="center" vertical="center"/>
      <protection locked="0"/>
    </xf>
    <xf numFmtId="0" fontId="22" fillId="8" borderId="57" xfId="0" applyFont="1" applyFill="1" applyBorder="1" applyAlignment="1" applyProtection="1">
      <alignment horizontal="left" vertical="center"/>
      <protection locked="0"/>
    </xf>
    <xf numFmtId="0" fontId="22" fillId="8" borderId="18" xfId="0" applyFont="1" applyFill="1" applyBorder="1" applyAlignment="1" applyProtection="1">
      <alignment horizontal="left" vertical="center"/>
      <protection locked="0"/>
    </xf>
    <xf numFmtId="0" fontId="23" fillId="5" borderId="31" xfId="0" applyFont="1" applyFill="1" applyBorder="1" applyAlignment="1" applyProtection="1">
      <alignment horizontal="center" vertical="center"/>
      <protection locked="0"/>
    </xf>
    <xf numFmtId="0" fontId="16" fillId="0" borderId="1" xfId="5" applyFont="1" applyBorder="1" applyAlignment="1" applyProtection="1">
      <alignment horizontal="left" vertical="center"/>
      <protection locked="0"/>
    </xf>
    <xf numFmtId="0" fontId="16" fillId="0" borderId="6" xfId="5" applyFont="1" applyFill="1" applyBorder="1" applyAlignment="1" applyProtection="1">
      <alignment horizontal="center" vertical="center"/>
      <protection locked="0"/>
    </xf>
    <xf numFmtId="0" fontId="17" fillId="0" borderId="1" xfId="5" applyFont="1" applyBorder="1" applyAlignment="1" applyProtection="1">
      <alignment horizontal="center" vertical="center"/>
      <protection locked="0"/>
    </xf>
    <xf numFmtId="0" fontId="17" fillId="0" borderId="6" xfId="5" applyFont="1" applyBorder="1" applyAlignment="1" applyProtection="1">
      <alignment horizontal="center" vertical="center"/>
      <protection locked="0"/>
    </xf>
    <xf numFmtId="0" fontId="16" fillId="0" borderId="15" xfId="5" applyFont="1" applyBorder="1" applyAlignment="1" applyProtection="1">
      <alignment horizontal="center" vertical="center"/>
      <protection locked="0"/>
    </xf>
    <xf numFmtId="0" fontId="16" fillId="0" borderId="2" xfId="5" applyFont="1" applyBorder="1" applyAlignment="1" applyProtection="1">
      <alignment horizontal="center" vertical="center"/>
      <protection locked="0"/>
    </xf>
    <xf numFmtId="0" fontId="16" fillId="0" borderId="16" xfId="5" applyFont="1" applyBorder="1" applyAlignment="1" applyProtection="1">
      <alignment horizontal="center" vertical="center"/>
      <protection locked="0"/>
    </xf>
    <xf numFmtId="0" fontId="16" fillId="0" borderId="53" xfId="5" applyFont="1" applyBorder="1" applyAlignment="1" applyProtection="1">
      <alignment horizontal="center" vertical="center"/>
      <protection locked="0"/>
    </xf>
    <xf numFmtId="0" fontId="47" fillId="0" borderId="15" xfId="5" applyFont="1" applyFill="1" applyBorder="1" applyAlignment="1" applyProtection="1">
      <alignment horizontal="left" vertical="center"/>
      <protection locked="0"/>
    </xf>
    <xf numFmtId="0" fontId="47" fillId="0" borderId="2" xfId="5" applyFont="1" applyFill="1" applyBorder="1" applyAlignment="1" applyProtection="1">
      <alignment horizontal="left" vertical="center"/>
      <protection locked="0"/>
    </xf>
    <xf numFmtId="0" fontId="47" fillId="0" borderId="16" xfId="5" applyFont="1" applyFill="1" applyBorder="1" applyAlignment="1" applyProtection="1">
      <alignment horizontal="left" vertical="center"/>
      <protection locked="0"/>
    </xf>
    <xf numFmtId="0" fontId="50" fillId="5" borderId="15" xfId="5" applyFont="1" applyFill="1" applyBorder="1" applyAlignment="1" applyProtection="1">
      <alignment horizontal="center" vertical="center" textRotation="90"/>
    </xf>
    <xf numFmtId="0" fontId="43" fillId="0" borderId="15" xfId="0" applyFont="1" applyBorder="1" applyAlignment="1" applyProtection="1">
      <alignment horizontal="left" vertical="center"/>
      <protection locked="0"/>
    </xf>
    <xf numFmtId="0" fontId="16" fillId="0" borderId="2" xfId="0" applyFont="1" applyBorder="1" applyAlignment="1" applyProtection="1">
      <alignment horizontal="left" vertical="center"/>
      <protection locked="0"/>
    </xf>
    <xf numFmtId="0" fontId="16" fillId="0" borderId="16" xfId="0" applyFont="1" applyBorder="1" applyAlignment="1" applyProtection="1">
      <alignment horizontal="left" vertical="center"/>
      <protection locked="0"/>
    </xf>
    <xf numFmtId="0" fontId="56" fillId="0" borderId="23" xfId="0" applyFont="1" applyBorder="1" applyAlignment="1" applyProtection="1">
      <alignment horizontal="center"/>
      <protection locked="0"/>
    </xf>
    <xf numFmtId="0" fontId="56" fillId="0" borderId="2" xfId="0" applyFont="1" applyBorder="1" applyAlignment="1" applyProtection="1">
      <alignment horizontal="center"/>
      <protection locked="0"/>
    </xf>
    <xf numFmtId="0" fontId="56" fillId="0" borderId="16" xfId="0" applyFont="1" applyBorder="1" applyAlignment="1" applyProtection="1">
      <alignment horizontal="center"/>
      <protection locked="0"/>
    </xf>
    <xf numFmtId="0" fontId="56" fillId="0" borderId="15" xfId="0" applyFont="1" applyBorder="1" applyAlignment="1" applyProtection="1">
      <alignment horizontal="center"/>
      <protection locked="0"/>
    </xf>
    <xf numFmtId="0" fontId="47" fillId="0" borderId="15" xfId="5" applyFont="1" applyFill="1" applyBorder="1" applyAlignment="1" applyProtection="1">
      <alignment horizontal="center" vertical="center"/>
      <protection locked="0"/>
    </xf>
    <xf numFmtId="0" fontId="47" fillId="0" borderId="2" xfId="5" applyFont="1" applyFill="1" applyBorder="1" applyAlignment="1" applyProtection="1">
      <alignment horizontal="center" vertical="center"/>
      <protection locked="0"/>
    </xf>
    <xf numFmtId="0" fontId="23" fillId="5" borderId="52" xfId="60" applyFont="1" applyFill="1" applyBorder="1" applyAlignment="1" applyProtection="1">
      <alignment horizontal="center" vertical="center"/>
      <protection locked="0"/>
    </xf>
    <xf numFmtId="0" fontId="23" fillId="5" borderId="36" xfId="60" applyFont="1" applyFill="1" applyBorder="1" applyAlignment="1" applyProtection="1">
      <alignment horizontal="center" vertical="center"/>
      <protection locked="0"/>
    </xf>
    <xf numFmtId="0" fontId="23" fillId="5" borderId="37" xfId="60" applyFont="1" applyFill="1" applyBorder="1" applyAlignment="1" applyProtection="1">
      <alignment horizontal="center" vertical="center"/>
      <protection locked="0"/>
    </xf>
    <xf numFmtId="0" fontId="50" fillId="39" borderId="17" xfId="60" applyFont="1" applyFill="1" applyBorder="1" applyAlignment="1" applyProtection="1">
      <alignment horizontal="center" vertical="center"/>
      <protection locked="0"/>
    </xf>
    <xf numFmtId="0" fontId="50" fillId="39" borderId="18" xfId="60" applyFont="1" applyFill="1" applyBorder="1" applyAlignment="1" applyProtection="1">
      <alignment horizontal="center" vertical="center"/>
      <protection locked="0"/>
    </xf>
    <xf numFmtId="0" fontId="50" fillId="39" borderId="19" xfId="60" applyFont="1" applyFill="1" applyBorder="1" applyAlignment="1" applyProtection="1">
      <alignment horizontal="center" vertical="center"/>
      <protection locked="0"/>
    </xf>
    <xf numFmtId="0" fontId="43" fillId="19" borderId="15" xfId="93" applyFont="1" applyFill="1" applyBorder="1" applyAlignment="1" applyProtection="1">
      <alignment horizontal="right" vertical="center"/>
      <protection locked="0"/>
    </xf>
    <xf numFmtId="0" fontId="43" fillId="19" borderId="2" xfId="93" applyFont="1" applyFill="1" applyBorder="1" applyAlignment="1" applyProtection="1">
      <alignment horizontal="right" vertical="center"/>
      <protection locked="0"/>
    </xf>
    <xf numFmtId="0" fontId="43" fillId="19" borderId="16" xfId="93" applyFont="1" applyFill="1" applyBorder="1" applyAlignment="1" applyProtection="1">
      <alignment horizontal="right" vertical="center"/>
      <protection locked="0"/>
    </xf>
    <xf numFmtId="180" fontId="43" fillId="19" borderId="15" xfId="93" applyNumberFormat="1" applyFont="1" applyFill="1" applyBorder="1" applyAlignment="1" applyProtection="1">
      <alignment horizontal="right" vertical="center"/>
      <protection locked="0"/>
    </xf>
    <xf numFmtId="180" fontId="43" fillId="19" borderId="2" xfId="93" applyNumberFormat="1" applyFont="1" applyFill="1" applyBorder="1" applyAlignment="1" applyProtection="1">
      <alignment horizontal="right" vertical="center"/>
      <protection locked="0"/>
    </xf>
    <xf numFmtId="180" fontId="43" fillId="19" borderId="16" xfId="93" applyNumberFormat="1" applyFont="1" applyFill="1" applyBorder="1" applyAlignment="1" applyProtection="1">
      <alignment horizontal="right" vertical="center"/>
      <protection locked="0"/>
    </xf>
    <xf numFmtId="0" fontId="82" fillId="19" borderId="15" xfId="93" applyFont="1" applyFill="1" applyBorder="1" applyAlignment="1" applyProtection="1">
      <alignment horizontal="right" vertical="center"/>
      <protection locked="0"/>
    </xf>
    <xf numFmtId="0" fontId="82" fillId="19" borderId="2" xfId="93" applyFont="1" applyFill="1" applyBorder="1" applyAlignment="1" applyProtection="1">
      <alignment horizontal="right" vertical="center"/>
      <protection locked="0"/>
    </xf>
    <xf numFmtId="0" fontId="82" fillId="19" borderId="16" xfId="93" applyFont="1" applyFill="1" applyBorder="1" applyAlignment="1" applyProtection="1">
      <alignment horizontal="right" vertical="center"/>
      <protection locked="0"/>
    </xf>
    <xf numFmtId="0" fontId="82" fillId="19" borderId="1" xfId="60" applyFont="1" applyFill="1" applyBorder="1" applyAlignment="1" applyProtection="1">
      <alignment horizontal="right" vertical="center"/>
      <protection locked="0"/>
    </xf>
    <xf numFmtId="0" fontId="44" fillId="11" borderId="5" xfId="60" applyFont="1" applyFill="1" applyBorder="1" applyAlignment="1" applyProtection="1">
      <alignment vertical="center"/>
      <protection locked="0"/>
    </xf>
    <xf numFmtId="0" fontId="44" fillId="11" borderId="1" xfId="60" applyFont="1" applyFill="1" applyBorder="1" applyAlignment="1" applyProtection="1">
      <alignment vertical="center"/>
      <protection locked="0"/>
    </xf>
    <xf numFmtId="0" fontId="43" fillId="19" borderId="1" xfId="93" applyFont="1" applyFill="1" applyBorder="1" applyAlignment="1" applyProtection="1">
      <alignment horizontal="right" vertical="center"/>
      <protection locked="0"/>
    </xf>
    <xf numFmtId="0" fontId="43" fillId="19" borderId="1" xfId="60" applyFont="1" applyFill="1" applyBorder="1" applyAlignment="1" applyProtection="1">
      <alignment horizontal="right" vertical="center"/>
      <protection locked="0"/>
    </xf>
    <xf numFmtId="0" fontId="82" fillId="19" borderId="1" xfId="93" applyFont="1" applyFill="1" applyBorder="1" applyAlignment="1" applyProtection="1">
      <alignment horizontal="right" vertical="center"/>
      <protection locked="0"/>
    </xf>
    <xf numFmtId="180" fontId="43" fillId="19" borderId="1" xfId="60" applyNumberFormat="1" applyFont="1" applyFill="1" applyBorder="1" applyAlignment="1" applyProtection="1">
      <alignment horizontal="right" vertical="center"/>
      <protection locked="0"/>
    </xf>
    <xf numFmtId="49" fontId="43" fillId="19" borderId="1" xfId="60" applyNumberFormat="1" applyFont="1" applyFill="1" applyBorder="1" applyAlignment="1" applyProtection="1">
      <alignment horizontal="right" vertical="center"/>
      <protection locked="0"/>
    </xf>
    <xf numFmtId="0" fontId="44" fillId="11" borderId="7" xfId="60" applyFont="1" applyFill="1" applyBorder="1" applyAlignment="1" applyProtection="1">
      <alignment vertical="center"/>
      <protection locked="0"/>
    </xf>
    <xf numFmtId="0" fontId="44" fillId="11" borderId="8" xfId="60" applyFont="1" applyFill="1" applyBorder="1" applyAlignment="1" applyProtection="1">
      <alignment vertical="center"/>
      <protection locked="0"/>
    </xf>
    <xf numFmtId="0" fontId="43" fillId="19" borderId="8" xfId="93" applyFont="1" applyFill="1" applyBorder="1" applyAlignment="1" applyProtection="1">
      <alignment horizontal="right" vertical="center"/>
      <protection locked="0"/>
    </xf>
    <xf numFmtId="0" fontId="43" fillId="19" borderId="8" xfId="60" applyFont="1" applyFill="1" applyBorder="1" applyAlignment="1" applyProtection="1">
      <alignment horizontal="right" vertical="center"/>
      <protection locked="0"/>
    </xf>
    <xf numFmtId="49" fontId="43" fillId="19" borderId="1" xfId="93" applyNumberFormat="1" applyFont="1" applyFill="1" applyBorder="1" applyAlignment="1" applyProtection="1">
      <alignment horizontal="right" vertical="center"/>
      <protection locked="0"/>
    </xf>
    <xf numFmtId="49" fontId="43" fillId="19" borderId="15" xfId="93" applyNumberFormat="1" applyFont="1" applyFill="1" applyBorder="1" applyAlignment="1" applyProtection="1">
      <alignment horizontal="right" vertical="center"/>
      <protection locked="0"/>
    </xf>
    <xf numFmtId="49" fontId="43" fillId="19" borderId="2" xfId="93" applyNumberFormat="1" applyFont="1" applyFill="1" applyBorder="1" applyAlignment="1" applyProtection="1">
      <alignment horizontal="right" vertical="center"/>
      <protection locked="0"/>
    </xf>
    <xf numFmtId="49" fontId="43" fillId="19" borderId="16" xfId="93" applyNumberFormat="1" applyFont="1" applyFill="1" applyBorder="1" applyAlignment="1" applyProtection="1">
      <alignment horizontal="right" vertical="center"/>
      <protection locked="0"/>
    </xf>
    <xf numFmtId="0" fontId="43" fillId="19" borderId="56" xfId="93" applyFont="1" applyFill="1" applyBorder="1" applyAlignment="1" applyProtection="1">
      <alignment horizontal="right" vertical="center"/>
      <protection locked="0"/>
    </xf>
    <xf numFmtId="0" fontId="43" fillId="19" borderId="39" xfId="93" applyFont="1" applyFill="1" applyBorder="1" applyAlignment="1" applyProtection="1">
      <alignment horizontal="right" vertical="center"/>
      <protection locked="0"/>
    </xf>
    <xf numFmtId="0" fontId="43" fillId="19" borderId="42" xfId="93" applyFont="1" applyFill="1" applyBorder="1" applyAlignment="1" applyProtection="1">
      <alignment horizontal="right" vertical="center"/>
      <protection locked="0"/>
    </xf>
    <xf numFmtId="3" fontId="43" fillId="19" borderId="1" xfId="60" applyNumberFormat="1" applyFont="1" applyFill="1" applyBorder="1" applyAlignment="1" applyProtection="1">
      <alignment horizontal="right" vertical="center"/>
      <protection locked="0"/>
    </xf>
    <xf numFmtId="9" fontId="43" fillId="3" borderId="1" xfId="91" applyFont="1" applyFill="1" applyBorder="1" applyAlignment="1" applyProtection="1">
      <alignment horizontal="right" vertical="center"/>
      <protection locked="0"/>
    </xf>
    <xf numFmtId="9" fontId="43" fillId="3" borderId="1" xfId="61" applyFont="1" applyFill="1" applyBorder="1" applyAlignment="1" applyProtection="1">
      <alignment horizontal="right" vertical="center"/>
      <protection locked="0"/>
    </xf>
    <xf numFmtId="3" fontId="43" fillId="19" borderId="15" xfId="93" applyNumberFormat="1" applyFont="1" applyFill="1" applyBorder="1" applyAlignment="1" applyProtection="1">
      <alignment horizontal="right" vertical="center"/>
      <protection locked="0"/>
    </xf>
    <xf numFmtId="3" fontId="43" fillId="19" borderId="2" xfId="93" applyNumberFormat="1" applyFont="1" applyFill="1" applyBorder="1" applyAlignment="1" applyProtection="1">
      <alignment horizontal="right" vertical="center"/>
      <protection locked="0"/>
    </xf>
    <xf numFmtId="3" fontId="43" fillId="19" borderId="16" xfId="93" applyNumberFormat="1" applyFont="1" applyFill="1" applyBorder="1" applyAlignment="1" applyProtection="1">
      <alignment horizontal="right" vertical="center"/>
      <protection locked="0"/>
    </xf>
    <xf numFmtId="9" fontId="43" fillId="3" borderId="15" xfId="91" applyFont="1" applyFill="1" applyBorder="1" applyAlignment="1" applyProtection="1">
      <alignment horizontal="right" vertical="center"/>
      <protection locked="0"/>
    </xf>
    <xf numFmtId="9" fontId="43" fillId="3" borderId="2" xfId="91" applyFont="1" applyFill="1" applyBorder="1" applyAlignment="1" applyProtection="1">
      <alignment horizontal="right" vertical="center"/>
      <protection locked="0"/>
    </xf>
    <xf numFmtId="9" fontId="43" fillId="3" borderId="16" xfId="91" applyFont="1" applyFill="1" applyBorder="1" applyAlignment="1" applyProtection="1">
      <alignment horizontal="right" vertical="center"/>
      <protection locked="0"/>
    </xf>
    <xf numFmtId="3" fontId="43" fillId="19" borderId="1" xfId="93" applyNumberFormat="1" applyFont="1" applyFill="1" applyBorder="1" applyAlignment="1" applyProtection="1">
      <alignment horizontal="right" vertical="center"/>
      <protection locked="0"/>
    </xf>
    <xf numFmtId="180" fontId="43" fillId="19" borderId="1" xfId="93" applyNumberFormat="1" applyFont="1" applyFill="1" applyBorder="1" applyAlignment="1" applyProtection="1">
      <alignment horizontal="right" vertical="center"/>
      <protection locked="0"/>
    </xf>
    <xf numFmtId="0" fontId="50" fillId="39" borderId="10" xfId="60" applyFont="1" applyFill="1" applyBorder="1" applyAlignment="1" applyProtection="1">
      <alignment vertical="center"/>
      <protection locked="0"/>
    </xf>
    <xf numFmtId="0" fontId="50" fillId="39" borderId="3" xfId="60" applyFont="1" applyFill="1" applyBorder="1" applyAlignment="1" applyProtection="1">
      <alignment vertical="center"/>
      <protection locked="0"/>
    </xf>
    <xf numFmtId="0" fontId="50" fillId="39" borderId="3" xfId="60" applyFont="1" applyFill="1" applyBorder="1" applyAlignment="1" applyProtection="1">
      <alignment horizontal="center" vertical="center"/>
      <protection locked="0"/>
    </xf>
    <xf numFmtId="0" fontId="17" fillId="0" borderId="1" xfId="41" applyFont="1" applyBorder="1" applyAlignment="1" applyProtection="1">
      <alignment horizontal="center" vertical="center" wrapText="1"/>
      <protection locked="0"/>
    </xf>
    <xf numFmtId="0" fontId="16" fillId="0" borderId="15" xfId="41" applyFont="1" applyBorder="1" applyAlignment="1" applyProtection="1">
      <alignment horizontal="left" vertical="center" wrapText="1"/>
      <protection locked="0"/>
    </xf>
    <xf numFmtId="0" fontId="16" fillId="0" borderId="2" xfId="41" applyFont="1" applyBorder="1" applyAlignment="1" applyProtection="1">
      <alignment horizontal="left" vertical="center" wrapText="1"/>
      <protection locked="0"/>
    </xf>
    <xf numFmtId="3" fontId="22" fillId="0" borderId="1" xfId="41" applyNumberFormat="1" applyFont="1" applyBorder="1" applyAlignment="1" applyProtection="1">
      <alignment horizontal="center" vertical="center" wrapText="1"/>
    </xf>
    <xf numFmtId="3" fontId="38" fillId="0" borderId="1" xfId="41" applyNumberFormat="1" applyFont="1" applyBorder="1" applyAlignment="1" applyProtection="1">
      <alignment horizontal="center" vertical="center" wrapText="1"/>
    </xf>
    <xf numFmtId="0" fontId="22" fillId="0" borderId="1" xfId="41" applyFont="1" applyBorder="1" applyAlignment="1" applyProtection="1">
      <alignment horizontal="center" vertical="center"/>
      <protection locked="0"/>
    </xf>
    <xf numFmtId="0" fontId="38" fillId="0" borderId="1" xfId="41" applyFont="1" applyBorder="1" applyAlignment="1" applyProtection="1">
      <alignment horizontal="center" vertical="center" wrapText="1"/>
      <protection locked="0"/>
    </xf>
    <xf numFmtId="0" fontId="17" fillId="17" borderId="1" xfId="41" applyFont="1" applyFill="1" applyBorder="1" applyAlignment="1" applyProtection="1">
      <alignment horizontal="center" vertical="center" wrapText="1"/>
      <protection locked="0"/>
    </xf>
    <xf numFmtId="0" fontId="17" fillId="17" borderId="15" xfId="41" applyFont="1" applyFill="1" applyBorder="1" applyAlignment="1" applyProtection="1">
      <alignment horizontal="center" vertical="center" wrapText="1"/>
      <protection locked="0"/>
    </xf>
    <xf numFmtId="0" fontId="17" fillId="17" borderId="2" xfId="41" applyFont="1" applyFill="1" applyBorder="1" applyAlignment="1" applyProtection="1">
      <alignment horizontal="center" vertical="center" wrapText="1"/>
      <protection locked="0"/>
    </xf>
    <xf numFmtId="0" fontId="17" fillId="0" borderId="15" xfId="41" applyFont="1" applyBorder="1" applyAlignment="1" applyProtection="1">
      <alignment horizontal="left" vertical="center" wrapText="1"/>
      <protection locked="0"/>
    </xf>
    <xf numFmtId="0" fontId="17" fillId="0" borderId="2" xfId="41" applyFont="1" applyBorder="1" applyAlignment="1" applyProtection="1">
      <alignment horizontal="left" vertical="center" wrapText="1"/>
      <protection locked="0"/>
    </xf>
    <xf numFmtId="0" fontId="77" fillId="0" borderId="5" xfId="7" applyFont="1" applyBorder="1" applyAlignment="1" applyProtection="1">
      <alignment vertical="center" wrapText="1"/>
      <protection locked="0"/>
    </xf>
    <xf numFmtId="0" fontId="77" fillId="0" borderId="1" xfId="7" applyFont="1" applyBorder="1" applyAlignment="1" applyProtection="1">
      <alignment vertical="center" wrapText="1"/>
      <protection locked="0"/>
    </xf>
    <xf numFmtId="0" fontId="77" fillId="0" borderId="6" xfId="7" applyFont="1" applyBorder="1" applyAlignment="1" applyProtection="1">
      <alignment vertical="center" wrapText="1"/>
      <protection locked="0"/>
    </xf>
    <xf numFmtId="0" fontId="76" fillId="20" borderId="52" xfId="7" applyFont="1" applyFill="1" applyBorder="1" applyAlignment="1">
      <alignment horizontal="center" vertical="center" wrapText="1"/>
    </xf>
    <xf numFmtId="0" fontId="76" fillId="20" borderId="36" xfId="7" applyFont="1" applyFill="1" applyBorder="1" applyAlignment="1">
      <alignment horizontal="center" vertical="center" wrapText="1"/>
    </xf>
    <xf numFmtId="0" fontId="76" fillId="20" borderId="37" xfId="7" applyFont="1" applyFill="1" applyBorder="1" applyAlignment="1">
      <alignment horizontal="center" vertical="center" wrapText="1"/>
    </xf>
    <xf numFmtId="0" fontId="77" fillId="4" borderId="10" xfId="7" applyFont="1" applyFill="1" applyBorder="1" applyAlignment="1">
      <alignment horizontal="left" vertical="top" wrapText="1"/>
    </xf>
    <xf numFmtId="0" fontId="77" fillId="4" borderId="3" xfId="7" applyFont="1" applyFill="1" applyBorder="1" applyAlignment="1">
      <alignment horizontal="left" vertical="top" wrapText="1"/>
    </xf>
    <xf numFmtId="0" fontId="77" fillId="4" borderId="11" xfId="7" applyFont="1" applyFill="1" applyBorder="1" applyAlignment="1">
      <alignment horizontal="left" vertical="top" wrapText="1"/>
    </xf>
    <xf numFmtId="0" fontId="77" fillId="0" borderId="50" xfId="7" applyFont="1" applyBorder="1" applyAlignment="1" applyProtection="1">
      <alignment horizontal="left" vertical="center" wrapText="1"/>
      <protection locked="0"/>
    </xf>
    <xf numFmtId="0" fontId="77" fillId="0" borderId="33" xfId="7" applyFont="1" applyBorder="1" applyAlignment="1" applyProtection="1">
      <alignment horizontal="left" vertical="center" wrapText="1"/>
      <protection locked="0"/>
    </xf>
    <xf numFmtId="0" fontId="77" fillId="0" borderId="44" xfId="7" applyFont="1" applyBorder="1" applyAlignment="1" applyProtection="1">
      <alignment horizontal="left" vertical="center" wrapText="1"/>
      <protection locked="0"/>
    </xf>
    <xf numFmtId="0" fontId="77" fillId="0" borderId="51" xfId="7" applyFont="1" applyBorder="1" applyAlignment="1" applyProtection="1">
      <alignment horizontal="left" vertical="center" wrapText="1"/>
      <protection locked="0"/>
    </xf>
    <xf numFmtId="0" fontId="77" fillId="0" borderId="0" xfId="7" applyFont="1" applyBorder="1" applyAlignment="1" applyProtection="1">
      <alignment horizontal="left" vertical="center" wrapText="1"/>
      <protection locked="0"/>
    </xf>
    <xf numFmtId="0" fontId="77" fillId="0" borderId="45" xfId="7" applyFont="1" applyBorder="1" applyAlignment="1" applyProtection="1">
      <alignment horizontal="left" vertical="center" wrapText="1"/>
      <protection locked="0"/>
    </xf>
    <xf numFmtId="0" fontId="77" fillId="0" borderId="57" xfId="7" applyFont="1" applyBorder="1" applyAlignment="1" applyProtection="1">
      <alignment horizontal="left" vertical="center" wrapText="1"/>
      <protection locked="0"/>
    </xf>
    <xf numFmtId="0" fontId="77" fillId="0" borderId="18" xfId="7" applyFont="1" applyBorder="1" applyAlignment="1" applyProtection="1">
      <alignment horizontal="left" vertical="center" wrapText="1"/>
      <protection locked="0"/>
    </xf>
    <xf numFmtId="0" fontId="77" fillId="0" borderId="46" xfId="7" applyFont="1" applyBorder="1" applyAlignment="1" applyProtection="1">
      <alignment horizontal="left" vertical="center" wrapText="1"/>
      <protection locked="0"/>
    </xf>
    <xf numFmtId="0" fontId="77" fillId="0" borderId="38" xfId="7" applyFont="1" applyBorder="1" applyAlignment="1" applyProtection="1">
      <alignment horizontal="left" vertical="center" wrapText="1"/>
      <protection locked="0"/>
    </xf>
    <xf numFmtId="0" fontId="77" fillId="0" borderId="39" xfId="7" applyFont="1" applyBorder="1" applyAlignment="1" applyProtection="1">
      <alignment horizontal="left" vertical="center" wrapText="1"/>
      <protection locked="0"/>
    </xf>
    <xf numFmtId="0" fontId="77" fillId="0" borderId="42" xfId="7" applyFont="1" applyBorder="1" applyAlignment="1" applyProtection="1">
      <alignment horizontal="left" vertical="center" wrapText="1"/>
      <protection locked="0"/>
    </xf>
    <xf numFmtId="0" fontId="77" fillId="0" borderId="56" xfId="7" applyFont="1" applyBorder="1" applyAlignment="1" applyProtection="1">
      <alignment horizontal="left" vertical="center" wrapText="1"/>
      <protection locked="0"/>
    </xf>
    <xf numFmtId="0" fontId="77" fillId="0" borderId="40" xfId="7" applyFont="1" applyBorder="1" applyAlignment="1" applyProtection="1">
      <alignment horizontal="left" vertical="center" wrapText="1"/>
      <protection locked="0"/>
    </xf>
    <xf numFmtId="0" fontId="77" fillId="0" borderId="26" xfId="7" applyFont="1" applyBorder="1" applyAlignment="1" applyProtection="1">
      <alignment horizontal="left" vertical="center" wrapText="1"/>
      <protection locked="0"/>
    </xf>
    <xf numFmtId="0" fontId="77" fillId="0" borderId="4" xfId="7" applyFont="1" applyBorder="1" applyAlignment="1" applyProtection="1">
      <alignment horizontal="left" vertical="center" wrapText="1"/>
      <protection locked="0"/>
    </xf>
    <xf numFmtId="0" fontId="77" fillId="0" borderId="4" xfId="7" applyFont="1" applyBorder="1" applyAlignment="1" applyProtection="1">
      <alignment horizontal="center" vertical="center" wrapText="1"/>
      <protection locked="0"/>
    </xf>
    <xf numFmtId="0" fontId="77" fillId="0" borderId="28" xfId="7" applyFont="1" applyBorder="1" applyAlignment="1" applyProtection="1">
      <alignment horizontal="center" vertical="center" wrapText="1"/>
      <protection locked="0"/>
    </xf>
    <xf numFmtId="0" fontId="79" fillId="4" borderId="52" xfId="7" applyFont="1" applyFill="1" applyBorder="1" applyAlignment="1">
      <alignment horizontal="center" vertical="center" wrapText="1"/>
    </xf>
    <xf numFmtId="0" fontId="79" fillId="4" borderId="36" xfId="7" applyFont="1" applyFill="1" applyBorder="1" applyAlignment="1">
      <alignment horizontal="center" vertical="center" wrapText="1"/>
    </xf>
    <xf numFmtId="0" fontId="79" fillId="4" borderId="37" xfId="7" applyFont="1" applyFill="1" applyBorder="1" applyAlignment="1">
      <alignment horizontal="center" vertical="center" wrapText="1"/>
    </xf>
    <xf numFmtId="0" fontId="77" fillId="0" borderId="10" xfId="7" applyFont="1" applyBorder="1" applyAlignment="1" applyProtection="1">
      <alignment vertical="center" wrapText="1"/>
      <protection locked="0"/>
    </xf>
    <xf numFmtId="0" fontId="77" fillId="0" borderId="3" xfId="7" applyFont="1" applyBorder="1" applyAlignment="1" applyProtection="1">
      <alignment vertical="center" wrapText="1"/>
      <protection locked="0"/>
    </xf>
    <xf numFmtId="0" fontId="77" fillId="0" borderId="3" xfId="7" applyFont="1" applyBorder="1" applyAlignment="1" applyProtection="1">
      <alignment horizontal="center" vertical="center" wrapText="1"/>
      <protection locked="0"/>
    </xf>
    <xf numFmtId="0" fontId="77" fillId="0" borderId="11" xfId="7" applyFont="1" applyBorder="1" applyAlignment="1" applyProtection="1">
      <alignment horizontal="center" vertical="center" wrapText="1"/>
      <protection locked="0"/>
    </xf>
    <xf numFmtId="0" fontId="77" fillId="0" borderId="23" xfId="7" applyFont="1" applyBorder="1" applyAlignment="1" applyProtection="1">
      <alignment vertical="center" wrapText="1"/>
      <protection locked="0"/>
    </xf>
    <xf numFmtId="0" fontId="77" fillId="0" borderId="2" xfId="7" applyFont="1" applyBorder="1" applyAlignment="1" applyProtection="1">
      <alignment vertical="center" wrapText="1"/>
      <protection locked="0"/>
    </xf>
    <xf numFmtId="0" fontId="77" fillId="0" borderId="16" xfId="7" applyFont="1" applyBorder="1" applyAlignment="1" applyProtection="1">
      <alignment vertical="center" wrapText="1"/>
      <protection locked="0"/>
    </xf>
    <xf numFmtId="0" fontId="77" fillId="0" borderId="15" xfId="7" applyFont="1" applyBorder="1" applyAlignment="1" applyProtection="1">
      <alignment vertical="center" wrapText="1"/>
      <protection locked="0"/>
    </xf>
    <xf numFmtId="0" fontId="77" fillId="0" borderId="53" xfId="7" applyFont="1" applyBorder="1" applyAlignment="1" applyProtection="1">
      <alignment vertical="center" wrapText="1"/>
      <protection locked="0"/>
    </xf>
    <xf numFmtId="0" fontId="77" fillId="0" borderId="10" xfId="7" applyFont="1" applyBorder="1" applyAlignment="1" applyProtection="1">
      <alignment horizontal="left" vertical="center" wrapText="1"/>
      <protection locked="0"/>
    </xf>
    <xf numFmtId="0" fontId="77" fillId="0" borderId="3" xfId="7" applyFont="1" applyBorder="1" applyAlignment="1" applyProtection="1">
      <alignment horizontal="left" vertical="center" wrapText="1"/>
      <protection locked="0"/>
    </xf>
    <xf numFmtId="0" fontId="77" fillId="0" borderId="5" xfId="7" applyFont="1" applyBorder="1" applyAlignment="1" applyProtection="1">
      <alignment horizontal="left" vertical="center" wrapText="1"/>
      <protection locked="0"/>
    </xf>
    <xf numFmtId="0" fontId="77" fillId="0" borderId="1" xfId="7" applyFont="1" applyBorder="1" applyAlignment="1" applyProtection="1">
      <alignment horizontal="left" vertical="center" wrapText="1"/>
      <protection locked="0"/>
    </xf>
    <xf numFmtId="0" fontId="77" fillId="0" borderId="1" xfId="7" applyFont="1" applyBorder="1" applyAlignment="1" applyProtection="1">
      <alignment horizontal="center" vertical="center" wrapText="1"/>
      <protection locked="0"/>
    </xf>
    <xf numFmtId="0" fontId="77" fillId="0" borderId="6" xfId="7" applyFont="1" applyBorder="1" applyAlignment="1" applyProtection="1">
      <alignment horizontal="center" vertical="center" wrapText="1"/>
      <protection locked="0"/>
    </xf>
    <xf numFmtId="0" fontId="77" fillId="0" borderId="1" xfId="7" applyFont="1" applyFill="1" applyBorder="1" applyAlignment="1" applyProtection="1">
      <alignment horizontal="left" vertical="center" wrapText="1"/>
      <protection locked="0"/>
    </xf>
    <xf numFmtId="0" fontId="77" fillId="0" borderId="6" xfId="7" applyFont="1" applyFill="1" applyBorder="1" applyAlignment="1" applyProtection="1">
      <alignment horizontal="left" vertical="center" wrapText="1"/>
      <protection locked="0"/>
    </xf>
    <xf numFmtId="0" fontId="77" fillId="0" borderId="1" xfId="7" applyFont="1" applyFill="1" applyBorder="1" applyAlignment="1" applyProtection="1">
      <alignment horizontal="center" vertical="center" wrapText="1"/>
      <protection locked="0"/>
    </xf>
    <xf numFmtId="0" fontId="77" fillId="11" borderId="2" xfId="7" applyFont="1" applyFill="1" applyBorder="1" applyAlignment="1" applyProtection="1">
      <alignment horizontal="center" vertical="center" wrapText="1"/>
      <protection locked="0"/>
    </xf>
    <xf numFmtId="0" fontId="77" fillId="11" borderId="16" xfId="7" applyFont="1" applyFill="1" applyBorder="1" applyAlignment="1" applyProtection="1">
      <alignment horizontal="center" vertical="center" wrapText="1"/>
      <protection locked="0"/>
    </xf>
    <xf numFmtId="0" fontId="77" fillId="0" borderId="15" xfId="7" applyFont="1" applyFill="1" applyBorder="1" applyAlignment="1" applyProtection="1">
      <alignment horizontal="center" vertical="center" wrapText="1"/>
      <protection locked="0"/>
    </xf>
    <xf numFmtId="0" fontId="77" fillId="0" borderId="53" xfId="7" applyFont="1" applyFill="1" applyBorder="1" applyAlignment="1" applyProtection="1">
      <alignment horizontal="center" vertical="center" wrapText="1"/>
      <protection locked="0"/>
    </xf>
    <xf numFmtId="0" fontId="79" fillId="4" borderId="29" xfId="7" applyFont="1" applyFill="1" applyBorder="1" applyAlignment="1">
      <alignment horizontal="center" vertical="center" wrapText="1"/>
    </xf>
    <xf numFmtId="0" fontId="79" fillId="4" borderId="30" xfId="7" applyFont="1" applyFill="1" applyBorder="1" applyAlignment="1">
      <alignment horizontal="center" vertical="center" wrapText="1"/>
    </xf>
    <xf numFmtId="0" fontId="79" fillId="4" borderId="31" xfId="7" applyFont="1" applyFill="1" applyBorder="1" applyAlignment="1">
      <alignment horizontal="center" vertical="center" wrapText="1"/>
    </xf>
    <xf numFmtId="0" fontId="77" fillId="0" borderId="56" xfId="7" applyFont="1" applyBorder="1" applyAlignment="1" applyProtection="1">
      <alignment horizontal="left" vertical="center"/>
      <protection locked="0"/>
    </xf>
    <xf numFmtId="0" fontId="77" fillId="0" borderId="39" xfId="7" applyFont="1" applyBorder="1" applyAlignment="1" applyProtection="1">
      <alignment horizontal="left" vertical="center"/>
      <protection locked="0"/>
    </xf>
    <xf numFmtId="0" fontId="77" fillId="0" borderId="40" xfId="7" applyFont="1" applyBorder="1" applyAlignment="1" applyProtection="1">
      <alignment horizontal="left" vertical="center"/>
      <protection locked="0"/>
    </xf>
    <xf numFmtId="0" fontId="77" fillId="0" borderId="3" xfId="7" applyFont="1" applyFill="1" applyBorder="1" applyAlignment="1" applyProtection="1">
      <alignment horizontal="left" vertical="center" wrapText="1"/>
      <protection locked="0"/>
    </xf>
    <xf numFmtId="0" fontId="77" fillId="0" borderId="11" xfId="7" applyFont="1" applyFill="1" applyBorder="1" applyAlignment="1" applyProtection="1">
      <alignment horizontal="left" vertical="center" wrapText="1"/>
      <protection locked="0"/>
    </xf>
    <xf numFmtId="0" fontId="77" fillId="0" borderId="16" xfId="7" applyFont="1" applyFill="1" applyBorder="1" applyAlignment="1" applyProtection="1">
      <alignment horizontal="center" vertical="center" wrapText="1"/>
      <protection locked="0"/>
    </xf>
    <xf numFmtId="0" fontId="77" fillId="11" borderId="1" xfId="7" applyFont="1" applyFill="1" applyBorder="1" applyAlignment="1" applyProtection="1">
      <alignment horizontal="center" vertical="center" wrapText="1"/>
      <protection locked="0"/>
    </xf>
    <xf numFmtId="9" fontId="77" fillId="0" borderId="15" xfId="4" applyFont="1" applyBorder="1" applyAlignment="1" applyProtection="1">
      <alignment horizontal="center" vertical="center"/>
      <protection locked="0"/>
    </xf>
    <xf numFmtId="9" fontId="77" fillId="0" borderId="2" xfId="4" applyFont="1" applyBorder="1" applyAlignment="1" applyProtection="1">
      <alignment horizontal="center" vertical="center"/>
      <protection locked="0"/>
    </xf>
    <xf numFmtId="9" fontId="77" fillId="0" borderId="16" xfId="4" applyFont="1" applyBorder="1" applyAlignment="1" applyProtection="1">
      <alignment horizontal="center" vertical="center"/>
      <protection locked="0"/>
    </xf>
    <xf numFmtId="0" fontId="77" fillId="0" borderId="1" xfId="7" applyFont="1" applyBorder="1" applyAlignment="1" applyProtection="1">
      <alignment horizontal="center" vertical="center"/>
      <protection locked="0"/>
    </xf>
    <xf numFmtId="0" fontId="77" fillId="0" borderId="6" xfId="7" applyFont="1" applyBorder="1" applyAlignment="1" applyProtection="1">
      <alignment horizontal="center" vertical="center"/>
      <protection locked="0"/>
    </xf>
    <xf numFmtId="9" fontId="77" fillId="0" borderId="1" xfId="4" applyFont="1" applyBorder="1" applyAlignment="1" applyProtection="1">
      <alignment horizontal="center" vertical="center"/>
      <protection locked="0"/>
    </xf>
    <xf numFmtId="0" fontId="76" fillId="20" borderId="58" xfId="7" applyFont="1" applyFill="1" applyBorder="1" applyAlignment="1">
      <alignment horizontal="center" vertical="center" wrapText="1"/>
    </xf>
    <xf numFmtId="0" fontId="76" fillId="20" borderId="54" xfId="7" applyFont="1" applyFill="1" applyBorder="1" applyAlignment="1">
      <alignment horizontal="center" vertical="center" wrapText="1"/>
    </xf>
    <xf numFmtId="0" fontId="76" fillId="20" borderId="55" xfId="7" applyFont="1" applyFill="1" applyBorder="1" applyAlignment="1">
      <alignment horizontal="center" vertical="center" wrapText="1"/>
    </xf>
    <xf numFmtId="0" fontId="79" fillId="11" borderId="21" xfId="7" applyFont="1" applyFill="1" applyBorder="1" applyAlignment="1" applyProtection="1">
      <alignment horizontal="center" vertical="center"/>
      <protection locked="0"/>
    </xf>
    <xf numFmtId="0" fontId="79" fillId="11" borderId="32" xfId="7" applyFont="1" applyFill="1" applyBorder="1" applyAlignment="1" applyProtection="1">
      <alignment horizontal="center" vertical="center"/>
      <protection locked="0"/>
    </xf>
    <xf numFmtId="0" fontId="79" fillId="11" borderId="49" xfId="7" applyFont="1" applyFill="1" applyBorder="1" applyAlignment="1" applyProtection="1">
      <alignment horizontal="center" vertical="center"/>
      <protection locked="0"/>
    </xf>
    <xf numFmtId="0" fontId="79" fillId="11" borderId="75" xfId="7" applyFont="1" applyFill="1" applyBorder="1" applyAlignment="1" applyProtection="1">
      <alignment horizontal="center" vertical="center"/>
      <protection locked="0"/>
    </xf>
    <xf numFmtId="0" fontId="79" fillId="11" borderId="54" xfId="7" applyFont="1" applyFill="1" applyBorder="1" applyAlignment="1" applyProtection="1">
      <alignment horizontal="center" vertical="center"/>
      <protection locked="0"/>
    </xf>
    <xf numFmtId="0" fontId="79" fillId="11" borderId="27" xfId="7" applyFont="1" applyFill="1" applyBorder="1" applyAlignment="1" applyProtection="1">
      <alignment horizontal="center" vertical="center"/>
      <protection locked="0"/>
    </xf>
    <xf numFmtId="0" fontId="79" fillId="11" borderId="22" xfId="7" applyFont="1" applyFill="1" applyBorder="1" applyAlignment="1" applyProtection="1">
      <alignment horizontal="center" vertical="center"/>
      <protection locked="0"/>
    </xf>
    <xf numFmtId="9" fontId="77" fillId="0" borderId="8" xfId="4" applyFont="1" applyBorder="1" applyAlignment="1" applyProtection="1">
      <alignment horizontal="center" vertical="center"/>
      <protection locked="0"/>
    </xf>
    <xf numFmtId="0" fontId="77" fillId="0" borderId="8" xfId="7" applyFont="1" applyBorder="1" applyAlignment="1" applyProtection="1">
      <alignment horizontal="center" vertical="center"/>
      <protection locked="0"/>
    </xf>
    <xf numFmtId="0" fontId="77" fillId="0" borderId="9" xfId="7" applyFont="1" applyBorder="1" applyAlignment="1" applyProtection="1">
      <alignment horizontal="center" vertical="center"/>
      <protection locked="0"/>
    </xf>
    <xf numFmtId="0" fontId="77" fillId="0" borderId="8" xfId="7" applyFont="1" applyBorder="1" applyAlignment="1" applyProtection="1">
      <alignment horizontal="left" vertical="center"/>
      <protection locked="0"/>
    </xf>
    <xf numFmtId="0" fontId="77" fillId="0" borderId="9" xfId="7" applyFont="1" applyBorder="1" applyAlignment="1" applyProtection="1">
      <alignment horizontal="left" vertical="center"/>
      <protection locked="0"/>
    </xf>
    <xf numFmtId="0" fontId="76" fillId="20" borderId="29" xfId="7" applyFont="1" applyFill="1" applyBorder="1" applyAlignment="1">
      <alignment horizontal="center" vertical="center" wrapText="1"/>
    </xf>
    <xf numFmtId="0" fontId="76" fillId="20" borderId="30" xfId="7" applyFont="1" applyFill="1" applyBorder="1" applyAlignment="1">
      <alignment horizontal="center" vertical="center" wrapText="1"/>
    </xf>
    <xf numFmtId="0" fontId="76" fillId="20" borderId="0" xfId="7" applyFont="1" applyFill="1" applyBorder="1" applyAlignment="1">
      <alignment horizontal="center" vertical="center" wrapText="1"/>
    </xf>
    <xf numFmtId="0" fontId="76" fillId="20" borderId="45" xfId="7" applyFont="1" applyFill="1" applyBorder="1" applyAlignment="1">
      <alignment horizontal="center" vertical="center" wrapText="1"/>
    </xf>
    <xf numFmtId="0" fontId="79" fillId="11" borderId="1" xfId="7" applyFont="1" applyFill="1" applyBorder="1" applyAlignment="1" applyProtection="1">
      <alignment horizontal="center" vertical="center"/>
      <protection locked="0"/>
    </xf>
    <xf numFmtId="0" fontId="79" fillId="11" borderId="6" xfId="7" applyFont="1" applyFill="1" applyBorder="1" applyAlignment="1" applyProtection="1">
      <alignment horizontal="center" vertical="center"/>
      <protection locked="0"/>
    </xf>
    <xf numFmtId="0" fontId="77" fillId="0" borderId="4" xfId="7" applyFont="1" applyBorder="1" applyAlignment="1" applyProtection="1">
      <alignment horizontal="center" vertical="center"/>
      <protection locked="0"/>
    </xf>
    <xf numFmtId="0" fontId="77" fillId="0" borderId="28" xfId="7" applyFont="1" applyBorder="1" applyAlignment="1" applyProtection="1">
      <alignment horizontal="center" vertical="center"/>
      <protection locked="0"/>
    </xf>
    <xf numFmtId="0" fontId="79" fillId="11" borderId="70" xfId="7" applyFont="1" applyFill="1" applyBorder="1" applyAlignment="1">
      <alignment horizontal="center" vertical="center" wrapText="1"/>
    </xf>
    <xf numFmtId="0" fontId="79" fillId="11" borderId="71" xfId="7" applyFont="1" applyFill="1" applyBorder="1" applyAlignment="1">
      <alignment horizontal="center" vertical="center" wrapText="1"/>
    </xf>
    <xf numFmtId="0" fontId="17" fillId="11" borderId="72" xfId="6" applyFont="1" applyFill="1" applyBorder="1"/>
    <xf numFmtId="0" fontId="17" fillId="11" borderId="73" xfId="6" applyFont="1" applyFill="1" applyBorder="1"/>
    <xf numFmtId="0" fontId="17" fillId="11" borderId="74" xfId="6" applyFont="1" applyFill="1" applyBorder="1"/>
    <xf numFmtId="0" fontId="77" fillId="0" borderId="3" xfId="7" applyFont="1" applyFill="1" applyBorder="1" applyAlignment="1" applyProtection="1">
      <alignment horizontal="center" vertical="center" wrapText="1"/>
      <protection locked="0"/>
    </xf>
    <xf numFmtId="0" fontId="77" fillId="0" borderId="3" xfId="7" applyFont="1" applyBorder="1" applyAlignment="1" applyProtection="1">
      <alignment horizontal="center" vertical="center"/>
      <protection locked="0"/>
    </xf>
    <xf numFmtId="0" fontId="77" fillId="0" borderId="11" xfId="7" applyFont="1" applyBorder="1" applyAlignment="1" applyProtection="1">
      <alignment horizontal="center" vertical="center"/>
      <protection locked="0"/>
    </xf>
    <xf numFmtId="0" fontId="77" fillId="0" borderId="1" xfId="7" applyFont="1" applyBorder="1" applyAlignment="1" applyProtection="1">
      <alignment horizontal="left" vertical="center"/>
      <protection locked="0"/>
    </xf>
    <xf numFmtId="0" fontId="77" fillId="0" borderId="6" xfId="7" applyFont="1" applyBorder="1" applyAlignment="1" applyProtection="1">
      <alignment horizontal="left" vertical="center"/>
      <protection locked="0"/>
    </xf>
    <xf numFmtId="0" fontId="77" fillId="0" borderId="15" xfId="7" applyFont="1" applyBorder="1" applyAlignment="1" applyProtection="1">
      <alignment horizontal="left" vertical="center"/>
      <protection locked="0"/>
    </xf>
    <xf numFmtId="0" fontId="77" fillId="0" borderId="2" xfId="7" applyFont="1" applyBorder="1" applyAlignment="1" applyProtection="1">
      <alignment horizontal="left" vertical="center"/>
      <protection locked="0"/>
    </xf>
    <xf numFmtId="0" fontId="77" fillId="0" borderId="53" xfId="7" applyFont="1" applyBorder="1" applyAlignment="1" applyProtection="1">
      <alignment horizontal="left" vertical="center"/>
      <protection locked="0"/>
    </xf>
    <xf numFmtId="0" fontId="77" fillId="0" borderId="4" xfId="7" applyFont="1" applyBorder="1" applyAlignment="1" applyProtection="1">
      <alignment horizontal="left" vertical="center"/>
      <protection locked="0"/>
    </xf>
    <xf numFmtId="0" fontId="77" fillId="0" borderId="28" xfId="7" applyFont="1" applyBorder="1" applyAlignment="1" applyProtection="1">
      <alignment horizontal="left" vertical="center"/>
      <protection locked="0"/>
    </xf>
    <xf numFmtId="37" fontId="77" fillId="0" borderId="21" xfId="7" applyNumberFormat="1" applyFont="1" applyBorder="1" applyAlignment="1" applyProtection="1">
      <alignment horizontal="center" vertical="center" wrapText="1"/>
      <protection locked="0"/>
    </xf>
    <xf numFmtId="0" fontId="77" fillId="0" borderId="32" xfId="7" applyFont="1" applyBorder="1" applyAlignment="1" applyProtection="1">
      <alignment horizontal="center" vertical="center" wrapText="1"/>
      <protection locked="0"/>
    </xf>
    <xf numFmtId="0" fontId="77" fillId="0" borderId="48" xfId="7" applyFont="1" applyBorder="1" applyAlignment="1" applyProtection="1">
      <alignment horizontal="center" vertical="center" wrapText="1"/>
      <protection locked="0"/>
    </xf>
    <xf numFmtId="0" fontId="77" fillId="0" borderId="15" xfId="7" applyFont="1" applyBorder="1" applyAlignment="1" applyProtection="1">
      <alignment horizontal="center" vertical="center"/>
      <protection locked="0"/>
    </xf>
    <xf numFmtId="0" fontId="77" fillId="0" borderId="2" xfId="7" applyFont="1" applyBorder="1" applyAlignment="1" applyProtection="1">
      <alignment horizontal="center" vertical="center"/>
      <protection locked="0"/>
    </xf>
    <xf numFmtId="0" fontId="77" fillId="0" borderId="53" xfId="7" applyFont="1" applyBorder="1" applyAlignment="1" applyProtection="1">
      <alignment horizontal="center" vertical="center"/>
      <protection locked="0"/>
    </xf>
    <xf numFmtId="0" fontId="77" fillId="0" borderId="15" xfId="7" applyFont="1" applyBorder="1" applyAlignment="1" applyProtection="1">
      <alignment horizontal="center" vertical="center" wrapText="1"/>
      <protection locked="0"/>
    </xf>
    <xf numFmtId="0" fontId="77" fillId="0" borderId="2" xfId="7" applyFont="1" applyBorder="1" applyAlignment="1" applyProtection="1">
      <alignment horizontal="center" vertical="center" wrapText="1"/>
      <protection locked="0"/>
    </xf>
    <xf numFmtId="0" fontId="77" fillId="0" borderId="53" xfId="7" applyFont="1" applyBorder="1" applyAlignment="1" applyProtection="1">
      <alignment horizontal="center" vertical="center" wrapText="1"/>
      <protection locked="0"/>
    </xf>
    <xf numFmtId="169" fontId="77" fillId="0" borderId="20" xfId="7" applyNumberFormat="1" applyFont="1" applyBorder="1" applyAlignment="1" applyProtection="1">
      <alignment horizontal="center" vertical="center"/>
      <protection locked="0"/>
    </xf>
    <xf numFmtId="169" fontId="77" fillId="0" borderId="33" xfId="7" applyNumberFormat="1" applyFont="1" applyBorder="1" applyAlignment="1" applyProtection="1">
      <alignment horizontal="center" vertical="center"/>
      <protection locked="0"/>
    </xf>
    <xf numFmtId="169" fontId="77" fillId="0" borderId="44" xfId="7" applyNumberFormat="1" applyFont="1" applyBorder="1" applyAlignment="1" applyProtection="1">
      <alignment horizontal="center" vertical="center"/>
      <protection locked="0"/>
    </xf>
    <xf numFmtId="0" fontId="77" fillId="0" borderId="51" xfId="7" applyFont="1" applyBorder="1" applyAlignment="1">
      <alignment horizontal="center"/>
    </xf>
    <xf numFmtId="0" fontId="77" fillId="0" borderId="0" xfId="7" applyFont="1" applyBorder="1" applyAlignment="1">
      <alignment horizontal="center"/>
    </xf>
    <xf numFmtId="0" fontId="77" fillId="0" borderId="45" xfId="7" applyFont="1" applyBorder="1" applyAlignment="1">
      <alignment horizontal="center"/>
    </xf>
    <xf numFmtId="0" fontId="77" fillId="0" borderId="21" xfId="7" applyFont="1" applyBorder="1" applyAlignment="1" applyProtection="1">
      <alignment horizontal="center" vertical="center" wrapText="1"/>
      <protection locked="0"/>
    </xf>
    <xf numFmtId="0" fontId="77" fillId="0" borderId="32" xfId="7" applyFont="1" applyBorder="1" applyAlignment="1" applyProtection="1">
      <alignment horizontal="center" vertical="center"/>
      <protection locked="0"/>
    </xf>
    <xf numFmtId="0" fontId="77" fillId="0" borderId="48" xfId="7" applyFont="1" applyBorder="1" applyAlignment="1" applyProtection="1">
      <alignment horizontal="center" vertical="center"/>
      <protection locked="0"/>
    </xf>
    <xf numFmtId="0" fontId="76" fillId="20" borderId="1" xfId="7" applyFont="1" applyFill="1" applyBorder="1" applyAlignment="1">
      <alignment horizontal="center" vertical="center"/>
    </xf>
    <xf numFmtId="0" fontId="77" fillId="0" borderId="10" xfId="7" applyFont="1" applyBorder="1" applyAlignment="1">
      <alignment horizontal="center"/>
    </xf>
    <xf numFmtId="0" fontId="77" fillId="0" borderId="3" xfId="7" applyFont="1" applyBorder="1" applyAlignment="1">
      <alignment horizontal="center"/>
    </xf>
    <xf numFmtId="0" fontId="77" fillId="0" borderId="11" xfId="7" applyFont="1" applyBorder="1" applyAlignment="1">
      <alignment horizontal="center"/>
    </xf>
    <xf numFmtId="0" fontId="77" fillId="0" borderId="20" xfId="7" applyFont="1" applyBorder="1" applyAlignment="1" applyProtection="1">
      <alignment horizontal="center" vertical="center"/>
      <protection locked="0"/>
    </xf>
    <xf numFmtId="0" fontId="77" fillId="0" borderId="33" xfId="7" applyFont="1" applyBorder="1" applyAlignment="1" applyProtection="1">
      <alignment horizontal="center" vertical="center"/>
      <protection locked="0"/>
    </xf>
    <xf numFmtId="0" fontId="77" fillId="0" borderId="44" xfId="7" applyFont="1" applyBorder="1" applyAlignment="1" applyProtection="1">
      <alignment horizontal="center" vertical="center"/>
      <protection locked="0"/>
    </xf>
    <xf numFmtId="0" fontId="77" fillId="0" borderId="26" xfId="7" applyFont="1" applyBorder="1" applyAlignment="1" applyProtection="1">
      <alignment horizontal="left" vertical="center"/>
      <protection locked="0"/>
    </xf>
    <xf numFmtId="0" fontId="77" fillId="0" borderId="10" xfId="7" applyFont="1" applyBorder="1" applyAlignment="1" applyProtection="1">
      <alignment horizontal="left" vertical="center"/>
      <protection locked="0"/>
    </xf>
    <xf numFmtId="0" fontId="77" fillId="0" borderId="20" xfId="7" applyFont="1" applyBorder="1" applyAlignment="1" applyProtection="1">
      <alignment horizontal="center" vertical="center" wrapText="1"/>
      <protection locked="0"/>
    </xf>
    <xf numFmtId="0" fontId="77" fillId="0" borderId="33" xfId="7" applyFont="1" applyBorder="1" applyAlignment="1" applyProtection="1">
      <alignment horizontal="center" vertical="center" wrapText="1"/>
      <protection locked="0"/>
    </xf>
    <xf numFmtId="0" fontId="77" fillId="0" borderId="44" xfId="7" applyFont="1" applyBorder="1" applyAlignment="1" applyProtection="1">
      <alignment horizontal="center" vertical="center" wrapText="1"/>
      <protection locked="0"/>
    </xf>
    <xf numFmtId="0" fontId="77" fillId="0" borderId="17" xfId="7" applyFont="1" applyBorder="1" applyAlignment="1" applyProtection="1">
      <alignment horizontal="center" vertical="center" wrapText="1"/>
      <protection locked="0"/>
    </xf>
    <xf numFmtId="0" fontId="77" fillId="0" borderId="18" xfId="7" applyFont="1" applyBorder="1" applyAlignment="1" applyProtection="1">
      <alignment horizontal="center" vertical="center" wrapText="1"/>
      <protection locked="0"/>
    </xf>
    <xf numFmtId="0" fontId="77" fillId="0" borderId="46" xfId="7" applyFont="1" applyBorder="1" applyAlignment="1" applyProtection="1">
      <alignment horizontal="center" vertical="center" wrapText="1"/>
      <protection locked="0"/>
    </xf>
    <xf numFmtId="0" fontId="70" fillId="2" borderId="23" xfId="8" applyFont="1" applyFill="1" applyBorder="1" applyAlignment="1">
      <alignment horizontal="center" wrapText="1"/>
    </xf>
    <xf numFmtId="0" fontId="70" fillId="2" borderId="2" xfId="8" applyFont="1" applyFill="1" applyBorder="1" applyAlignment="1">
      <alignment horizontal="center" wrapText="1"/>
    </xf>
    <xf numFmtId="0" fontId="70" fillId="2" borderId="53" xfId="8" applyFont="1" applyFill="1" applyBorder="1" applyAlignment="1">
      <alignment horizontal="center" wrapText="1"/>
    </xf>
    <xf numFmtId="0" fontId="17" fillId="22" borderId="52" xfId="8" applyFont="1" applyFill="1" applyBorder="1" applyAlignment="1">
      <alignment horizontal="left" wrapText="1"/>
    </xf>
    <xf numFmtId="0" fontId="17" fillId="22" borderId="36" xfId="8" applyFont="1" applyFill="1" applyBorder="1" applyAlignment="1">
      <alignment horizontal="left" wrapText="1"/>
    </xf>
    <xf numFmtId="0" fontId="17" fillId="22" borderId="37" xfId="8" applyFont="1" applyFill="1" applyBorder="1" applyAlignment="1">
      <alignment horizontal="left" wrapText="1"/>
    </xf>
    <xf numFmtId="0" fontId="16" fillId="2" borderId="23" xfId="8" applyFont="1" applyFill="1" applyBorder="1" applyAlignment="1">
      <alignment horizontal="left" wrapText="1"/>
    </xf>
    <xf numFmtId="0" fontId="16" fillId="2" borderId="2" xfId="8" applyFont="1" applyFill="1" applyBorder="1" applyAlignment="1">
      <alignment horizontal="left" wrapText="1"/>
    </xf>
    <xf numFmtId="0" fontId="16" fillId="2" borderId="53" xfId="8" applyFont="1" applyFill="1" applyBorder="1" applyAlignment="1">
      <alignment horizontal="left" wrapText="1"/>
    </xf>
    <xf numFmtId="0" fontId="16" fillId="2" borderId="7" xfId="8" applyFont="1" applyFill="1" applyBorder="1" applyAlignment="1">
      <alignment horizontal="left" wrapText="1"/>
    </xf>
    <xf numFmtId="0" fontId="16" fillId="2" borderId="8" xfId="8" applyFont="1" applyFill="1" applyBorder="1" applyAlignment="1">
      <alignment horizontal="left" wrapText="1"/>
    </xf>
    <xf numFmtId="0" fontId="16" fillId="2" borderId="9" xfId="8" applyFont="1" applyFill="1" applyBorder="1" applyAlignment="1">
      <alignment horizontal="left" wrapText="1"/>
    </xf>
    <xf numFmtId="0" fontId="70" fillId="2" borderId="7" xfId="8" applyFont="1" applyFill="1" applyBorder="1" applyAlignment="1">
      <alignment horizontal="center" wrapText="1"/>
    </xf>
    <xf numFmtId="0" fontId="70" fillId="2" borderId="8" xfId="8" applyFont="1" applyFill="1" applyBorder="1" applyAlignment="1">
      <alignment horizontal="center" wrapText="1"/>
    </xf>
    <xf numFmtId="0" fontId="70" fillId="2" borderId="9" xfId="8" applyFont="1" applyFill="1" applyBorder="1" applyAlignment="1">
      <alignment horizontal="center" wrapText="1"/>
    </xf>
    <xf numFmtId="0" fontId="16" fillId="2" borderId="25" xfId="8" applyFont="1" applyFill="1" applyBorder="1" applyAlignment="1">
      <alignment horizontal="left" wrapText="1"/>
    </xf>
    <xf numFmtId="0" fontId="16" fillId="2" borderId="27" xfId="8" applyFont="1" applyFill="1" applyBorder="1" applyAlignment="1">
      <alignment horizontal="left" wrapText="1"/>
    </xf>
    <xf numFmtId="0" fontId="16" fillId="2" borderId="22" xfId="8" applyFont="1" applyFill="1" applyBorder="1" applyAlignment="1">
      <alignment horizontal="left" wrapText="1"/>
    </xf>
    <xf numFmtId="0" fontId="70" fillId="2" borderId="25" xfId="8" applyFont="1" applyFill="1" applyBorder="1" applyAlignment="1">
      <alignment horizontal="center" wrapText="1"/>
    </xf>
    <xf numFmtId="0" fontId="70" fillId="2" borderId="27" xfId="8" applyFont="1" applyFill="1" applyBorder="1" applyAlignment="1">
      <alignment horizontal="center" wrapText="1"/>
    </xf>
    <xf numFmtId="0" fontId="70" fillId="2" borderId="22" xfId="8" applyFont="1" applyFill="1" applyBorder="1" applyAlignment="1">
      <alignment horizontal="center" wrapText="1"/>
    </xf>
    <xf numFmtId="0" fontId="16" fillId="2" borderId="5" xfId="8" applyFont="1" applyFill="1" applyBorder="1" applyAlignment="1">
      <alignment horizontal="left" wrapText="1"/>
    </xf>
    <xf numFmtId="0" fontId="16" fillId="2" borderId="1" xfId="8" applyFont="1" applyFill="1" applyBorder="1" applyAlignment="1">
      <alignment horizontal="left" wrapText="1"/>
    </xf>
    <xf numFmtId="0" fontId="16" fillId="2" borderId="6" xfId="8" applyFont="1" applyFill="1" applyBorder="1" applyAlignment="1">
      <alignment horizontal="left" wrapText="1"/>
    </xf>
    <xf numFmtId="0" fontId="70" fillId="2" borderId="5" xfId="8" applyFont="1" applyFill="1" applyBorder="1" applyAlignment="1">
      <alignment horizontal="center" wrapText="1"/>
    </xf>
    <xf numFmtId="0" fontId="70" fillId="2" borderId="1" xfId="8" applyFont="1" applyFill="1" applyBorder="1" applyAlignment="1">
      <alignment horizontal="center" wrapText="1"/>
    </xf>
    <xf numFmtId="0" fontId="70" fillId="2" borderId="6" xfId="8" applyFont="1" applyFill="1" applyBorder="1" applyAlignment="1">
      <alignment horizontal="center" wrapText="1"/>
    </xf>
    <xf numFmtId="0" fontId="16" fillId="2" borderId="52" xfId="8" applyFont="1" applyFill="1" applyBorder="1" applyAlignment="1">
      <alignment horizontal="center" wrapText="1"/>
    </xf>
    <xf numFmtId="0" fontId="16" fillId="2" borderId="36" xfId="8" applyFont="1" applyFill="1" applyBorder="1" applyAlignment="1">
      <alignment horizontal="center" wrapText="1"/>
    </xf>
    <xf numFmtId="0" fontId="16" fillId="2" borderId="37" xfId="8" applyFont="1" applyFill="1" applyBorder="1" applyAlignment="1">
      <alignment horizontal="center" wrapText="1"/>
    </xf>
    <xf numFmtId="0" fontId="70" fillId="2" borderId="47" xfId="8" applyFont="1" applyFill="1" applyBorder="1" applyAlignment="1">
      <alignment horizontal="left" wrapText="1"/>
    </xf>
    <xf numFmtId="0" fontId="70" fillId="2" borderId="32" xfId="8" applyFont="1" applyFill="1" applyBorder="1" applyAlignment="1">
      <alignment horizontal="left" wrapText="1"/>
    </xf>
    <xf numFmtId="0" fontId="70" fillId="2" borderId="48" xfId="8" applyFont="1" applyFill="1" applyBorder="1" applyAlignment="1">
      <alignment horizontal="left" wrapText="1"/>
    </xf>
    <xf numFmtId="0" fontId="70" fillId="2" borderId="23" xfId="8" applyFont="1" applyFill="1" applyBorder="1" applyAlignment="1">
      <alignment horizontal="left" wrapText="1"/>
    </xf>
    <xf numFmtId="0" fontId="70" fillId="2" borderId="2" xfId="8" applyFont="1" applyFill="1" applyBorder="1" applyAlignment="1">
      <alignment horizontal="left" wrapText="1"/>
    </xf>
    <xf numFmtId="0" fontId="70" fillId="2" borderId="53" xfId="8" applyFont="1" applyFill="1" applyBorder="1" applyAlignment="1">
      <alignment horizontal="left" wrapText="1"/>
    </xf>
    <xf numFmtId="0" fontId="70" fillId="2" borderId="47" xfId="8" applyFont="1" applyFill="1" applyBorder="1" applyAlignment="1">
      <alignment horizontal="center" wrapText="1"/>
    </xf>
    <xf numFmtId="0" fontId="70" fillId="2" borderId="32" xfId="8" applyFont="1" applyFill="1" applyBorder="1" applyAlignment="1">
      <alignment horizontal="center" wrapText="1"/>
    </xf>
    <xf numFmtId="0" fontId="70" fillId="2" borderId="48" xfId="8" applyFont="1" applyFill="1" applyBorder="1" applyAlignment="1">
      <alignment horizontal="center" wrapText="1"/>
    </xf>
    <xf numFmtId="0" fontId="16" fillId="2" borderId="38" xfId="8" applyFont="1" applyFill="1" applyBorder="1" applyAlignment="1">
      <alignment horizontal="left" wrapText="1"/>
    </xf>
    <xf numFmtId="0" fontId="16" fillId="2" borderId="39" xfId="8" applyFont="1" applyFill="1" applyBorder="1" applyAlignment="1">
      <alignment horizontal="left" wrapText="1"/>
    </xf>
    <xf numFmtId="0" fontId="16" fillId="2" borderId="40" xfId="8" applyFont="1" applyFill="1" applyBorder="1" applyAlignment="1">
      <alignment horizontal="left" wrapText="1"/>
    </xf>
    <xf numFmtId="0" fontId="70" fillId="2" borderId="38" xfId="8" applyFont="1" applyFill="1" applyBorder="1" applyAlignment="1">
      <alignment horizontal="center" wrapText="1"/>
    </xf>
    <xf numFmtId="0" fontId="70" fillId="2" borderId="42" xfId="8" applyFont="1" applyFill="1" applyBorder="1" applyAlignment="1">
      <alignment horizontal="center" wrapText="1"/>
    </xf>
    <xf numFmtId="0" fontId="70" fillId="2" borderId="56" xfId="8" applyFont="1" applyFill="1" applyBorder="1" applyAlignment="1">
      <alignment horizontal="center" wrapText="1"/>
    </xf>
    <xf numFmtId="0" fontId="70" fillId="2" borderId="39" xfId="8" applyFont="1" applyFill="1" applyBorder="1" applyAlignment="1">
      <alignment horizontal="center" wrapText="1"/>
    </xf>
    <xf numFmtId="0" fontId="70" fillId="2" borderId="40" xfId="8" applyFont="1" applyFill="1" applyBorder="1" applyAlignment="1">
      <alignment horizontal="center" wrapText="1"/>
    </xf>
    <xf numFmtId="0" fontId="70" fillId="2" borderId="16" xfId="8" applyFont="1" applyFill="1" applyBorder="1" applyAlignment="1">
      <alignment horizontal="center" wrapText="1"/>
    </xf>
    <xf numFmtId="0" fontId="70" fillId="2" borderId="15" xfId="8" applyFont="1" applyFill="1" applyBorder="1" applyAlignment="1">
      <alignment horizontal="center" wrapText="1"/>
    </xf>
    <xf numFmtId="0" fontId="16" fillId="2" borderId="52" xfId="8" applyFont="1" applyFill="1" applyBorder="1" applyAlignment="1">
      <alignment horizontal="left" wrapText="1"/>
    </xf>
    <xf numFmtId="0" fontId="16" fillId="2" borderId="36" xfId="8" applyFont="1" applyFill="1" applyBorder="1" applyAlignment="1">
      <alignment horizontal="left" wrapText="1"/>
    </xf>
    <xf numFmtId="0" fontId="16" fillId="2" borderId="37" xfId="8" applyFont="1" applyFill="1" applyBorder="1" applyAlignment="1">
      <alignment horizontal="left" wrapText="1"/>
    </xf>
    <xf numFmtId="0" fontId="16" fillId="2" borderId="57" xfId="8" applyFont="1" applyFill="1" applyBorder="1" applyAlignment="1">
      <alignment horizontal="left" wrapText="1"/>
    </xf>
    <xf numFmtId="0" fontId="16" fillId="2" borderId="18" xfId="8" applyFont="1" applyFill="1" applyBorder="1" applyAlignment="1">
      <alignment horizontal="left" wrapText="1"/>
    </xf>
    <xf numFmtId="0" fontId="16" fillId="2" borderId="46" xfId="8" applyFont="1" applyFill="1" applyBorder="1" applyAlignment="1">
      <alignment horizontal="left" wrapText="1"/>
    </xf>
    <xf numFmtId="0" fontId="70" fillId="2" borderId="57" xfId="8" applyFont="1" applyFill="1" applyBorder="1" applyAlignment="1">
      <alignment horizontal="center" wrapText="1"/>
    </xf>
    <xf numFmtId="0" fontId="70" fillId="2" borderId="19" xfId="8" applyFont="1" applyFill="1" applyBorder="1" applyAlignment="1">
      <alignment horizontal="center" wrapText="1"/>
    </xf>
    <xf numFmtId="0" fontId="70" fillId="2" borderId="17" xfId="8" applyFont="1" applyFill="1" applyBorder="1" applyAlignment="1">
      <alignment horizontal="center" wrapText="1"/>
    </xf>
    <xf numFmtId="0" fontId="70" fillId="2" borderId="18" xfId="8" applyFont="1" applyFill="1" applyBorder="1" applyAlignment="1">
      <alignment horizontal="center" wrapText="1"/>
    </xf>
    <xf numFmtId="0" fontId="70" fillId="2" borderId="46" xfId="8" applyFont="1" applyFill="1" applyBorder="1" applyAlignment="1">
      <alignment horizontal="center" wrapText="1"/>
    </xf>
    <xf numFmtId="0" fontId="16" fillId="17" borderId="52" xfId="8" applyFont="1" applyFill="1" applyBorder="1" applyAlignment="1">
      <alignment wrapText="1"/>
    </xf>
    <xf numFmtId="0" fontId="16" fillId="17" borderId="36" xfId="8" applyFont="1" applyFill="1" applyBorder="1" applyAlignment="1">
      <alignment wrapText="1"/>
    </xf>
    <xf numFmtId="0" fontId="16" fillId="17" borderId="67" xfId="8" applyFont="1" applyFill="1" applyBorder="1" applyAlignment="1">
      <alignment wrapText="1"/>
    </xf>
    <xf numFmtId="0" fontId="17" fillId="17" borderId="66" xfId="8" applyFont="1" applyFill="1" applyBorder="1" applyAlignment="1">
      <alignment horizontal="center" wrapText="1"/>
    </xf>
    <xf numFmtId="0" fontId="17" fillId="17" borderId="67" xfId="8" applyFont="1" applyFill="1" applyBorder="1" applyAlignment="1">
      <alignment horizontal="center" wrapText="1"/>
    </xf>
    <xf numFmtId="0" fontId="17" fillId="17" borderId="36" xfId="8" applyFont="1" applyFill="1" applyBorder="1" applyAlignment="1">
      <alignment horizontal="center" wrapText="1"/>
    </xf>
    <xf numFmtId="0" fontId="17" fillId="17" borderId="37" xfId="8" applyFont="1" applyFill="1" applyBorder="1" applyAlignment="1">
      <alignment horizontal="center" wrapText="1"/>
    </xf>
    <xf numFmtId="0" fontId="16" fillId="2" borderId="25" xfId="8" applyFont="1" applyFill="1" applyBorder="1" applyAlignment="1">
      <alignment wrapText="1"/>
    </xf>
    <xf numFmtId="0" fontId="16" fillId="2" borderId="27" xfId="8" applyFont="1" applyFill="1" applyBorder="1" applyAlignment="1">
      <alignment wrapText="1"/>
    </xf>
    <xf numFmtId="0" fontId="16" fillId="2" borderId="21" xfId="8" applyFont="1" applyFill="1" applyBorder="1" applyAlignment="1">
      <alignment wrapText="1"/>
    </xf>
    <xf numFmtId="0" fontId="70" fillId="2" borderId="25" xfId="8" applyFont="1" applyFill="1" applyBorder="1" applyAlignment="1">
      <alignment wrapText="1"/>
    </xf>
    <xf numFmtId="0" fontId="70" fillId="2" borderId="27" xfId="8" applyFont="1" applyFill="1" applyBorder="1" applyAlignment="1">
      <alignment wrapText="1"/>
    </xf>
    <xf numFmtId="0" fontId="70" fillId="2" borderId="22" xfId="8" applyFont="1" applyFill="1" applyBorder="1" applyAlignment="1">
      <alignment wrapText="1"/>
    </xf>
    <xf numFmtId="0" fontId="16" fillId="2" borderId="38" xfId="8" applyFont="1" applyFill="1" applyBorder="1" applyAlignment="1">
      <alignment wrapText="1"/>
    </xf>
    <xf numFmtId="0" fontId="16" fillId="2" borderId="39" xfId="8" applyFont="1" applyFill="1" applyBorder="1" applyAlignment="1">
      <alignment wrapText="1"/>
    </xf>
    <xf numFmtId="0" fontId="16" fillId="2" borderId="40" xfId="8" applyFont="1" applyFill="1" applyBorder="1" applyAlignment="1">
      <alignment wrapText="1"/>
    </xf>
    <xf numFmtId="0" fontId="70" fillId="2" borderId="38" xfId="8" applyFont="1" applyFill="1" applyBorder="1" applyAlignment="1">
      <alignment wrapText="1"/>
    </xf>
    <xf numFmtId="0" fontId="70" fillId="2" borderId="39" xfId="8" applyFont="1" applyFill="1" applyBorder="1" applyAlignment="1">
      <alignment wrapText="1"/>
    </xf>
    <xf numFmtId="0" fontId="70" fillId="2" borderId="40" xfId="8" applyFont="1" applyFill="1" applyBorder="1" applyAlignment="1">
      <alignment wrapText="1"/>
    </xf>
    <xf numFmtId="0" fontId="17" fillId="17" borderId="52" xfId="8" applyFont="1" applyFill="1" applyBorder="1" applyAlignment="1">
      <alignment horizontal="left" wrapText="1"/>
    </xf>
    <xf numFmtId="0" fontId="17" fillId="17" borderId="36" xfId="8" applyFont="1" applyFill="1" applyBorder="1" applyAlignment="1">
      <alignment horizontal="left" wrapText="1"/>
    </xf>
    <xf numFmtId="0" fontId="17" fillId="17" borderId="37" xfId="8" applyFont="1" applyFill="1" applyBorder="1" applyAlignment="1">
      <alignment horizontal="left" wrapText="1"/>
    </xf>
    <xf numFmtId="0" fontId="16" fillId="2" borderId="50" xfId="8" applyFont="1" applyFill="1" applyBorder="1" applyAlignment="1">
      <alignment horizontal="left" wrapText="1"/>
    </xf>
    <xf numFmtId="0" fontId="16" fillId="2" borderId="33" xfId="8" applyFont="1" applyFill="1" applyBorder="1" applyAlignment="1">
      <alignment horizontal="left" wrapText="1"/>
    </xf>
    <xf numFmtId="0" fontId="16" fillId="2" borderId="50" xfId="8" applyFont="1" applyFill="1" applyBorder="1" applyAlignment="1">
      <alignment horizontal="center" wrapText="1"/>
    </xf>
    <xf numFmtId="0" fontId="16" fillId="2" borderId="33" xfId="8" applyFont="1" applyFill="1" applyBorder="1" applyAlignment="1">
      <alignment horizontal="center" wrapText="1"/>
    </xf>
    <xf numFmtId="0" fontId="16" fillId="2" borderId="44" xfId="8" applyFont="1" applyFill="1" applyBorder="1" applyAlignment="1">
      <alignment horizontal="center" wrapText="1"/>
    </xf>
    <xf numFmtId="0" fontId="16" fillId="2" borderId="51" xfId="8" applyFont="1" applyFill="1" applyBorder="1" applyAlignment="1">
      <alignment horizontal="center" wrapText="1"/>
    </xf>
    <xf numFmtId="0" fontId="16" fillId="2" borderId="0" xfId="8" applyFont="1" applyFill="1" applyBorder="1" applyAlignment="1">
      <alignment horizontal="center" wrapText="1"/>
    </xf>
    <xf numFmtId="0" fontId="16" fillId="2" borderId="45" xfId="8" applyFont="1" applyFill="1" applyBorder="1" applyAlignment="1">
      <alignment horizontal="center" wrapText="1"/>
    </xf>
    <xf numFmtId="0" fontId="16" fillId="2" borderId="57" xfId="8" applyFont="1" applyFill="1" applyBorder="1" applyAlignment="1">
      <alignment horizontal="center" wrapText="1"/>
    </xf>
    <xf numFmtId="0" fontId="16" fillId="2" borderId="18" xfId="8" applyFont="1" applyFill="1" applyBorder="1" applyAlignment="1">
      <alignment horizontal="center" wrapText="1"/>
    </xf>
    <xf numFmtId="0" fontId="16" fillId="2" borderId="46" xfId="8" applyFont="1" applyFill="1" applyBorder="1" applyAlignment="1">
      <alignment horizontal="center" wrapText="1"/>
    </xf>
    <xf numFmtId="0" fontId="16" fillId="2" borderId="51" xfId="8" applyFont="1" applyFill="1" applyBorder="1" applyAlignment="1">
      <alignment horizontal="left" wrapText="1"/>
    </xf>
    <xf numFmtId="0" fontId="16" fillId="2" borderId="0" xfId="8" applyFont="1" applyFill="1" applyBorder="1" applyAlignment="1">
      <alignment horizontal="left" wrapText="1"/>
    </xf>
    <xf numFmtId="0" fontId="16" fillId="2" borderId="57" xfId="8" applyFont="1" applyFill="1" applyBorder="1" applyAlignment="1">
      <alignment wrapText="1"/>
    </xf>
    <xf numFmtId="0" fontId="16" fillId="2" borderId="18" xfId="8" applyFont="1" applyFill="1" applyBorder="1" applyAlignment="1">
      <alignment wrapText="1"/>
    </xf>
    <xf numFmtId="0" fontId="70" fillId="2" borderId="23" xfId="8" applyFont="1" applyFill="1" applyBorder="1" applyAlignment="1">
      <alignment wrapText="1"/>
    </xf>
    <xf numFmtId="0" fontId="70" fillId="2" borderId="2" xfId="8" applyFont="1" applyFill="1" applyBorder="1" applyAlignment="1">
      <alignment wrapText="1"/>
    </xf>
    <xf numFmtId="0" fontId="70" fillId="2" borderId="53" xfId="8" applyFont="1" applyFill="1" applyBorder="1" applyAlignment="1">
      <alignment wrapText="1"/>
    </xf>
    <xf numFmtId="0" fontId="16" fillId="2" borderId="44" xfId="8" applyFont="1" applyFill="1" applyBorder="1" applyAlignment="1">
      <alignment horizontal="left" wrapText="1"/>
    </xf>
    <xf numFmtId="0" fontId="16" fillId="2" borderId="50" xfId="8" applyFont="1" applyFill="1" applyBorder="1" applyAlignment="1">
      <alignment wrapText="1"/>
    </xf>
    <xf numFmtId="0" fontId="16" fillId="2" borderId="33" xfId="8" applyFont="1" applyFill="1" applyBorder="1" applyAlignment="1">
      <alignment wrapText="1"/>
    </xf>
    <xf numFmtId="0" fontId="16" fillId="2" borderId="44" xfId="8" applyFont="1" applyFill="1" applyBorder="1" applyAlignment="1">
      <alignment wrapText="1"/>
    </xf>
    <xf numFmtId="0" fontId="70" fillId="2" borderId="51" xfId="8" applyFont="1" applyFill="1" applyBorder="1" applyAlignment="1">
      <alignment horizontal="center" wrapText="1"/>
    </xf>
    <xf numFmtId="0" fontId="70" fillId="2" borderId="0" xfId="8" applyFont="1" applyFill="1" applyBorder="1" applyAlignment="1">
      <alignment horizontal="center" wrapText="1"/>
    </xf>
    <xf numFmtId="0" fontId="70" fillId="2" borderId="45" xfId="8" applyFont="1" applyFill="1" applyBorder="1" applyAlignment="1">
      <alignment horizontal="center" wrapText="1"/>
    </xf>
    <xf numFmtId="0" fontId="16" fillId="2" borderId="51" xfId="8" applyFont="1" applyFill="1" applyBorder="1" applyAlignment="1">
      <alignment wrapText="1"/>
    </xf>
    <xf numFmtId="0" fontId="16" fillId="2" borderId="0" xfId="8" applyFont="1" applyFill="1" applyBorder="1" applyAlignment="1">
      <alignment wrapText="1"/>
    </xf>
    <xf numFmtId="0" fontId="16" fillId="2" borderId="45" xfId="8" applyFont="1" applyFill="1" applyBorder="1" applyAlignment="1">
      <alignment wrapText="1"/>
    </xf>
    <xf numFmtId="0" fontId="16" fillId="2" borderId="45" xfId="8" applyFont="1" applyFill="1" applyBorder="1" applyAlignment="1">
      <alignment horizontal="left" wrapText="1"/>
    </xf>
    <xf numFmtId="0" fontId="16" fillId="2" borderId="47" xfId="8" applyFont="1" applyFill="1" applyBorder="1" applyAlignment="1">
      <alignment wrapText="1"/>
    </xf>
    <xf numFmtId="0" fontId="16" fillId="2" borderId="32" xfId="8" applyFont="1" applyFill="1" applyBorder="1" applyAlignment="1">
      <alignment wrapText="1"/>
    </xf>
    <xf numFmtId="0" fontId="16" fillId="2" borderId="48" xfId="8" applyFont="1" applyFill="1" applyBorder="1" applyAlignment="1">
      <alignment wrapText="1"/>
    </xf>
    <xf numFmtId="0" fontId="70" fillId="2" borderId="47" xfId="8" applyFont="1" applyFill="1" applyBorder="1" applyAlignment="1">
      <alignment wrapText="1"/>
    </xf>
    <xf numFmtId="0" fontId="70" fillId="2" borderId="32" xfId="8" applyFont="1" applyFill="1" applyBorder="1" applyAlignment="1">
      <alignment wrapText="1"/>
    </xf>
    <xf numFmtId="0" fontId="70" fillId="2" borderId="48" xfId="8" applyFont="1" applyFill="1" applyBorder="1" applyAlignment="1">
      <alignment wrapText="1"/>
    </xf>
    <xf numFmtId="0" fontId="16" fillId="2" borderId="23" xfId="8" applyFont="1" applyFill="1" applyBorder="1" applyAlignment="1">
      <alignment wrapText="1"/>
    </xf>
    <xf numFmtId="0" fontId="16" fillId="2" borderId="2" xfId="8" applyFont="1" applyFill="1" applyBorder="1" applyAlignment="1">
      <alignment wrapText="1"/>
    </xf>
    <xf numFmtId="0" fontId="16" fillId="2" borderId="53" xfId="8" applyFont="1" applyFill="1" applyBorder="1" applyAlignment="1">
      <alignment wrapText="1"/>
    </xf>
    <xf numFmtId="9" fontId="70" fillId="2" borderId="38" xfId="8" applyNumberFormat="1" applyFont="1" applyFill="1" applyBorder="1" applyAlignment="1">
      <alignment horizontal="left" wrapText="1"/>
    </xf>
    <xf numFmtId="0" fontId="70" fillId="2" borderId="39" xfId="8" applyFont="1" applyFill="1" applyBorder="1" applyAlignment="1">
      <alignment horizontal="left" wrapText="1"/>
    </xf>
    <xf numFmtId="0" fontId="70" fillId="2" borderId="40" xfId="8" applyFont="1" applyFill="1" applyBorder="1" applyAlignment="1">
      <alignment horizontal="left" wrapText="1"/>
    </xf>
    <xf numFmtId="0" fontId="70" fillId="2" borderId="38" xfId="8" applyFont="1" applyFill="1" applyBorder="1" applyAlignment="1">
      <alignment horizontal="left" wrapText="1"/>
    </xf>
    <xf numFmtId="0" fontId="70" fillId="2" borderId="56" xfId="8" applyFont="1" applyFill="1" applyBorder="1" applyAlignment="1">
      <alignment horizontal="left" wrapText="1"/>
    </xf>
    <xf numFmtId="0" fontId="16" fillId="2" borderId="47" xfId="8" applyFont="1" applyFill="1" applyBorder="1" applyAlignment="1">
      <alignment horizontal="left" wrapText="1"/>
    </xf>
    <xf numFmtId="0" fontId="16" fillId="2" borderId="32" xfId="8" applyFont="1" applyFill="1" applyBorder="1" applyAlignment="1">
      <alignment horizontal="left" wrapText="1"/>
    </xf>
    <xf numFmtId="0" fontId="16" fillId="2" borderId="48" xfId="8" applyFont="1" applyFill="1" applyBorder="1" applyAlignment="1">
      <alignment horizontal="left" wrapText="1"/>
    </xf>
    <xf numFmtId="0" fontId="70" fillId="2" borderId="42" xfId="8" applyFont="1" applyFill="1" applyBorder="1" applyAlignment="1">
      <alignment horizontal="left" wrapText="1"/>
    </xf>
    <xf numFmtId="0" fontId="70" fillId="2" borderId="16" xfId="8" applyFont="1" applyFill="1" applyBorder="1" applyAlignment="1">
      <alignment horizontal="left" wrapText="1"/>
    </xf>
    <xf numFmtId="0" fontId="70" fillId="2" borderId="15" xfId="8" applyFont="1" applyFill="1" applyBorder="1" applyAlignment="1">
      <alignment horizontal="left" wrapText="1"/>
    </xf>
    <xf numFmtId="0" fontId="70" fillId="2" borderId="49" xfId="8" applyFont="1" applyFill="1" applyBorder="1" applyAlignment="1">
      <alignment horizontal="left" wrapText="1"/>
    </xf>
    <xf numFmtId="0" fontId="70" fillId="2" borderId="21" xfId="8" applyFont="1" applyFill="1" applyBorder="1" applyAlignment="1">
      <alignment horizontal="left" wrapText="1"/>
    </xf>
    <xf numFmtId="0" fontId="71" fillId="17" borderId="52" xfId="8" applyFont="1" applyFill="1" applyBorder="1" applyAlignment="1">
      <alignment wrapText="1"/>
    </xf>
    <xf numFmtId="0" fontId="71" fillId="17" borderId="36" xfId="8" applyFont="1" applyFill="1" applyBorder="1" applyAlignment="1">
      <alignment wrapText="1"/>
    </xf>
    <xf numFmtId="0" fontId="71" fillId="17" borderId="37" xfId="8" applyFont="1" applyFill="1" applyBorder="1" applyAlignment="1">
      <alignment wrapText="1"/>
    </xf>
    <xf numFmtId="0" fontId="17" fillId="30" borderId="58" xfId="8" applyFont="1" applyFill="1" applyBorder="1" applyAlignment="1">
      <alignment horizontal="center" wrapText="1"/>
    </xf>
    <xf numFmtId="0" fontId="17" fillId="30" borderId="54" xfId="8" applyFont="1" applyFill="1" applyBorder="1" applyAlignment="1">
      <alignment horizontal="center" wrapText="1"/>
    </xf>
    <xf numFmtId="0" fontId="17" fillId="30" borderId="55" xfId="8" applyFont="1" applyFill="1" applyBorder="1" applyAlignment="1">
      <alignment horizontal="center" wrapText="1"/>
    </xf>
    <xf numFmtId="0" fontId="69" fillId="0" borderId="0" xfId="8" applyFont="1" applyFill="1" applyBorder="1" applyAlignment="1">
      <alignment horizontal="center" wrapText="1"/>
    </xf>
    <xf numFmtId="17" fontId="37" fillId="0" borderId="38" xfId="0" applyNumberFormat="1" applyFont="1" applyBorder="1" applyAlignment="1" applyProtection="1">
      <alignment horizontal="left" vertical="center"/>
      <protection locked="0"/>
    </xf>
    <xf numFmtId="17" fontId="37" fillId="0" borderId="39" xfId="0" applyNumberFormat="1" applyFont="1" applyBorder="1" applyAlignment="1" applyProtection="1">
      <alignment horizontal="left" vertical="center"/>
      <protection locked="0"/>
    </xf>
    <xf numFmtId="17" fontId="37" fillId="0" borderId="42" xfId="0" applyNumberFormat="1" applyFont="1" applyBorder="1" applyAlignment="1" applyProtection="1">
      <alignment horizontal="left" vertical="center"/>
      <protection locked="0"/>
    </xf>
    <xf numFmtId="3" fontId="37" fillId="0" borderId="17" xfId="0" applyNumberFormat="1" applyFont="1" applyBorder="1" applyAlignment="1" applyProtection="1">
      <alignment horizontal="center" vertical="center"/>
    </xf>
    <xf numFmtId="3" fontId="37" fillId="0" borderId="46" xfId="0" applyNumberFormat="1" applyFont="1" applyBorder="1" applyAlignment="1" applyProtection="1">
      <alignment horizontal="center" vertical="center"/>
    </xf>
    <xf numFmtId="3" fontId="37" fillId="0" borderId="15" xfId="0" applyNumberFormat="1" applyFont="1" applyBorder="1" applyAlignment="1" applyProtection="1">
      <alignment horizontal="center" vertical="center"/>
    </xf>
    <xf numFmtId="3" fontId="37" fillId="0" borderId="53" xfId="0" applyNumberFormat="1" applyFont="1" applyBorder="1" applyAlignment="1" applyProtection="1">
      <alignment horizontal="center" vertical="center"/>
    </xf>
    <xf numFmtId="3" fontId="54" fillId="27" borderId="15" xfId="0" applyNumberFormat="1" applyFont="1" applyFill="1" applyBorder="1" applyAlignment="1" applyProtection="1">
      <alignment horizontal="center" vertical="center"/>
    </xf>
    <xf numFmtId="3" fontId="54" fillId="27" borderId="53" xfId="0" applyNumberFormat="1" applyFont="1" applyFill="1" applyBorder="1" applyAlignment="1" applyProtection="1">
      <alignment horizontal="center" vertical="center"/>
    </xf>
    <xf numFmtId="17" fontId="37" fillId="0" borderId="23" xfId="0" applyNumberFormat="1" applyFont="1" applyBorder="1" applyAlignment="1" applyProtection="1">
      <alignment horizontal="left" vertical="center"/>
      <protection locked="0"/>
    </xf>
    <xf numFmtId="17" fontId="37" fillId="0" borderId="2" xfId="0" applyNumberFormat="1" applyFont="1" applyBorder="1" applyAlignment="1" applyProtection="1">
      <alignment horizontal="left" vertical="center"/>
      <protection locked="0"/>
    </xf>
    <xf numFmtId="17" fontId="37" fillId="0" borderId="16" xfId="0" applyNumberFormat="1" applyFont="1" applyBorder="1" applyAlignment="1" applyProtection="1">
      <alignment horizontal="left" vertical="center"/>
      <protection locked="0"/>
    </xf>
    <xf numFmtId="179" fontId="52" fillId="0" borderId="1" xfId="0" applyNumberFormat="1" applyFont="1" applyBorder="1" applyAlignment="1" applyProtection="1">
      <alignment horizontal="center" vertical="center" wrapText="1"/>
    </xf>
    <xf numFmtId="0" fontId="116" fillId="5" borderId="51" xfId="0" applyFont="1" applyFill="1" applyBorder="1" applyAlignment="1" applyProtection="1">
      <alignment horizontal="center" vertical="center"/>
      <protection locked="0"/>
    </xf>
    <xf numFmtId="0" fontId="116" fillId="5" borderId="0" xfId="0" applyFont="1" applyFill="1" applyBorder="1" applyAlignment="1" applyProtection="1">
      <alignment horizontal="center" vertical="center"/>
      <protection locked="0"/>
    </xf>
    <xf numFmtId="0" fontId="116" fillId="5" borderId="29" xfId="0" applyFont="1" applyFill="1" applyBorder="1" applyAlignment="1" applyProtection="1">
      <alignment horizontal="center" vertical="center"/>
      <protection locked="0"/>
    </xf>
    <xf numFmtId="0" fontId="116" fillId="5" borderId="30" xfId="0" applyFont="1" applyFill="1" applyBorder="1" applyAlignment="1" applyProtection="1">
      <alignment horizontal="center" vertical="center"/>
      <protection locked="0"/>
    </xf>
    <xf numFmtId="0" fontId="54" fillId="27" borderId="25" xfId="0" applyFont="1" applyFill="1" applyBorder="1" applyAlignment="1" applyProtection="1">
      <alignment horizontal="center" vertical="center" wrapText="1"/>
      <protection locked="0"/>
    </xf>
    <xf numFmtId="0" fontId="54" fillId="27" borderId="7" xfId="0" applyFont="1" applyFill="1" applyBorder="1" applyAlignment="1" applyProtection="1">
      <alignment horizontal="center" vertical="center" wrapText="1"/>
      <protection locked="0"/>
    </xf>
    <xf numFmtId="17" fontId="51" fillId="4" borderId="25" xfId="0" applyNumberFormat="1" applyFont="1" applyFill="1" applyBorder="1" applyAlignment="1" applyProtection="1">
      <alignment horizontal="center" vertical="center"/>
      <protection locked="0"/>
    </xf>
    <xf numFmtId="17" fontId="51" fillId="4" borderId="27" xfId="0" applyNumberFormat="1" applyFont="1" applyFill="1" applyBorder="1" applyAlignment="1" applyProtection="1">
      <alignment horizontal="center" vertical="center"/>
      <protection locked="0"/>
    </xf>
    <xf numFmtId="17" fontId="51" fillId="4" borderId="22" xfId="0" applyNumberFormat="1" applyFont="1" applyFill="1" applyBorder="1" applyAlignment="1" applyProtection="1">
      <alignment horizontal="center" vertical="center"/>
      <protection locked="0"/>
    </xf>
    <xf numFmtId="0" fontId="54" fillId="27" borderId="27" xfId="0" applyFont="1" applyFill="1" applyBorder="1" applyAlignment="1" applyProtection="1">
      <alignment horizontal="center" vertical="center" wrapText="1"/>
      <protection locked="0"/>
    </xf>
    <xf numFmtId="0" fontId="54" fillId="27" borderId="8" xfId="0" applyFont="1" applyFill="1" applyBorder="1" applyAlignment="1" applyProtection="1">
      <alignment horizontal="center" vertical="center" wrapText="1"/>
      <protection locked="0"/>
    </xf>
    <xf numFmtId="17" fontId="51" fillId="4" borderId="49" xfId="0" applyNumberFormat="1" applyFont="1" applyFill="1" applyBorder="1" applyAlignment="1" applyProtection="1">
      <alignment horizontal="center" vertical="center"/>
    </xf>
    <xf numFmtId="17" fontId="51" fillId="4" borderId="27" xfId="0" applyNumberFormat="1" applyFont="1" applyFill="1" applyBorder="1" applyAlignment="1" applyProtection="1">
      <alignment horizontal="center" vertical="center"/>
    </xf>
    <xf numFmtId="0" fontId="51" fillId="4" borderId="95" xfId="0" applyFont="1" applyFill="1" applyBorder="1" applyAlignment="1" applyProtection="1">
      <alignment horizontal="center" vertical="center" wrapText="1"/>
      <protection locked="0"/>
    </xf>
    <xf numFmtId="0" fontId="51" fillId="4" borderId="96" xfId="0" applyFont="1" applyFill="1" applyBorder="1" applyAlignment="1" applyProtection="1">
      <alignment horizontal="center" vertical="center" wrapText="1"/>
      <protection locked="0"/>
    </xf>
    <xf numFmtId="0" fontId="54" fillId="27" borderId="75" xfId="0" applyFont="1" applyFill="1" applyBorder="1" applyAlignment="1" applyProtection="1">
      <alignment horizontal="center" vertical="center" wrapText="1"/>
      <protection locked="0"/>
    </xf>
    <xf numFmtId="0" fontId="54" fillId="27" borderId="55" xfId="0" applyFont="1" applyFill="1" applyBorder="1" applyAlignment="1" applyProtection="1">
      <alignment horizontal="center" vertical="center" wrapText="1"/>
      <protection locked="0"/>
    </xf>
    <xf numFmtId="0" fontId="54" fillId="27" borderId="68" xfId="0" applyFont="1" applyFill="1" applyBorder="1" applyAlignment="1" applyProtection="1">
      <alignment horizontal="center" vertical="center" wrapText="1"/>
      <protection locked="0"/>
    </xf>
    <xf numFmtId="0" fontId="54" fillId="27" borderId="31" xfId="0" applyFont="1" applyFill="1" applyBorder="1" applyAlignment="1" applyProtection="1">
      <alignment horizontal="center" vertical="center" wrapText="1"/>
      <protection locked="0"/>
    </xf>
    <xf numFmtId="0" fontId="27" fillId="5" borderId="52" xfId="0" applyFont="1" applyFill="1" applyBorder="1" applyAlignment="1" applyProtection="1">
      <alignment horizontal="center"/>
    </xf>
    <xf numFmtId="0" fontId="27" fillId="5" borderId="36" xfId="0" applyFont="1" applyFill="1" applyBorder="1" applyAlignment="1" applyProtection="1">
      <alignment horizontal="center"/>
    </xf>
    <xf numFmtId="0" fontId="27" fillId="5" borderId="37" xfId="0" applyFont="1" applyFill="1" applyBorder="1" applyAlignment="1" applyProtection="1">
      <alignment horizontal="center"/>
    </xf>
    <xf numFmtId="0" fontId="27" fillId="5" borderId="12" xfId="0" applyFont="1" applyFill="1" applyBorder="1" applyAlignment="1" applyProtection="1">
      <alignment horizontal="center"/>
      <protection locked="0"/>
    </xf>
    <xf numFmtId="0" fontId="27" fillId="5" borderId="13" xfId="0" applyFont="1" applyFill="1" applyBorder="1" applyAlignment="1" applyProtection="1">
      <alignment horizontal="center"/>
      <protection locked="0"/>
    </xf>
    <xf numFmtId="0" fontId="27" fillId="5" borderId="14" xfId="0" applyFont="1" applyFill="1" applyBorder="1" applyAlignment="1" applyProtection="1">
      <alignment horizontal="center"/>
      <protection locked="0"/>
    </xf>
    <xf numFmtId="0" fontId="166" fillId="0" borderId="163" xfId="111" applyFont="1" applyBorder="1" applyAlignment="1">
      <alignment horizontal="center" vertical="center"/>
    </xf>
    <xf numFmtId="0" fontId="16" fillId="0" borderId="164" xfId="111" applyFont="1" applyBorder="1"/>
    <xf numFmtId="0" fontId="169" fillId="61" borderId="158" xfId="111" applyFont="1" applyFill="1" applyBorder="1" applyAlignment="1">
      <alignment horizontal="center" vertical="center"/>
    </xf>
    <xf numFmtId="0" fontId="16" fillId="0" borderId="159" xfId="111" applyFont="1" applyBorder="1"/>
    <xf numFmtId="0" fontId="16" fillId="0" borderId="160" xfId="111" applyFont="1" applyBorder="1"/>
    <xf numFmtId="0" fontId="171" fillId="61" borderId="158" xfId="111" applyFont="1" applyFill="1" applyBorder="1" applyAlignment="1">
      <alignment horizontal="center" vertical="center"/>
    </xf>
    <xf numFmtId="0" fontId="172" fillId="0" borderId="140" xfId="111" applyFont="1" applyBorder="1" applyAlignment="1">
      <alignment horizontal="center" vertical="center"/>
    </xf>
    <xf numFmtId="0" fontId="16" fillId="0" borderId="142" xfId="111" applyFont="1" applyBorder="1"/>
    <xf numFmtId="0" fontId="16" fillId="0" borderId="161" xfId="111" applyFont="1" applyBorder="1"/>
    <xf numFmtId="0" fontId="16" fillId="0" borderId="162" xfId="111" applyFont="1" applyBorder="1"/>
    <xf numFmtId="0" fontId="165" fillId="0" borderId="161" xfId="111" applyFont="1" applyBorder="1" applyAlignment="1">
      <alignment horizontal="center"/>
    </xf>
    <xf numFmtId="0" fontId="129" fillId="0" borderId="0" xfId="111"/>
    <xf numFmtId="0" fontId="167" fillId="0" borderId="169" xfId="111" applyFont="1" applyBorder="1"/>
    <xf numFmtId="0" fontId="16" fillId="0" borderId="170" xfId="111" applyFont="1" applyBorder="1"/>
    <xf numFmtId="0" fontId="16" fillId="0" borderId="171" xfId="111" applyFont="1" applyBorder="1"/>
    <xf numFmtId="0" fontId="167" fillId="0" borderId="169" xfId="111" applyFont="1" applyBorder="1" applyAlignment="1">
      <alignment horizontal="center"/>
    </xf>
    <xf numFmtId="0" fontId="167" fillId="58" borderId="169" xfId="111" applyFont="1" applyFill="1" applyBorder="1" applyAlignment="1">
      <alignment horizontal="left"/>
    </xf>
    <xf numFmtId="15" fontId="167" fillId="58" borderId="169" xfId="111" applyNumberFormat="1" applyFont="1" applyFill="1" applyBorder="1" applyAlignment="1">
      <alignment horizontal="right"/>
    </xf>
    <xf numFmtId="0" fontId="166" fillId="58" borderId="169" xfId="111" applyFont="1" applyFill="1" applyBorder="1" applyAlignment="1">
      <alignment horizontal="center" wrapText="1"/>
    </xf>
    <xf numFmtId="0" fontId="167" fillId="58" borderId="169" xfId="111" applyFont="1" applyFill="1" applyBorder="1" applyAlignment="1">
      <alignment horizontal="right"/>
    </xf>
    <xf numFmtId="1" fontId="167" fillId="58" borderId="169" xfId="111" applyNumberFormat="1" applyFont="1" applyFill="1" applyBorder="1" applyAlignment="1">
      <alignment horizontal="right"/>
    </xf>
    <xf numFmtId="187" fontId="167" fillId="58" borderId="169" xfId="111" applyNumberFormat="1" applyFont="1" applyFill="1" applyBorder="1" applyAlignment="1">
      <alignment horizontal="right"/>
    </xf>
    <xf numFmtId="0" fontId="173" fillId="58" borderId="161" xfId="111" applyFont="1" applyFill="1" applyBorder="1" applyAlignment="1">
      <alignment horizontal="left"/>
    </xf>
    <xf numFmtId="0" fontId="16" fillId="0" borderId="0" xfId="111" applyFont="1"/>
    <xf numFmtId="0" fontId="167" fillId="58" borderId="169" xfId="111" applyFont="1" applyFill="1" applyBorder="1" applyAlignment="1">
      <alignment horizontal="left" vertical="center" wrapText="1"/>
    </xf>
    <xf numFmtId="0" fontId="167" fillId="58" borderId="169" xfId="111" applyFont="1" applyFill="1" applyBorder="1" applyAlignment="1">
      <alignment horizontal="center" vertical="center" wrapText="1"/>
    </xf>
    <xf numFmtId="0" fontId="167" fillId="0" borderId="169" xfId="111" applyFont="1" applyBorder="1" applyAlignment="1">
      <alignment horizontal="left" vertical="center" wrapText="1"/>
    </xf>
    <xf numFmtId="0" fontId="167" fillId="58" borderId="0" xfId="111" applyFont="1" applyFill="1" applyAlignment="1">
      <alignment horizontal="left" vertical="top" wrapText="1"/>
    </xf>
    <xf numFmtId="0" fontId="167" fillId="58" borderId="0" xfId="111" applyFont="1" applyFill="1" applyAlignment="1">
      <alignment horizontal="left"/>
    </xf>
    <xf numFmtId="0" fontId="175" fillId="58" borderId="163" xfId="111" applyFont="1" applyFill="1" applyBorder="1"/>
    <xf numFmtId="0" fontId="16" fillId="0" borderId="172" xfId="111" applyFont="1" applyBorder="1"/>
    <xf numFmtId="0" fontId="167" fillId="58" borderId="0" xfId="111" applyFont="1" applyFill="1" applyAlignment="1">
      <alignment horizontal="left" wrapText="1"/>
    </xf>
    <xf numFmtId="0" fontId="175" fillId="58" borderId="161" xfId="111" applyFont="1" applyFill="1" applyBorder="1"/>
    <xf numFmtId="17" fontId="162" fillId="55" borderId="140" xfId="111" applyNumberFormat="1" applyFont="1" applyFill="1" applyBorder="1" applyAlignment="1">
      <alignment horizontal="center"/>
    </xf>
    <xf numFmtId="0" fontId="16" fillId="0" borderId="141" xfId="111" applyFont="1" applyBorder="1"/>
    <xf numFmtId="0" fontId="97" fillId="55" borderId="140" xfId="111" applyFont="1" applyFill="1" applyBorder="1" applyAlignment="1">
      <alignment horizontal="center"/>
    </xf>
    <xf numFmtId="0" fontId="162" fillId="55" borderId="138" xfId="111" applyFont="1" applyFill="1" applyBorder="1" applyAlignment="1">
      <alignment horizontal="center"/>
    </xf>
    <xf numFmtId="0" fontId="16" fillId="0" borderId="139" xfId="111" applyFont="1" applyBorder="1"/>
    <xf numFmtId="0" fontId="16" fillId="0" borderId="134" xfId="111" applyFont="1" applyBorder="1"/>
    <xf numFmtId="0" fontId="162" fillId="55" borderId="140" xfId="111" applyFont="1" applyFill="1" applyBorder="1" applyAlignment="1">
      <alignment horizontal="center"/>
    </xf>
    <xf numFmtId="181" fontId="100" fillId="46" borderId="10" xfId="93" applyNumberFormat="1" applyFont="1" applyFill="1" applyBorder="1" applyAlignment="1">
      <alignment horizontal="center" vertical="center"/>
    </xf>
    <xf numFmtId="181" fontId="100" fillId="46" borderId="3" xfId="93" applyNumberFormat="1" applyFont="1" applyFill="1" applyBorder="1" applyAlignment="1">
      <alignment horizontal="center" vertical="center"/>
    </xf>
    <xf numFmtId="181" fontId="100" fillId="46" borderId="11" xfId="93" applyNumberFormat="1" applyFont="1" applyFill="1" applyBorder="1" applyAlignment="1">
      <alignment horizontal="center" vertical="center"/>
    </xf>
    <xf numFmtId="0" fontId="100" fillId="46" borderId="89" xfId="93" applyFont="1" applyFill="1" applyBorder="1" applyAlignment="1">
      <alignment horizontal="center" vertical="center"/>
    </xf>
    <xf numFmtId="0" fontId="100" fillId="46" borderId="3" xfId="93" applyFont="1" applyFill="1" applyBorder="1" applyAlignment="1">
      <alignment horizontal="center" vertical="center"/>
    </xf>
    <xf numFmtId="0" fontId="100" fillId="46" borderId="4" xfId="93" applyFont="1" applyFill="1" applyBorder="1" applyAlignment="1">
      <alignment horizontal="center" vertical="center"/>
    </xf>
    <xf numFmtId="0" fontId="100" fillId="46" borderId="3" xfId="93" applyFont="1" applyFill="1" applyBorder="1" applyAlignment="1">
      <alignment horizontal="center" vertical="center" wrapText="1"/>
    </xf>
    <xf numFmtId="0" fontId="100" fillId="46" borderId="4" xfId="93" applyFont="1" applyFill="1" applyBorder="1" applyAlignment="1">
      <alignment horizontal="center" vertical="center" wrapText="1"/>
    </xf>
    <xf numFmtId="0" fontId="100" fillId="46" borderId="41" xfId="93" applyFont="1" applyFill="1" applyBorder="1" applyAlignment="1">
      <alignment horizontal="center" vertical="center" wrapText="1"/>
    </xf>
    <xf numFmtId="0" fontId="100" fillId="46" borderId="79" xfId="93" applyFont="1" applyFill="1" applyBorder="1" applyAlignment="1">
      <alignment horizontal="center" vertical="center" wrapText="1"/>
    </xf>
    <xf numFmtId="0" fontId="100" fillId="46" borderId="11" xfId="93" applyFont="1" applyFill="1" applyBorder="1" applyAlignment="1">
      <alignment horizontal="center" vertical="center" wrapText="1"/>
    </xf>
    <xf numFmtId="0" fontId="100" fillId="46" borderId="28" xfId="93" applyFont="1" applyFill="1" applyBorder="1" applyAlignment="1">
      <alignment horizontal="center" vertical="center" wrapText="1"/>
    </xf>
    <xf numFmtId="17" fontId="100" fillId="46" borderId="19" xfId="93" applyNumberFormat="1" applyFont="1" applyFill="1" applyBorder="1" applyAlignment="1">
      <alignment horizontal="center" vertical="center"/>
    </xf>
    <xf numFmtId="17" fontId="100" fillId="46" borderId="3" xfId="93" applyNumberFormat="1" applyFont="1" applyFill="1" applyBorder="1" applyAlignment="1">
      <alignment horizontal="center" vertical="center"/>
    </xf>
    <xf numFmtId="17" fontId="100" fillId="46" borderId="11" xfId="93" applyNumberFormat="1" applyFont="1" applyFill="1" applyBorder="1" applyAlignment="1">
      <alignment horizontal="center" vertical="center"/>
    </xf>
    <xf numFmtId="181" fontId="100" fillId="46" borderId="19" xfId="93" applyNumberFormat="1" applyFont="1" applyFill="1" applyBorder="1" applyAlignment="1">
      <alignment horizontal="center" vertical="center"/>
    </xf>
    <xf numFmtId="0" fontId="44" fillId="11" borderId="5" xfId="93" applyFont="1" applyFill="1" applyBorder="1" applyAlignment="1">
      <alignment vertical="center"/>
    </xf>
    <xf numFmtId="0" fontId="44" fillId="11" borderId="1" xfId="93" applyFont="1" applyFill="1" applyBorder="1" applyAlignment="1">
      <alignment vertical="center"/>
    </xf>
    <xf numFmtId="49" fontId="43" fillId="19" borderId="1" xfId="93" applyNumberFormat="1" applyFont="1" applyFill="1" applyBorder="1" applyAlignment="1">
      <alignment horizontal="right" vertical="center"/>
    </xf>
    <xf numFmtId="0" fontId="100" fillId="46" borderId="10" xfId="93" applyFont="1" applyFill="1" applyBorder="1" applyAlignment="1">
      <alignment horizontal="center" vertical="center" wrapText="1"/>
    </xf>
    <xf numFmtId="0" fontId="100" fillId="46" borderId="26" xfId="93" applyFont="1" applyFill="1" applyBorder="1" applyAlignment="1">
      <alignment horizontal="center" vertical="center" wrapText="1"/>
    </xf>
    <xf numFmtId="0" fontId="100" fillId="46" borderId="88" xfId="93" applyFont="1" applyFill="1" applyBorder="1" applyAlignment="1">
      <alignment horizontal="center" vertical="center"/>
    </xf>
    <xf numFmtId="0" fontId="100" fillId="46" borderId="60" xfId="93" applyFont="1" applyFill="1" applyBorder="1" applyAlignment="1">
      <alignment horizontal="center" vertical="center"/>
    </xf>
    <xf numFmtId="0" fontId="100" fillId="46" borderId="88" xfId="93" applyFont="1" applyFill="1" applyBorder="1" applyAlignment="1">
      <alignment horizontal="center" vertical="center" wrapText="1"/>
    </xf>
    <xf numFmtId="0" fontId="100" fillId="46" borderId="60" xfId="93" applyFont="1" applyFill="1" applyBorder="1" applyAlignment="1">
      <alignment horizontal="center" vertical="center" wrapText="1"/>
    </xf>
    <xf numFmtId="0" fontId="84" fillId="38" borderId="85" xfId="93" applyFont="1" applyFill="1" applyBorder="1" applyAlignment="1">
      <alignment horizontal="center" vertical="center"/>
    </xf>
    <xf numFmtId="0" fontId="84" fillId="38" borderId="86" xfId="93" applyFont="1" applyFill="1" applyBorder="1" applyAlignment="1">
      <alignment horizontal="center" vertical="center"/>
    </xf>
    <xf numFmtId="0" fontId="84" fillId="38" borderId="87" xfId="93" applyFont="1" applyFill="1" applyBorder="1" applyAlignment="1">
      <alignment horizontal="center" vertical="center"/>
    </xf>
    <xf numFmtId="49" fontId="43" fillId="19" borderId="6" xfId="93" applyNumberFormat="1" applyFont="1" applyFill="1" applyBorder="1" applyAlignment="1">
      <alignment horizontal="right" vertical="center"/>
    </xf>
    <xf numFmtId="0" fontId="44" fillId="11" borderId="7" xfId="93" applyFont="1" applyFill="1" applyBorder="1" applyAlignment="1">
      <alignment vertical="center"/>
    </xf>
    <xf numFmtId="0" fontId="44" fillId="11" borderId="8" xfId="93" applyFont="1" applyFill="1" applyBorder="1" applyAlignment="1">
      <alignment vertical="center"/>
    </xf>
    <xf numFmtId="0" fontId="43" fillId="19" borderId="8" xfId="93" applyFont="1" applyFill="1" applyBorder="1" applyAlignment="1">
      <alignment horizontal="right" vertical="center"/>
    </xf>
    <xf numFmtId="0" fontId="43" fillId="19" borderId="9" xfId="93" applyFont="1" applyFill="1" applyBorder="1" applyAlignment="1">
      <alignment horizontal="right" vertical="center"/>
    </xf>
    <xf numFmtId="0" fontId="43" fillId="19" borderId="1" xfId="93" applyFont="1" applyFill="1" applyBorder="1" applyAlignment="1">
      <alignment horizontal="right" vertical="center"/>
    </xf>
    <xf numFmtId="0" fontId="43" fillId="19" borderId="6" xfId="93" applyFont="1" applyFill="1" applyBorder="1" applyAlignment="1">
      <alignment horizontal="right" vertical="center"/>
    </xf>
    <xf numFmtId="3" fontId="43" fillId="19" borderId="1" xfId="93" applyNumberFormat="1" applyFont="1" applyFill="1" applyBorder="1" applyAlignment="1">
      <alignment horizontal="right" vertical="center"/>
    </xf>
    <xf numFmtId="3" fontId="43" fillId="19" borderId="6" xfId="93" applyNumberFormat="1" applyFont="1" applyFill="1" applyBorder="1" applyAlignment="1">
      <alignment horizontal="right" vertical="center"/>
    </xf>
    <xf numFmtId="9" fontId="43" fillId="3" borderId="1" xfId="91" applyFont="1" applyFill="1" applyBorder="1" applyAlignment="1">
      <alignment horizontal="right" vertical="center"/>
    </xf>
    <xf numFmtId="9" fontId="43" fillId="3" borderId="6" xfId="91" applyFont="1" applyFill="1" applyBorder="1" applyAlignment="1">
      <alignment horizontal="right" vertical="center"/>
    </xf>
    <xf numFmtId="0" fontId="82" fillId="19" borderId="1" xfId="93" applyFont="1" applyFill="1" applyBorder="1" applyAlignment="1">
      <alignment horizontal="right" vertical="center"/>
    </xf>
    <xf numFmtId="0" fontId="82" fillId="19" borderId="6" xfId="93" applyFont="1" applyFill="1" applyBorder="1" applyAlignment="1">
      <alignment horizontal="right" vertical="center"/>
    </xf>
    <xf numFmtId="180" fontId="43" fillId="19" borderId="1" xfId="93" applyNumberFormat="1" applyFont="1" applyFill="1" applyBorder="1" applyAlignment="1">
      <alignment horizontal="right" vertical="center"/>
    </xf>
    <xf numFmtId="180" fontId="43" fillId="19" borderId="6" xfId="93" applyNumberFormat="1" applyFont="1" applyFill="1" applyBorder="1" applyAlignment="1">
      <alignment horizontal="right" vertical="center"/>
    </xf>
    <xf numFmtId="0" fontId="23" fillId="38" borderId="12" xfId="93" applyFont="1" applyFill="1" applyBorder="1" applyAlignment="1">
      <alignment horizontal="center" vertical="center"/>
    </xf>
    <xf numFmtId="0" fontId="23" fillId="38" borderId="13" xfId="93" applyFont="1" applyFill="1" applyBorder="1" applyAlignment="1">
      <alignment horizontal="center" vertical="center"/>
    </xf>
    <xf numFmtId="0" fontId="23" fillId="38" borderId="14" xfId="93" applyFont="1" applyFill="1" applyBorder="1" applyAlignment="1">
      <alignment horizontal="center" vertical="center"/>
    </xf>
    <xf numFmtId="0" fontId="50" fillId="39" borderId="10" xfId="93" applyFont="1" applyFill="1" applyBorder="1" applyAlignment="1">
      <alignment vertical="center"/>
    </xf>
    <xf numFmtId="0" fontId="50" fillId="39" borderId="3" xfId="93" applyFont="1" applyFill="1" applyBorder="1" applyAlignment="1">
      <alignment vertical="center"/>
    </xf>
    <xf numFmtId="0" fontId="50" fillId="39" borderId="3" xfId="93" applyFont="1" applyFill="1" applyBorder="1" applyAlignment="1">
      <alignment horizontal="center" vertical="center"/>
    </xf>
    <xf numFmtId="0" fontId="50" fillId="39" borderId="11" xfId="93" applyFont="1" applyFill="1" applyBorder="1" applyAlignment="1">
      <alignment horizontal="center" vertical="center"/>
    </xf>
    <xf numFmtId="0" fontId="50" fillId="0" borderId="24" xfId="0" applyFont="1" applyBorder="1" applyAlignment="1" applyProtection="1">
      <alignment horizontal="center" vertical="center" wrapText="1"/>
      <protection locked="0"/>
    </xf>
    <xf numFmtId="0" fontId="16" fillId="2" borderId="24" xfId="0" applyFont="1" applyFill="1" applyBorder="1" applyAlignment="1" applyProtection="1">
      <alignment horizontal="center"/>
      <protection locked="0"/>
    </xf>
    <xf numFmtId="0" fontId="16" fillId="2" borderId="35" xfId="0" applyFont="1" applyFill="1" applyBorder="1" applyAlignment="1" applyProtection="1">
      <alignment horizontal="center"/>
      <protection locked="0"/>
    </xf>
    <xf numFmtId="0" fontId="16" fillId="2" borderId="15" xfId="0" applyFont="1" applyFill="1" applyBorder="1" applyAlignment="1" applyProtection="1">
      <alignment horizontal="left" indent="1"/>
      <protection locked="0"/>
    </xf>
    <xf numFmtId="0" fontId="16" fillId="2" borderId="2" xfId="0" applyFont="1" applyFill="1" applyBorder="1" applyAlignment="1" applyProtection="1">
      <alignment horizontal="left" indent="1"/>
      <protection locked="0"/>
    </xf>
    <xf numFmtId="0" fontId="16" fillId="2" borderId="16" xfId="0" applyFont="1" applyFill="1" applyBorder="1" applyAlignment="1" applyProtection="1">
      <alignment horizontal="left" indent="1"/>
      <protection locked="0"/>
    </xf>
    <xf numFmtId="0" fontId="17" fillId="0" borderId="23" xfId="0" applyFont="1" applyBorder="1" applyAlignment="1" applyProtection="1">
      <alignment horizontal="center" vertical="center" wrapText="1"/>
      <protection locked="0"/>
    </xf>
    <xf numFmtId="0" fontId="17" fillId="0" borderId="2" xfId="0" applyFont="1" applyBorder="1" applyAlignment="1" applyProtection="1">
      <alignment horizontal="center" vertical="center" wrapText="1"/>
      <protection locked="0"/>
    </xf>
    <xf numFmtId="0" fontId="17" fillId="0" borderId="53" xfId="0" applyFont="1" applyBorder="1" applyAlignment="1" applyProtection="1">
      <alignment horizontal="center" vertical="center" wrapText="1"/>
      <protection locked="0"/>
    </xf>
    <xf numFmtId="0" fontId="50" fillId="0" borderId="1" xfId="0" applyFont="1" applyBorder="1" applyAlignment="1" applyProtection="1">
      <alignment horizontal="center" vertical="center" wrapText="1"/>
      <protection locked="0"/>
    </xf>
    <xf numFmtId="0" fontId="16" fillId="2" borderId="1" xfId="0" applyFont="1" applyFill="1" applyBorder="1" applyAlignment="1" applyProtection="1">
      <alignment horizontal="center"/>
      <protection locked="0"/>
    </xf>
    <xf numFmtId="0" fontId="16" fillId="2" borderId="6" xfId="0" applyFont="1" applyFill="1" applyBorder="1" applyAlignment="1" applyProtection="1">
      <alignment horizontal="center"/>
      <protection locked="0"/>
    </xf>
    <xf numFmtId="0" fontId="16" fillId="2" borderId="15" xfId="0" applyFont="1" applyFill="1" applyBorder="1" applyAlignment="1" applyProtection="1">
      <alignment horizontal="left" vertical="center"/>
      <protection locked="0"/>
    </xf>
    <xf numFmtId="0" fontId="16" fillId="2" borderId="2" xfId="0" applyFont="1" applyFill="1" applyBorder="1" applyAlignment="1" applyProtection="1">
      <alignment horizontal="left" vertical="center"/>
      <protection locked="0"/>
    </xf>
    <xf numFmtId="0" fontId="16" fillId="2" borderId="53" xfId="0" applyFont="1" applyFill="1" applyBorder="1" applyAlignment="1" applyProtection="1">
      <alignment horizontal="left" vertical="center"/>
      <protection locked="0"/>
    </xf>
    <xf numFmtId="0" fontId="16" fillId="0" borderId="15" xfId="0" applyFon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17" fillId="9" borderId="26" xfId="0" applyFont="1" applyFill="1" applyBorder="1" applyAlignment="1" applyProtection="1">
      <alignment horizontal="center" vertical="center" wrapText="1"/>
      <protection locked="0"/>
    </xf>
    <xf numFmtId="0" fontId="17" fillId="9" borderId="43" xfId="0" applyFont="1" applyFill="1" applyBorder="1" applyAlignment="1" applyProtection="1">
      <alignment horizontal="center" vertical="center" wrapText="1"/>
      <protection locked="0"/>
    </xf>
    <xf numFmtId="0" fontId="17" fillId="9" borderId="10" xfId="0" applyFont="1" applyFill="1" applyBorder="1" applyAlignment="1" applyProtection="1">
      <alignment horizontal="center" vertical="center" wrapText="1"/>
      <protection locked="0"/>
    </xf>
    <xf numFmtId="0" fontId="17" fillId="11" borderId="1" xfId="0" applyFont="1" applyFill="1" applyBorder="1" applyAlignment="1" applyProtection="1">
      <alignment horizontal="center"/>
      <protection locked="0"/>
    </xf>
    <xf numFmtId="0" fontId="16" fillId="0" borderId="17" xfId="0" applyFont="1" applyBorder="1" applyAlignment="1" applyProtection="1">
      <alignment horizontal="left" vertical="center" wrapText="1" indent="1"/>
      <protection locked="0"/>
    </xf>
    <xf numFmtId="0" fontId="16" fillId="0" borderId="18" xfId="0" applyFont="1" applyBorder="1" applyAlignment="1" applyProtection="1">
      <alignment horizontal="left" vertical="center" wrapText="1" indent="1"/>
      <protection locked="0"/>
    </xf>
    <xf numFmtId="0" fontId="16" fillId="0" borderId="19" xfId="0" applyFont="1" applyBorder="1" applyAlignment="1" applyProtection="1">
      <alignment horizontal="left" vertical="center" wrapText="1" indent="1"/>
      <protection locked="0"/>
    </xf>
    <xf numFmtId="0" fontId="16" fillId="2" borderId="15" xfId="0" applyFont="1" applyFill="1" applyBorder="1" applyAlignment="1" applyProtection="1">
      <alignment horizontal="left" vertical="center" indent="1"/>
      <protection locked="0"/>
    </xf>
    <xf numFmtId="0" fontId="16" fillId="2" borderId="2" xfId="0" applyFont="1" applyFill="1" applyBorder="1" applyAlignment="1" applyProtection="1">
      <alignment horizontal="left" vertical="center" indent="1"/>
      <protection locked="0"/>
    </xf>
    <xf numFmtId="0" fontId="16" fillId="2" borderId="16" xfId="0" applyFont="1" applyFill="1" applyBorder="1" applyAlignment="1" applyProtection="1">
      <alignment horizontal="left" vertical="center" indent="1"/>
      <protection locked="0"/>
    </xf>
    <xf numFmtId="0" fontId="50" fillId="39" borderId="12" xfId="0" applyFont="1" applyFill="1" applyBorder="1" applyAlignment="1" applyProtection="1">
      <alignment horizontal="center" vertical="center"/>
      <protection locked="0"/>
    </xf>
    <xf numFmtId="0" fontId="50" fillId="39" borderId="63" xfId="0" applyFont="1" applyFill="1" applyBorder="1" applyAlignment="1" applyProtection="1">
      <alignment horizontal="center" vertical="center"/>
      <protection locked="0"/>
    </xf>
    <xf numFmtId="0" fontId="50" fillId="39" borderId="64" xfId="0" applyFont="1" applyFill="1" applyBorder="1" applyAlignment="1" applyProtection="1">
      <alignment horizontal="center" vertical="center"/>
      <protection locked="0"/>
    </xf>
    <xf numFmtId="0" fontId="16" fillId="2" borderId="1" xfId="0" applyFont="1" applyFill="1" applyBorder="1" applyAlignment="1" applyProtection="1">
      <alignment horizontal="left" vertical="center" wrapText="1"/>
      <protection locked="0"/>
    </xf>
    <xf numFmtId="0" fontId="16" fillId="2" borderId="41" xfId="0" applyFont="1" applyFill="1" applyBorder="1" applyAlignment="1" applyProtection="1">
      <alignment horizontal="left" vertical="center" wrapText="1"/>
      <protection locked="0"/>
    </xf>
    <xf numFmtId="0" fontId="16" fillId="2" borderId="0" xfId="0" applyFont="1" applyFill="1" applyAlignment="1" applyProtection="1">
      <alignment horizontal="left" vertical="center" wrapText="1"/>
      <protection locked="0"/>
    </xf>
    <xf numFmtId="0" fontId="16" fillId="2" borderId="45" xfId="0" applyFont="1" applyFill="1" applyBorder="1" applyAlignment="1" applyProtection="1">
      <alignment horizontal="left" vertical="center" wrapText="1"/>
      <protection locked="0"/>
    </xf>
    <xf numFmtId="0" fontId="16" fillId="2" borderId="17" xfId="0" applyFont="1" applyFill="1" applyBorder="1" applyAlignment="1" applyProtection="1">
      <alignment horizontal="left" vertical="center" wrapText="1"/>
      <protection locked="0"/>
    </xf>
    <xf numFmtId="0" fontId="16" fillId="2" borderId="18" xfId="0" applyFont="1" applyFill="1" applyBorder="1" applyAlignment="1" applyProtection="1">
      <alignment horizontal="left" vertical="center" wrapText="1"/>
      <protection locked="0"/>
    </xf>
    <xf numFmtId="0" fontId="16" fillId="2" borderId="46" xfId="0" applyFont="1" applyFill="1" applyBorder="1" applyAlignment="1" applyProtection="1">
      <alignment horizontal="left" vertical="center" wrapText="1"/>
      <protection locked="0"/>
    </xf>
    <xf numFmtId="37" fontId="16" fillId="2" borderId="15" xfId="1" applyNumberFormat="1" applyFill="1" applyBorder="1" applyAlignment="1" applyProtection="1">
      <alignment horizontal="center" vertical="center"/>
      <protection locked="0"/>
    </xf>
    <xf numFmtId="37" fontId="16" fillId="2" borderId="2" xfId="1" applyNumberFormat="1" applyFill="1" applyBorder="1" applyAlignment="1" applyProtection="1">
      <alignment horizontal="center" vertical="center"/>
      <protection locked="0"/>
    </xf>
    <xf numFmtId="37" fontId="16" fillId="2" borderId="53" xfId="1" applyNumberFormat="1" applyFill="1" applyBorder="1" applyAlignment="1" applyProtection="1">
      <alignment horizontal="center" vertical="center"/>
      <protection locked="0"/>
    </xf>
    <xf numFmtId="0" fontId="16" fillId="2" borderId="15" xfId="0" applyFont="1" applyFill="1" applyBorder="1" applyAlignment="1" applyProtection="1">
      <alignment horizontal="center" vertical="center"/>
    </xf>
    <xf numFmtId="0" fontId="16" fillId="2" borderId="2" xfId="0" applyFont="1" applyFill="1" applyBorder="1" applyAlignment="1" applyProtection="1">
      <alignment horizontal="center" vertical="center"/>
    </xf>
    <xf numFmtId="0" fontId="16" fillId="2" borderId="53" xfId="0" applyFont="1" applyFill="1" applyBorder="1" applyAlignment="1" applyProtection="1">
      <alignment horizontal="center" vertical="center"/>
    </xf>
    <xf numFmtId="0" fontId="16" fillId="2" borderId="15" xfId="0" applyFont="1" applyFill="1" applyBorder="1" applyAlignment="1" applyProtection="1">
      <alignment horizontal="center" vertical="center"/>
      <protection locked="0"/>
    </xf>
    <xf numFmtId="0" fontId="16" fillId="2" borderId="53" xfId="0" applyFont="1" applyFill="1" applyBorder="1" applyAlignment="1" applyProtection="1">
      <alignment horizontal="center" vertical="center"/>
      <protection locked="0"/>
    </xf>
    <xf numFmtId="0" fontId="25" fillId="5" borderId="66" xfId="0" applyFont="1" applyFill="1" applyBorder="1" applyAlignment="1" applyProtection="1">
      <alignment horizontal="center" vertical="center" wrapText="1"/>
      <protection locked="0"/>
    </xf>
    <xf numFmtId="0" fontId="25" fillId="5" borderId="36" xfId="0" applyFont="1" applyFill="1" applyBorder="1" applyAlignment="1" applyProtection="1">
      <alignment horizontal="center" vertical="center" wrapText="1"/>
      <protection locked="0"/>
    </xf>
    <xf numFmtId="0" fontId="43" fillId="4" borderId="52" xfId="0" applyFont="1" applyFill="1" applyBorder="1" applyAlignment="1" applyProtection="1">
      <alignment horizontal="center" vertical="center"/>
      <protection locked="0"/>
    </xf>
    <xf numFmtId="0" fontId="43" fillId="4" borderId="36" xfId="0" applyFont="1" applyFill="1" applyBorder="1" applyAlignment="1" applyProtection="1">
      <alignment horizontal="center" vertical="center"/>
      <protection locked="0"/>
    </xf>
    <xf numFmtId="0" fontId="43" fillId="4" borderId="37" xfId="0" applyFont="1" applyFill="1" applyBorder="1" applyAlignment="1" applyProtection="1">
      <alignment horizontal="center" vertical="center"/>
      <protection locked="0"/>
    </xf>
    <xf numFmtId="0" fontId="16" fillId="0" borderId="56" xfId="0" applyFont="1" applyBorder="1" applyAlignment="1" applyProtection="1">
      <alignment horizontal="center" vertical="center" wrapText="1"/>
      <protection locked="0"/>
    </xf>
    <xf numFmtId="0" fontId="16" fillId="0" borderId="39" xfId="0" applyFont="1" applyBorder="1" applyAlignment="1" applyProtection="1">
      <alignment horizontal="center" vertical="center"/>
      <protection locked="0"/>
    </xf>
    <xf numFmtId="0" fontId="16" fillId="0" borderId="40" xfId="0" applyFont="1" applyBorder="1" applyAlignment="1" applyProtection="1">
      <alignment horizontal="center" vertical="center"/>
      <protection locked="0"/>
    </xf>
    <xf numFmtId="0" fontId="50" fillId="39" borderId="47" xfId="0" applyFont="1" applyFill="1" applyBorder="1" applyAlignment="1" applyProtection="1">
      <alignment horizontal="center" vertical="center"/>
      <protection locked="0"/>
    </xf>
    <xf numFmtId="0" fontId="50" fillId="39" borderId="49" xfId="0" applyFont="1" applyFill="1" applyBorder="1" applyAlignment="1" applyProtection="1">
      <alignment horizontal="center" vertical="center"/>
      <protection locked="0"/>
    </xf>
    <xf numFmtId="0" fontId="17" fillId="0" borderId="21" xfId="0" applyFont="1" applyBorder="1" applyAlignment="1" applyProtection="1">
      <alignment horizontal="center" vertical="center"/>
    </xf>
    <xf numFmtId="0" fontId="17" fillId="0" borderId="32" xfId="0" applyFont="1" applyBorder="1" applyAlignment="1" applyProtection="1">
      <alignment horizontal="center" vertical="center"/>
    </xf>
    <xf numFmtId="0" fontId="17" fillId="0" borderId="48" xfId="0" applyFont="1" applyBorder="1" applyAlignment="1" applyProtection="1">
      <alignment horizontal="center" vertical="center"/>
    </xf>
    <xf numFmtId="170" fontId="50" fillId="39" borderId="1" xfId="0" applyNumberFormat="1" applyFont="1" applyFill="1" applyBorder="1" applyAlignment="1" applyProtection="1">
      <alignment horizontal="center" vertical="center"/>
      <protection locked="0"/>
    </xf>
    <xf numFmtId="0" fontId="50" fillId="0" borderId="38" xfId="0" applyFont="1" applyBorder="1" applyAlignment="1" applyProtection="1">
      <alignment horizontal="center" vertical="center"/>
      <protection locked="0"/>
    </xf>
    <xf numFmtId="0" fontId="50" fillId="0" borderId="39" xfId="0" applyFont="1" applyBorder="1" applyAlignment="1" applyProtection="1">
      <alignment horizontal="center" vertical="center"/>
      <protection locked="0"/>
    </xf>
    <xf numFmtId="0" fontId="50" fillId="0" borderId="40" xfId="0" applyFont="1" applyBorder="1" applyAlignment="1" applyProtection="1">
      <alignment horizontal="center" vertical="center"/>
      <protection locked="0"/>
    </xf>
    <xf numFmtId="0" fontId="50" fillId="39" borderId="13" xfId="0" applyFont="1" applyFill="1" applyBorder="1" applyAlignment="1" applyProtection="1">
      <alignment horizontal="center" vertical="center"/>
      <protection locked="0"/>
    </xf>
    <xf numFmtId="0" fontId="50" fillId="39" borderId="14" xfId="0" applyFont="1" applyFill="1" applyBorder="1" applyAlignment="1" applyProtection="1">
      <alignment horizontal="center" vertical="center"/>
      <protection locked="0"/>
    </xf>
    <xf numFmtId="0" fontId="17" fillId="9" borderId="63" xfId="0" applyFont="1" applyFill="1" applyBorder="1" applyAlignment="1" applyProtection="1">
      <alignment horizontal="center" vertical="center"/>
      <protection locked="0"/>
    </xf>
    <xf numFmtId="0" fontId="17" fillId="9" borderId="60" xfId="0" applyFont="1" applyFill="1" applyBorder="1" applyAlignment="1" applyProtection="1">
      <alignment horizontal="center" vertical="center"/>
      <protection locked="0"/>
    </xf>
    <xf numFmtId="0" fontId="17" fillId="9" borderId="3" xfId="0" applyFont="1" applyFill="1" applyBorder="1" applyAlignment="1" applyProtection="1">
      <alignment horizontal="center" vertical="center"/>
      <protection locked="0"/>
    </xf>
    <xf numFmtId="0" fontId="16" fillId="5" borderId="2" xfId="0" applyFont="1" applyFill="1" applyBorder="1" applyAlignment="1" applyProtection="1">
      <alignment horizontal="center"/>
      <protection locked="0"/>
    </xf>
    <xf numFmtId="0" fontId="16" fillId="5" borderId="53" xfId="0" applyFont="1" applyFill="1" applyBorder="1" applyAlignment="1" applyProtection="1">
      <alignment horizontal="center"/>
      <protection locked="0"/>
    </xf>
    <xf numFmtId="0" fontId="17" fillId="9" borderId="1" xfId="0" applyFont="1" applyFill="1" applyBorder="1" applyAlignment="1" applyProtection="1">
      <alignment horizontal="left" vertical="center"/>
      <protection locked="0"/>
    </xf>
    <xf numFmtId="0" fontId="17" fillId="9" borderId="15" xfId="0" applyFont="1" applyFill="1" applyBorder="1" applyAlignment="1" applyProtection="1">
      <alignment horizontal="left" vertical="center"/>
      <protection locked="0"/>
    </xf>
    <xf numFmtId="0" fontId="17" fillId="9" borderId="16" xfId="0" applyFont="1" applyFill="1" applyBorder="1" applyAlignment="1" applyProtection="1">
      <alignment horizontal="left" vertical="center"/>
      <protection locked="0"/>
    </xf>
    <xf numFmtId="0" fontId="17" fillId="4" borderId="15" xfId="5" applyFont="1" applyFill="1" applyBorder="1" applyAlignment="1" applyProtection="1">
      <alignment horizontal="center" vertical="center" wrapText="1"/>
      <protection locked="0"/>
    </xf>
    <xf numFmtId="0" fontId="17" fillId="4" borderId="2" xfId="5" applyFont="1" applyFill="1" applyBorder="1" applyAlignment="1" applyProtection="1">
      <alignment horizontal="center" vertical="center" wrapText="1"/>
      <protection locked="0"/>
    </xf>
    <xf numFmtId="0" fontId="75" fillId="19" borderId="1" xfId="0" applyFont="1" applyFill="1" applyBorder="1" applyAlignment="1" applyProtection="1">
      <alignment vertical="center" wrapText="1"/>
      <protection locked="0"/>
    </xf>
    <xf numFmtId="0" fontId="16" fillId="4" borderId="15" xfId="5" applyFont="1" applyFill="1" applyBorder="1" applyAlignment="1" applyProtection="1">
      <alignment horizontal="center" vertical="center"/>
      <protection locked="0"/>
    </xf>
    <xf numFmtId="0" fontId="16" fillId="4" borderId="16" xfId="5" applyFont="1" applyFill="1" applyBorder="1" applyAlignment="1" applyProtection="1">
      <alignment horizontal="center" vertical="center"/>
      <protection locked="0"/>
    </xf>
    <xf numFmtId="0" fontId="118" fillId="5" borderId="58" xfId="0" applyFont="1" applyFill="1" applyBorder="1" applyAlignment="1" applyProtection="1">
      <alignment horizontal="center" vertical="center"/>
    </xf>
    <xf numFmtId="0" fontId="118" fillId="5" borderId="54" xfId="0" applyFont="1" applyFill="1" applyBorder="1" applyAlignment="1" applyProtection="1">
      <alignment horizontal="center" vertical="center"/>
    </xf>
    <xf numFmtId="0" fontId="118" fillId="5" borderId="55" xfId="0" applyFont="1" applyFill="1" applyBorder="1" applyAlignment="1" applyProtection="1">
      <alignment horizontal="center" vertical="center"/>
    </xf>
    <xf numFmtId="0" fontId="47" fillId="0" borderId="76" xfId="0" applyFont="1" applyBorder="1" applyAlignment="1" applyProtection="1">
      <alignment horizontal="left" vertical="center"/>
    </xf>
    <xf numFmtId="0" fontId="47" fillId="0" borderId="109" xfId="0" applyFont="1" applyBorder="1" applyAlignment="1" applyProtection="1">
      <alignment horizontal="left" vertical="center"/>
    </xf>
    <xf numFmtId="0" fontId="124" fillId="0" borderId="108" xfId="0" applyFont="1" applyBorder="1" applyAlignment="1" applyProtection="1">
      <alignment horizontal="center" vertical="center"/>
      <protection locked="0"/>
    </xf>
    <xf numFmtId="0" fontId="124" fillId="0" borderId="76" xfId="0" applyFont="1" applyBorder="1" applyAlignment="1" applyProtection="1">
      <alignment horizontal="center" vertical="center"/>
      <protection locked="0"/>
    </xf>
    <xf numFmtId="0" fontId="124" fillId="0" borderId="109" xfId="0" applyFont="1" applyBorder="1" applyAlignment="1" applyProtection="1">
      <alignment horizontal="center" vertical="center"/>
      <protection locked="0"/>
    </xf>
    <xf numFmtId="0" fontId="124" fillId="17" borderId="112" xfId="0" applyFont="1" applyFill="1" applyBorder="1" applyAlignment="1" applyProtection="1">
      <alignment horizontal="center" vertical="top" wrapText="1"/>
      <protection locked="0"/>
    </xf>
    <xf numFmtId="0" fontId="124" fillId="17" borderId="78" xfId="0" applyFont="1" applyFill="1" applyBorder="1" applyAlignment="1" applyProtection="1">
      <alignment horizontal="center" vertical="top" wrapText="1"/>
      <protection locked="0"/>
    </xf>
    <xf numFmtId="0" fontId="124" fillId="2" borderId="1" xfId="0" applyFont="1" applyFill="1" applyBorder="1" applyAlignment="1" applyProtection="1">
      <alignment horizontal="center"/>
      <protection locked="0"/>
    </xf>
    <xf numFmtId="0" fontId="122" fillId="4" borderId="116" xfId="0" applyFont="1" applyFill="1" applyBorder="1" applyAlignment="1" applyProtection="1">
      <alignment horizontal="center"/>
      <protection locked="0"/>
    </xf>
    <xf numFmtId="0" fontId="122" fillId="4" borderId="117" xfId="0" applyFont="1" applyFill="1" applyBorder="1" applyAlignment="1" applyProtection="1">
      <alignment horizontal="center"/>
      <protection locked="0"/>
    </xf>
    <xf numFmtId="0" fontId="125" fillId="2" borderId="0" xfId="0" applyFont="1" applyFill="1" applyBorder="1" applyAlignment="1" applyProtection="1">
      <alignment horizontal="center" vertical="center"/>
      <protection locked="0"/>
    </xf>
    <xf numFmtId="0" fontId="125" fillId="2" borderId="0" xfId="0" applyFont="1" applyFill="1" applyAlignment="1" applyProtection="1">
      <alignment horizontal="center" vertical="center"/>
      <protection locked="0"/>
    </xf>
    <xf numFmtId="0" fontId="17" fillId="33" borderId="51" xfId="0" applyFont="1" applyFill="1" applyBorder="1" applyAlignment="1" applyProtection="1">
      <alignment horizontal="center" vertical="center" textRotation="90" wrapText="1"/>
      <protection locked="0"/>
    </xf>
    <xf numFmtId="0" fontId="124" fillId="17" borderId="113" xfId="0" applyFont="1" applyFill="1" applyBorder="1" applyAlignment="1" applyProtection="1">
      <alignment horizontal="center" vertical="top" wrapText="1"/>
      <protection locked="0"/>
    </xf>
    <xf numFmtId="0" fontId="124" fillId="17" borderId="114" xfId="0" applyFont="1" applyFill="1" applyBorder="1" applyAlignment="1" applyProtection="1">
      <alignment horizontal="center" vertical="top" wrapText="1"/>
      <protection locked="0"/>
    </xf>
    <xf numFmtId="0" fontId="47" fillId="0" borderId="76" xfId="0" applyFont="1" applyFill="1" applyBorder="1" applyAlignment="1" applyProtection="1">
      <alignment horizontal="left" vertical="center"/>
    </xf>
    <xf numFmtId="0" fontId="47" fillId="0" borderId="109" xfId="0" applyFont="1" applyFill="1" applyBorder="1" applyAlignment="1" applyProtection="1">
      <alignment horizontal="left" vertical="center"/>
    </xf>
    <xf numFmtId="0" fontId="124" fillId="0" borderId="108" xfId="0" applyFont="1" applyFill="1" applyBorder="1" applyAlignment="1" applyProtection="1">
      <alignment horizontal="center" vertical="center"/>
      <protection locked="0"/>
    </xf>
    <xf numFmtId="0" fontId="124" fillId="0" borderId="76" xfId="0" applyFont="1" applyFill="1" applyBorder="1" applyAlignment="1" applyProtection="1">
      <alignment horizontal="center" vertical="center"/>
      <protection locked="0"/>
    </xf>
    <xf numFmtId="0" fontId="124" fillId="0" borderId="109" xfId="0" applyFont="1" applyFill="1" applyBorder="1" applyAlignment="1" applyProtection="1">
      <alignment horizontal="center" vertical="center"/>
      <protection locked="0"/>
    </xf>
    <xf numFmtId="0" fontId="17" fillId="16" borderId="105" xfId="0" applyFont="1" applyFill="1" applyBorder="1" applyAlignment="1" applyProtection="1">
      <alignment horizontal="center" vertical="center" textRotation="90" wrapText="1"/>
      <protection locked="0"/>
    </xf>
    <xf numFmtId="0" fontId="17" fillId="32" borderId="106" xfId="0" applyFont="1" applyFill="1" applyBorder="1" applyAlignment="1" applyProtection="1">
      <alignment horizontal="center" vertical="center" textRotation="90" wrapText="1"/>
      <protection locked="0"/>
    </xf>
    <xf numFmtId="0" fontId="17" fillId="32" borderId="107" xfId="0" applyFont="1" applyFill="1" applyBorder="1" applyAlignment="1" applyProtection="1">
      <alignment horizontal="center" vertical="center" textRotation="90" wrapText="1"/>
      <protection locked="0"/>
    </xf>
    <xf numFmtId="0" fontId="122" fillId="4" borderId="118" xfId="0" applyFont="1" applyFill="1" applyBorder="1" applyAlignment="1" applyProtection="1">
      <alignment horizontal="center"/>
      <protection locked="0"/>
    </xf>
    <xf numFmtId="0" fontId="110" fillId="4" borderId="2" xfId="0" applyFont="1" applyFill="1" applyBorder="1" applyAlignment="1" applyProtection="1">
      <alignment horizontal="center" vertical="center"/>
    </xf>
    <xf numFmtId="0" fontId="23" fillId="5" borderId="0" xfId="0" applyFont="1" applyFill="1" applyBorder="1" applyAlignment="1" applyProtection="1">
      <alignment horizontal="left" vertical="center"/>
    </xf>
    <xf numFmtId="0" fontId="23" fillId="5" borderId="18" xfId="0" applyFont="1" applyFill="1" applyBorder="1" applyAlignment="1" applyProtection="1">
      <alignment horizontal="left" vertical="center"/>
    </xf>
    <xf numFmtId="0" fontId="23" fillId="5" borderId="18" xfId="0" applyFont="1" applyFill="1" applyBorder="1" applyAlignment="1" applyProtection="1">
      <alignment horizontal="center" vertical="center"/>
    </xf>
    <xf numFmtId="0" fontId="22" fillId="8" borderId="15" xfId="54" applyFont="1" applyFill="1" applyBorder="1" applyAlignment="1" applyProtection="1">
      <alignment horizontal="center" vertical="center"/>
      <protection locked="0"/>
    </xf>
    <xf numFmtId="0" fontId="22" fillId="8" borderId="2" xfId="54" applyFont="1" applyFill="1" applyBorder="1" applyAlignment="1" applyProtection="1">
      <alignment horizontal="center" vertical="center"/>
      <protection locked="0"/>
    </xf>
    <xf numFmtId="0" fontId="90" fillId="0" borderId="1" xfId="54" applyFont="1" applyBorder="1" applyAlignment="1" applyProtection="1">
      <alignment horizontal="left" vertical="center" wrapText="1"/>
      <protection locked="0"/>
    </xf>
    <xf numFmtId="0" fontId="26" fillId="0" borderId="1" xfId="54" applyFont="1" applyBorder="1" applyAlignment="1" applyProtection="1">
      <alignment horizontal="left" vertical="center" wrapText="1"/>
      <protection locked="0"/>
    </xf>
    <xf numFmtId="0" fontId="17" fillId="19" borderId="41" xfId="54" applyFont="1" applyFill="1" applyBorder="1" applyAlignment="1" applyProtection="1">
      <alignment horizontal="left" vertical="center"/>
      <protection locked="0"/>
    </xf>
    <xf numFmtId="0" fontId="17" fillId="19" borderId="0" xfId="54" applyFont="1" applyFill="1" applyAlignment="1" applyProtection="1">
      <alignment horizontal="left" vertical="center"/>
      <protection locked="0"/>
    </xf>
    <xf numFmtId="0" fontId="16" fillId="19" borderId="41" xfId="54" applyFont="1" applyFill="1" applyBorder="1" applyAlignment="1" applyProtection="1">
      <alignment horizontal="center" wrapText="1"/>
      <protection locked="0"/>
    </xf>
    <xf numFmtId="0" fontId="16" fillId="19" borderId="0" xfId="54" applyFont="1" applyFill="1" applyAlignment="1" applyProtection="1">
      <alignment horizontal="center" wrapText="1"/>
      <protection locked="0"/>
    </xf>
    <xf numFmtId="0" fontId="16" fillId="19" borderId="41" xfId="54" applyFont="1" applyFill="1" applyBorder="1" applyAlignment="1" applyProtection="1">
      <alignment horizontal="center" vertical="center" wrapText="1"/>
      <protection locked="0"/>
    </xf>
    <xf numFmtId="0" fontId="16" fillId="19" borderId="0" xfId="54" applyFont="1" applyFill="1" applyAlignment="1" applyProtection="1">
      <alignment horizontal="center" vertical="center" wrapText="1"/>
      <protection locked="0"/>
    </xf>
    <xf numFmtId="0" fontId="16" fillId="19" borderId="41" xfId="54" applyFont="1" applyFill="1" applyBorder="1" applyAlignment="1">
      <alignment horizontal="center" wrapText="1"/>
    </xf>
    <xf numFmtId="0" fontId="16" fillId="19" borderId="0" xfId="54" applyFont="1" applyFill="1" applyAlignment="1">
      <alignment horizontal="center" wrapText="1"/>
    </xf>
    <xf numFmtId="0" fontId="26" fillId="0" borderId="15" xfId="54" applyFont="1" applyBorder="1" applyAlignment="1" applyProtection="1">
      <alignment horizontal="left" vertical="center"/>
      <protection locked="0"/>
    </xf>
    <xf numFmtId="0" fontId="26" fillId="0" borderId="2" xfId="54" applyFont="1" applyBorder="1" applyAlignment="1" applyProtection="1">
      <alignment horizontal="left" vertical="center"/>
      <protection locked="0"/>
    </xf>
    <xf numFmtId="0" fontId="26" fillId="0" borderId="16" xfId="54" applyFont="1" applyBorder="1" applyAlignment="1" applyProtection="1">
      <alignment horizontal="left" vertical="center"/>
      <protection locked="0"/>
    </xf>
    <xf numFmtId="0" fontId="16" fillId="19" borderId="41" xfId="54" applyFont="1" applyFill="1" applyBorder="1" applyAlignment="1" applyProtection="1">
      <alignment horizontal="center" vertical="center"/>
      <protection locked="0"/>
    </xf>
    <xf numFmtId="0" fontId="16" fillId="19" borderId="0" xfId="54" applyFont="1" applyFill="1" applyAlignment="1" applyProtection="1">
      <alignment horizontal="center" vertical="center"/>
      <protection locked="0"/>
    </xf>
    <xf numFmtId="0" fontId="26" fillId="9" borderId="1" xfId="54" applyFont="1" applyFill="1" applyBorder="1" applyAlignment="1" applyProtection="1">
      <alignment horizontal="left" vertical="center" wrapText="1"/>
      <protection locked="0"/>
    </xf>
    <xf numFmtId="0" fontId="22" fillId="8" borderId="15" xfId="54" applyFont="1" applyFill="1" applyBorder="1" applyAlignment="1" applyProtection="1">
      <alignment horizontal="center" vertical="center" wrapText="1"/>
      <protection locked="0"/>
    </xf>
    <xf numFmtId="0" fontId="22" fillId="8" borderId="2" xfId="54" applyFont="1" applyFill="1" applyBorder="1" applyAlignment="1" applyProtection="1">
      <alignment horizontal="center" vertical="center" wrapText="1"/>
      <protection locked="0"/>
    </xf>
    <xf numFmtId="0" fontId="26" fillId="9" borderId="15" xfId="54" applyFont="1" applyFill="1" applyBorder="1" applyAlignment="1" applyProtection="1">
      <alignment horizontal="left" vertical="center" wrapText="1"/>
      <protection locked="0"/>
    </xf>
    <xf numFmtId="0" fontId="26" fillId="9" borderId="2" xfId="54" applyFont="1" applyFill="1" applyBorder="1" applyAlignment="1" applyProtection="1">
      <alignment horizontal="left" vertical="center" wrapText="1"/>
      <protection locked="0"/>
    </xf>
    <xf numFmtId="0" fontId="16" fillId="21" borderId="41" xfId="54" applyFont="1" applyFill="1" applyBorder="1" applyAlignment="1" applyProtection="1">
      <alignment horizontal="center" vertical="center" wrapText="1"/>
      <protection locked="0"/>
    </xf>
    <xf numFmtId="0" fontId="16" fillId="21" borderId="0" xfId="54" applyFont="1" applyFill="1" applyAlignment="1" applyProtection="1">
      <alignment horizontal="center" vertical="center" wrapText="1"/>
      <protection locked="0"/>
    </xf>
    <xf numFmtId="0" fontId="26" fillId="9" borderId="15" xfId="54" applyFont="1" applyFill="1" applyBorder="1" applyAlignment="1" applyProtection="1">
      <alignment horizontal="center" vertical="center" wrapText="1"/>
      <protection locked="0"/>
    </xf>
    <xf numFmtId="0" fontId="26" fillId="9" borderId="2" xfId="54" applyFont="1" applyFill="1" applyBorder="1" applyAlignment="1" applyProtection="1">
      <alignment horizontal="center" vertical="center" wrapText="1"/>
      <protection locked="0"/>
    </xf>
    <xf numFmtId="0" fontId="26" fillId="9" borderId="16" xfId="54" applyFont="1" applyFill="1" applyBorder="1" applyAlignment="1" applyProtection="1">
      <alignment horizontal="center" vertical="center" wrapText="1"/>
      <protection locked="0"/>
    </xf>
    <xf numFmtId="0" fontId="22" fillId="8" borderId="1" xfId="54" applyFont="1" applyFill="1" applyBorder="1" applyAlignment="1" applyProtection="1">
      <alignment horizontal="center" vertical="center"/>
      <protection locked="0"/>
    </xf>
    <xf numFmtId="0" fontId="26" fillId="9" borderId="16" xfId="54" applyFont="1" applyFill="1" applyBorder="1" applyAlignment="1" applyProtection="1">
      <alignment horizontal="left" vertical="center" wrapText="1"/>
      <protection locked="0"/>
    </xf>
    <xf numFmtId="0" fontId="12" fillId="0" borderId="16" xfId="54" applyBorder="1" applyAlignment="1" applyProtection="1">
      <alignment horizontal="left" vertical="center" wrapText="1"/>
      <protection locked="0"/>
    </xf>
    <xf numFmtId="0" fontId="27" fillId="5" borderId="1" xfId="54" applyFont="1" applyFill="1" applyBorder="1" applyAlignment="1" applyProtection="1">
      <alignment horizontal="center" vertical="center" wrapText="1"/>
    </xf>
    <xf numFmtId="0" fontId="23" fillId="5" borderId="1" xfId="54" applyFont="1" applyFill="1" applyBorder="1" applyAlignment="1" applyProtection="1">
      <alignment horizontal="center" vertical="center"/>
      <protection locked="0"/>
    </xf>
    <xf numFmtId="0" fontId="27" fillId="19" borderId="0" xfId="54" applyFont="1" applyFill="1" applyAlignment="1" applyProtection="1">
      <alignment horizontal="center" vertical="center" wrapText="1"/>
      <protection locked="0"/>
    </xf>
    <xf numFmtId="0" fontId="22" fillId="0" borderId="1" xfId="54" applyFont="1" applyBorder="1" applyAlignment="1" applyProtection="1">
      <alignment horizontal="left" vertical="center"/>
    </xf>
    <xf numFmtId="0" fontId="26" fillId="7" borderId="15" xfId="3" applyFont="1" applyFill="1" applyBorder="1" applyAlignment="1" applyProtection="1">
      <alignment horizontal="center" vertical="center"/>
      <protection locked="0"/>
    </xf>
    <xf numFmtId="0" fontId="26" fillId="7" borderId="2" xfId="3" applyFont="1" applyFill="1" applyBorder="1" applyAlignment="1" applyProtection="1">
      <alignment horizontal="center" vertical="center"/>
      <protection locked="0"/>
    </xf>
    <xf numFmtId="0" fontId="26" fillId="7" borderId="16" xfId="3" applyFont="1" applyFill="1" applyBorder="1" applyAlignment="1" applyProtection="1">
      <alignment horizontal="center" vertical="center"/>
      <protection locked="0"/>
    </xf>
    <xf numFmtId="0" fontId="26" fillId="26" borderId="1" xfId="54" applyFont="1" applyFill="1" applyBorder="1" applyAlignment="1" applyProtection="1">
      <alignment horizontal="left" vertical="center" wrapText="1"/>
      <protection locked="0"/>
    </xf>
    <xf numFmtId="0" fontId="12" fillId="21" borderId="41" xfId="54" applyFill="1" applyBorder="1" applyAlignment="1" applyProtection="1">
      <alignment horizontal="center" vertical="center" wrapText="1"/>
      <protection locked="0"/>
    </xf>
    <xf numFmtId="0" fontId="12" fillId="26" borderId="41" xfId="54" applyFill="1" applyBorder="1" applyAlignment="1">
      <alignment horizontal="center" vertical="center" wrapText="1"/>
    </xf>
    <xf numFmtId="0" fontId="22" fillId="8" borderId="3" xfId="54" applyFont="1" applyFill="1" applyBorder="1" applyAlignment="1" applyProtection="1">
      <alignment horizontal="center" vertical="center"/>
      <protection locked="0"/>
    </xf>
    <xf numFmtId="0" fontId="27" fillId="5" borderId="58" xfId="54" applyFont="1" applyFill="1" applyBorder="1" applyAlignment="1" applyProtection="1">
      <alignment horizontal="center" vertical="center" wrapText="1"/>
    </xf>
    <xf numFmtId="0" fontId="27" fillId="5" borderId="29" xfId="54" applyFont="1" applyFill="1" applyBorder="1" applyAlignment="1" applyProtection="1">
      <alignment horizontal="center" vertical="center" wrapText="1"/>
    </xf>
    <xf numFmtId="0" fontId="23" fillId="5" borderId="55" xfId="54" applyFont="1" applyFill="1" applyBorder="1" applyAlignment="1" applyProtection="1">
      <alignment horizontal="left" vertical="center"/>
      <protection locked="0"/>
    </xf>
    <xf numFmtId="0" fontId="23" fillId="5" borderId="31" xfId="54" applyFont="1" applyFill="1" applyBorder="1" applyAlignment="1" applyProtection="1">
      <alignment horizontal="left" vertical="center"/>
      <protection locked="0"/>
    </xf>
    <xf numFmtId="0" fontId="23" fillId="5" borderId="54" xfId="54" applyFont="1" applyFill="1" applyBorder="1" applyAlignment="1" applyProtection="1">
      <alignment horizontal="center" vertical="center"/>
      <protection locked="0"/>
    </xf>
    <xf numFmtId="0" fontId="23" fillId="5" borderId="30" xfId="54" applyFont="1" applyFill="1" applyBorder="1" applyAlignment="1" applyProtection="1">
      <alignment horizontal="center" vertical="center"/>
      <protection locked="0"/>
    </xf>
    <xf numFmtId="0" fontId="43" fillId="4" borderId="47" xfId="54" applyFont="1" applyFill="1" applyBorder="1" applyAlignment="1" applyProtection="1">
      <alignment horizontal="center" vertical="center" wrapText="1"/>
      <protection locked="0"/>
    </xf>
    <xf numFmtId="0" fontId="43" fillId="4" borderId="32" xfId="54" applyFont="1" applyFill="1" applyBorder="1" applyAlignment="1" applyProtection="1">
      <alignment horizontal="center" vertical="center" wrapText="1"/>
      <protection locked="0"/>
    </xf>
    <xf numFmtId="0" fontId="43" fillId="4" borderId="48" xfId="54" applyFont="1" applyFill="1" applyBorder="1" applyAlignment="1" applyProtection="1">
      <alignment horizontal="center" vertical="center" wrapText="1"/>
      <protection locked="0"/>
    </xf>
    <xf numFmtId="165" fontId="17" fillId="11" borderId="3" xfId="56" applyNumberFormat="1" applyFont="1" applyFill="1" applyBorder="1" applyAlignment="1" applyProtection="1">
      <alignment horizontal="center" vertical="center"/>
      <protection locked="0"/>
    </xf>
    <xf numFmtId="165" fontId="17" fillId="11" borderId="11" xfId="56" applyNumberFormat="1" applyFont="1" applyFill="1" applyBorder="1" applyAlignment="1" applyProtection="1">
      <alignment horizontal="center" vertical="center"/>
      <protection locked="0"/>
    </xf>
    <xf numFmtId="0" fontId="43" fillId="0" borderId="1" xfId="54" applyFont="1" applyBorder="1" applyAlignment="1" applyProtection="1">
      <alignment horizontal="center"/>
      <protection locked="0"/>
    </xf>
    <xf numFmtId="0" fontId="43" fillId="0" borderId="6" xfId="54" applyFont="1" applyBorder="1" applyAlignment="1" applyProtection="1">
      <alignment horizontal="center"/>
      <protection locked="0"/>
    </xf>
    <xf numFmtId="9" fontId="16" fillId="0" borderId="1" xfId="55" applyFont="1" applyFill="1" applyBorder="1" applyAlignment="1" applyProtection="1">
      <alignment horizontal="center"/>
      <protection locked="0"/>
    </xf>
    <xf numFmtId="9" fontId="16" fillId="0" borderId="6" xfId="55" applyFont="1" applyFill="1" applyBorder="1" applyAlignment="1" applyProtection="1">
      <alignment horizontal="center"/>
      <protection locked="0"/>
    </xf>
    <xf numFmtId="165" fontId="17" fillId="11" borderId="5" xfId="56" applyNumberFormat="1" applyFont="1" applyFill="1" applyBorder="1" applyAlignment="1" applyProtection="1">
      <alignment horizontal="center" vertical="center"/>
      <protection locked="0"/>
    </xf>
    <xf numFmtId="165" fontId="17" fillId="11" borderId="1" xfId="56" applyNumberFormat="1" applyFont="1" applyFill="1" applyBorder="1" applyAlignment="1" applyProtection="1">
      <alignment horizontal="center" vertical="center"/>
      <protection locked="0"/>
    </xf>
    <xf numFmtId="165" fontId="17" fillId="11" borderId="6" xfId="56" applyNumberFormat="1" applyFont="1" applyFill="1" applyBorder="1" applyAlignment="1" applyProtection="1">
      <alignment horizontal="center" vertical="center"/>
      <protection locked="0"/>
    </xf>
    <xf numFmtId="0" fontId="43" fillId="0" borderId="5" xfId="54" applyFont="1" applyBorder="1" applyAlignment="1" applyProtection="1">
      <alignment horizontal="center" vertical="center" wrapText="1"/>
      <protection locked="0"/>
    </xf>
    <xf numFmtId="0" fontId="43" fillId="0" borderId="1" xfId="54" applyFont="1" applyBorder="1" applyAlignment="1" applyProtection="1">
      <alignment horizontal="center" vertical="center" wrapText="1"/>
      <protection locked="0"/>
    </xf>
    <xf numFmtId="0" fontId="16" fillId="0" borderId="1" xfId="54" applyFont="1" applyBorder="1" applyAlignment="1" applyProtection="1">
      <alignment horizontal="center" vertical="center"/>
      <protection locked="0"/>
    </xf>
    <xf numFmtId="0" fontId="43" fillId="0" borderId="6" xfId="54" applyFont="1" applyBorder="1" applyAlignment="1" applyProtection="1">
      <alignment horizontal="center" vertical="center"/>
      <protection locked="0"/>
    </xf>
    <xf numFmtId="17" fontId="43" fillId="0" borderId="5" xfId="54" applyNumberFormat="1" applyFont="1" applyBorder="1" applyAlignment="1" applyProtection="1">
      <alignment horizontal="center" vertical="center"/>
    </xf>
    <xf numFmtId="0" fontId="43" fillId="0" borderId="1" xfId="54" applyFont="1" applyBorder="1" applyAlignment="1" applyProtection="1">
      <alignment horizontal="center" vertical="center"/>
    </xf>
    <xf numFmtId="0" fontId="16" fillId="0" borderId="1" xfId="87" applyFont="1" applyBorder="1" applyAlignment="1" applyProtection="1">
      <alignment horizontal="center"/>
      <protection locked="0"/>
    </xf>
    <xf numFmtId="0" fontId="43" fillId="0" borderId="6" xfId="87" applyFont="1" applyBorder="1" applyAlignment="1" applyProtection="1">
      <alignment horizontal="center"/>
      <protection locked="0"/>
    </xf>
    <xf numFmtId="0" fontId="43" fillId="0" borderId="1" xfId="87" applyFont="1" applyBorder="1" applyAlignment="1" applyProtection="1">
      <alignment horizontal="center"/>
      <protection locked="0"/>
    </xf>
    <xf numFmtId="0" fontId="43" fillId="0" borderId="5" xfId="54" applyFont="1" applyBorder="1" applyAlignment="1" applyProtection="1">
      <alignment horizontal="center" wrapText="1"/>
      <protection locked="0"/>
    </xf>
    <xf numFmtId="0" fontId="43" fillId="0" borderId="1" xfId="54" applyFont="1" applyBorder="1" applyAlignment="1" applyProtection="1">
      <alignment horizontal="center" wrapText="1"/>
      <protection locked="0"/>
    </xf>
    <xf numFmtId="3" fontId="43" fillId="42" borderId="1" xfId="54" applyNumberFormat="1" applyFont="1" applyFill="1" applyBorder="1" applyAlignment="1" applyProtection="1">
      <alignment horizontal="center"/>
    </xf>
    <xf numFmtId="3" fontId="43" fillId="42" borderId="6" xfId="54" applyNumberFormat="1" applyFont="1" applyFill="1" applyBorder="1" applyAlignment="1" applyProtection="1">
      <alignment horizontal="center"/>
    </xf>
    <xf numFmtId="0" fontId="43" fillId="0" borderId="5" xfId="54" applyFont="1" applyBorder="1" applyAlignment="1" applyProtection="1">
      <alignment horizontal="center"/>
      <protection locked="0"/>
    </xf>
    <xf numFmtId="0" fontId="43" fillId="42" borderId="1" xfId="54" applyFont="1" applyFill="1" applyBorder="1" applyAlignment="1" applyProtection="1">
      <alignment horizontal="center"/>
    </xf>
    <xf numFmtId="0" fontId="43" fillId="42" borderId="6" xfId="54" applyFont="1" applyFill="1" applyBorder="1" applyAlignment="1" applyProtection="1">
      <alignment horizontal="center"/>
    </xf>
    <xf numFmtId="0" fontId="43" fillId="21" borderId="1" xfId="54" applyFont="1" applyFill="1" applyBorder="1" applyAlignment="1" applyProtection="1">
      <alignment horizontal="center"/>
      <protection locked="0"/>
    </xf>
    <xf numFmtId="0" fontId="43" fillId="21" borderId="6" xfId="54" applyFont="1" applyFill="1" applyBorder="1" applyAlignment="1" applyProtection="1">
      <alignment horizontal="center"/>
      <protection locked="0"/>
    </xf>
    <xf numFmtId="0" fontId="0" fillId="0" borderId="15" xfId="0" applyBorder="1" applyAlignment="1" applyProtection="1">
      <alignment horizontal="center" wrapText="1"/>
      <protection locked="0"/>
    </xf>
    <xf numFmtId="0" fontId="0" fillId="0" borderId="16" xfId="0" applyBorder="1" applyAlignment="1" applyProtection="1">
      <alignment horizontal="center" wrapText="1"/>
      <protection locked="0"/>
    </xf>
    <xf numFmtId="0" fontId="0" fillId="21" borderId="15" xfId="0" applyFill="1" applyBorder="1" applyAlignment="1" applyProtection="1">
      <alignment horizontal="center"/>
      <protection locked="0"/>
    </xf>
    <xf numFmtId="0" fontId="0" fillId="21" borderId="16" xfId="0" applyFill="1" applyBorder="1" applyAlignment="1" applyProtection="1">
      <alignment horizontal="center"/>
      <protection locked="0"/>
    </xf>
    <xf numFmtId="0" fontId="22" fillId="11" borderId="52" xfId="0" applyFont="1" applyFill="1" applyBorder="1" applyAlignment="1" applyProtection="1">
      <alignment horizontal="center"/>
      <protection locked="0"/>
    </xf>
    <xf numFmtId="0" fontId="22" fillId="11" borderId="36" xfId="0" applyFont="1" applyFill="1" applyBorder="1" applyAlignment="1" applyProtection="1">
      <alignment horizontal="center"/>
      <protection locked="0"/>
    </xf>
    <xf numFmtId="0" fontId="22" fillId="11" borderId="37" xfId="0" applyFont="1" applyFill="1" applyBorder="1" applyAlignment="1" applyProtection="1">
      <alignment horizontal="center"/>
      <protection locked="0"/>
    </xf>
    <xf numFmtId="0" fontId="17" fillId="0" borderId="47" xfId="0" applyFont="1" applyBorder="1" applyAlignment="1" applyProtection="1">
      <alignment horizontal="right"/>
      <protection locked="0"/>
    </xf>
    <xf numFmtId="0" fontId="17" fillId="0" borderId="32" xfId="0" applyFont="1" applyBorder="1" applyAlignment="1" applyProtection="1">
      <alignment horizontal="right"/>
      <protection locked="0"/>
    </xf>
    <xf numFmtId="0" fontId="17" fillId="0" borderId="48" xfId="0" applyFont="1" applyBorder="1" applyAlignment="1" applyProtection="1">
      <alignment horizontal="right"/>
      <protection locked="0"/>
    </xf>
    <xf numFmtId="0" fontId="16" fillId="0" borderId="38" xfId="0" applyFont="1" applyBorder="1" applyAlignment="1" applyProtection="1">
      <alignment horizontal="center" vertical="center"/>
      <protection locked="0"/>
    </xf>
    <xf numFmtId="0" fontId="17" fillId="0" borderId="23" xfId="41" applyFont="1" applyBorder="1" applyAlignment="1" applyProtection="1">
      <alignment horizontal="center" vertical="center" wrapText="1"/>
      <protection locked="0"/>
    </xf>
    <xf numFmtId="0" fontId="17" fillId="0" borderId="2" xfId="41" applyFont="1" applyBorder="1" applyAlignment="1" applyProtection="1">
      <alignment horizontal="center" vertical="center" wrapText="1"/>
      <protection locked="0"/>
    </xf>
    <xf numFmtId="0" fontId="17" fillId="0" borderId="16" xfId="41" applyFont="1" applyBorder="1" applyAlignment="1" applyProtection="1">
      <alignment horizontal="center" vertical="center" wrapText="1"/>
      <protection locked="0"/>
    </xf>
    <xf numFmtId="0" fontId="17" fillId="0" borderId="15" xfId="41" applyFont="1" applyBorder="1" applyAlignment="1" applyProtection="1">
      <alignment horizontal="center" vertical="center" wrapText="1"/>
      <protection locked="0"/>
    </xf>
    <xf numFmtId="0" fontId="16" fillId="0" borderId="53" xfId="41" applyFont="1" applyBorder="1" applyAlignment="1" applyProtection="1">
      <alignment horizontal="left" vertical="center" wrapText="1"/>
      <protection locked="0"/>
    </xf>
    <xf numFmtId="0" fontId="16" fillId="19" borderId="57" xfId="16" applyFont="1" applyFill="1" applyBorder="1" applyAlignment="1" applyProtection="1">
      <alignment horizontal="left"/>
      <protection locked="0"/>
    </xf>
    <xf numFmtId="0" fontId="16" fillId="19" borderId="19" xfId="16" applyFont="1" applyFill="1" applyBorder="1" applyAlignment="1" applyProtection="1">
      <alignment horizontal="left"/>
      <protection locked="0"/>
    </xf>
    <xf numFmtId="0" fontId="21" fillId="0" borderId="17" xfId="54" applyFont="1" applyBorder="1" applyAlignment="1" applyProtection="1">
      <alignment horizontal="center"/>
    </xf>
    <xf numFmtId="0" fontId="21" fillId="0" borderId="18" xfId="54" applyFont="1" applyBorder="1" applyAlignment="1" applyProtection="1">
      <alignment horizontal="center"/>
    </xf>
    <xf numFmtId="0" fontId="21" fillId="0" borderId="19" xfId="54" applyFont="1" applyBorder="1" applyAlignment="1" applyProtection="1">
      <alignment horizontal="center"/>
    </xf>
    <xf numFmtId="0" fontId="21" fillId="0" borderId="15" xfId="54" applyFont="1" applyBorder="1" applyAlignment="1" applyProtection="1">
      <alignment horizontal="center"/>
    </xf>
    <xf numFmtId="0" fontId="21" fillId="0" borderId="2" xfId="54" applyFont="1" applyBorder="1" applyAlignment="1" applyProtection="1">
      <alignment horizontal="center"/>
    </xf>
    <xf numFmtId="0" fontId="21" fillId="0" borderId="16" xfId="54" applyFont="1" applyBorder="1" applyAlignment="1" applyProtection="1">
      <alignment horizontal="center"/>
    </xf>
    <xf numFmtId="0" fontId="22" fillId="0" borderId="57" xfId="54" applyFont="1" applyBorder="1" applyAlignment="1" applyProtection="1">
      <alignment horizontal="center"/>
      <protection locked="0"/>
    </xf>
    <xf numFmtId="0" fontId="22" fillId="0" borderId="18" xfId="54" applyFont="1" applyBorder="1" applyAlignment="1" applyProtection="1">
      <alignment horizontal="center"/>
      <protection locked="0"/>
    </xf>
    <xf numFmtId="0" fontId="17" fillId="0" borderId="5" xfId="54" applyFont="1" applyBorder="1" applyAlignment="1" applyProtection="1">
      <alignment horizontal="left"/>
      <protection locked="0"/>
    </xf>
    <xf numFmtId="0" fontId="17" fillId="0" borderId="1" xfId="54" applyFont="1" applyBorder="1" applyAlignment="1" applyProtection="1">
      <alignment horizontal="left"/>
      <protection locked="0"/>
    </xf>
    <xf numFmtId="0" fontId="89" fillId="0" borderId="1" xfId="54" applyFont="1" applyBorder="1" applyAlignment="1" applyProtection="1">
      <alignment horizontal="left"/>
      <protection locked="0"/>
    </xf>
    <xf numFmtId="0" fontId="17" fillId="17" borderId="5" xfId="41" applyFont="1" applyFill="1" applyBorder="1" applyAlignment="1" applyProtection="1">
      <alignment horizontal="center" vertical="center" wrapText="1"/>
      <protection locked="0"/>
    </xf>
    <xf numFmtId="0" fontId="17" fillId="17" borderId="53" xfId="41" applyFont="1" applyFill="1" applyBorder="1" applyAlignment="1" applyProtection="1">
      <alignment horizontal="center" vertical="center" wrapText="1"/>
      <protection locked="0"/>
    </xf>
    <xf numFmtId="0" fontId="17" fillId="0" borderId="38" xfId="41" applyFont="1" applyBorder="1" applyAlignment="1" applyProtection="1">
      <alignment horizontal="center" vertical="center" wrapText="1"/>
      <protection locked="0"/>
    </xf>
    <xf numFmtId="0" fontId="17" fillId="0" borderId="39" xfId="41" applyFont="1" applyBorder="1" applyAlignment="1" applyProtection="1">
      <alignment horizontal="center" vertical="center" wrapText="1"/>
      <protection locked="0"/>
    </xf>
    <xf numFmtId="0" fontId="17" fillId="0" borderId="42" xfId="41" applyFont="1" applyBorder="1" applyAlignment="1" applyProtection="1">
      <alignment horizontal="center" vertical="center" wrapText="1"/>
      <protection locked="0"/>
    </xf>
    <xf numFmtId="0" fontId="17" fillId="0" borderId="56" xfId="41" applyFont="1" applyBorder="1" applyAlignment="1" applyProtection="1">
      <alignment horizontal="center" vertical="center" wrapText="1"/>
      <protection locked="0"/>
    </xf>
    <xf numFmtId="0" fontId="17" fillId="0" borderId="56" xfId="41" applyFont="1" applyBorder="1" applyAlignment="1" applyProtection="1">
      <alignment horizontal="left" vertical="center" wrapText="1"/>
      <protection locked="0"/>
    </xf>
    <xf numFmtId="0" fontId="17" fillId="0" borderId="39" xfId="41" applyFont="1" applyBorder="1" applyAlignment="1" applyProtection="1">
      <alignment horizontal="left" vertical="center" wrapText="1"/>
      <protection locked="0"/>
    </xf>
    <xf numFmtId="0" fontId="17" fillId="0" borderId="40" xfId="41" applyFont="1" applyBorder="1" applyAlignment="1" applyProtection="1">
      <alignment horizontal="left" vertical="center" wrapText="1"/>
      <protection locked="0"/>
    </xf>
    <xf numFmtId="0" fontId="17" fillId="0" borderId="53" xfId="41" applyFont="1" applyBorder="1" applyAlignment="1" applyProtection="1">
      <alignment horizontal="left" vertical="center" wrapText="1"/>
      <protection locked="0"/>
    </xf>
    <xf numFmtId="0" fontId="23" fillId="5" borderId="75" xfId="54" applyFont="1" applyFill="1" applyBorder="1" applyAlignment="1" applyProtection="1">
      <alignment horizontal="left" vertical="center"/>
      <protection locked="0"/>
    </xf>
    <xf numFmtId="0" fontId="23" fillId="5" borderId="41" xfId="54" applyFont="1" applyFill="1" applyBorder="1" applyAlignment="1" applyProtection="1">
      <alignment horizontal="left" vertical="center"/>
      <protection locked="0"/>
    </xf>
    <xf numFmtId="0" fontId="23" fillId="5" borderId="45" xfId="54" applyFont="1" applyFill="1" applyBorder="1" applyAlignment="1" applyProtection="1">
      <alignment horizontal="left" vertical="center"/>
      <protection locked="0"/>
    </xf>
    <xf numFmtId="0" fontId="23" fillId="5" borderId="17" xfId="54" applyFont="1" applyFill="1" applyBorder="1" applyAlignment="1" applyProtection="1">
      <alignment horizontal="left" vertical="center"/>
      <protection locked="0"/>
    </xf>
    <xf numFmtId="0" fontId="23" fillId="5" borderId="46" xfId="54" applyFont="1" applyFill="1" applyBorder="1" applyAlignment="1" applyProtection="1">
      <alignment horizontal="left" vertical="center"/>
      <protection locked="0"/>
    </xf>
    <xf numFmtId="0" fontId="27" fillId="5" borderId="104" xfId="54" applyFont="1" applyFill="1" applyBorder="1" applyAlignment="1" applyProtection="1">
      <alignment horizontal="center" vertical="center" wrapText="1"/>
    </xf>
    <xf numFmtId="0" fontId="27" fillId="5" borderId="51" xfId="54" applyFont="1" applyFill="1" applyBorder="1" applyAlignment="1" applyProtection="1">
      <alignment horizontal="center" vertical="center" wrapText="1"/>
    </xf>
    <xf numFmtId="0" fontId="27" fillId="5" borderId="79" xfId="54" applyFont="1" applyFill="1" applyBorder="1" applyAlignment="1" applyProtection="1">
      <alignment horizontal="center" vertical="center" wrapText="1"/>
    </xf>
    <xf numFmtId="0" fontId="27" fillId="5" borderId="57" xfId="54" applyFont="1" applyFill="1" applyBorder="1" applyAlignment="1" applyProtection="1">
      <alignment horizontal="center" vertical="center" wrapText="1"/>
    </xf>
    <xf numFmtId="0" fontId="27" fillId="5" borderId="19" xfId="54" applyFont="1" applyFill="1" applyBorder="1" applyAlignment="1" applyProtection="1">
      <alignment horizontal="center" vertical="center" wrapText="1"/>
    </xf>
    <xf numFmtId="0" fontId="43" fillId="4" borderId="23" xfId="54" applyFont="1" applyFill="1" applyBorder="1" applyAlignment="1" applyProtection="1">
      <alignment horizontal="center" vertical="center" wrapText="1"/>
      <protection locked="0"/>
    </xf>
    <xf numFmtId="0" fontId="43" fillId="4" borderId="2" xfId="54" applyFont="1" applyFill="1" applyBorder="1" applyAlignment="1" applyProtection="1">
      <alignment horizontal="center" vertical="center" wrapText="1"/>
      <protection locked="0"/>
    </xf>
    <xf numFmtId="0" fontId="43" fillId="4" borderId="53" xfId="54" applyFont="1" applyFill="1" applyBorder="1" applyAlignment="1" applyProtection="1">
      <alignment horizontal="center" vertical="center" wrapText="1"/>
      <protection locked="0"/>
    </xf>
    <xf numFmtId="0" fontId="89" fillId="0" borderId="8" xfId="54" applyFont="1" applyBorder="1" applyAlignment="1" applyProtection="1">
      <alignment horizontal="center"/>
      <protection locked="0"/>
    </xf>
    <xf numFmtId="0" fontId="89" fillId="0" borderId="5" xfId="54" applyFont="1" applyBorder="1" applyAlignment="1" applyProtection="1">
      <alignment horizontal="left"/>
      <protection locked="0"/>
    </xf>
    <xf numFmtId="0" fontId="89" fillId="0" borderId="1" xfId="54" applyFont="1" applyBorder="1" applyAlignment="1" applyProtection="1">
      <alignment horizontal="center"/>
    </xf>
    <xf numFmtId="0" fontId="89" fillId="0" borderId="6" xfId="54" applyFont="1" applyBorder="1" applyAlignment="1" applyProtection="1">
      <alignment horizontal="center"/>
    </xf>
    <xf numFmtId="0" fontId="89" fillId="0" borderId="5" xfId="54" applyFont="1" applyBorder="1" applyAlignment="1" applyProtection="1">
      <alignment horizontal="center"/>
      <protection locked="0"/>
    </xf>
    <xf numFmtId="0" fontId="89" fillId="0" borderId="1" xfId="54" applyFont="1" applyBorder="1" applyAlignment="1" applyProtection="1">
      <alignment horizontal="center"/>
      <protection locked="0"/>
    </xf>
    <xf numFmtId="0" fontId="89" fillId="0" borderId="6" xfId="54" applyFont="1" applyBorder="1" applyAlignment="1" applyProtection="1">
      <alignment horizontal="center"/>
      <protection locked="0"/>
    </xf>
    <xf numFmtId="0" fontId="134" fillId="18" borderId="1" xfId="102" applyFont="1" applyFill="1" applyBorder="1" applyAlignment="1" applyProtection="1">
      <alignment horizontal="center" vertical="center"/>
      <protection hidden="1"/>
    </xf>
    <xf numFmtId="0" fontId="6" fillId="21" borderId="1" xfId="102" applyFill="1" applyBorder="1" applyAlignment="1" applyProtection="1">
      <alignment horizontal="center" wrapText="1"/>
      <protection locked="0"/>
    </xf>
    <xf numFmtId="1" fontId="6" fillId="0" borderId="5" xfId="102" applyNumberFormat="1" applyBorder="1" applyAlignment="1" applyProtection="1">
      <alignment horizontal="center"/>
      <protection hidden="1"/>
    </xf>
    <xf numFmtId="1" fontId="6" fillId="0" borderId="1" xfId="102" applyNumberFormat="1" applyBorder="1" applyAlignment="1" applyProtection="1">
      <alignment horizontal="center"/>
      <protection hidden="1"/>
    </xf>
    <xf numFmtId="1" fontId="31" fillId="18" borderId="7" xfId="102" applyNumberFormat="1" applyFont="1" applyFill="1" applyBorder="1" applyAlignment="1" applyProtection="1">
      <alignment horizontal="center"/>
      <protection hidden="1"/>
    </xf>
    <xf numFmtId="1" fontId="31" fillId="18" borderId="8" xfId="102" applyNumberFormat="1" applyFont="1" applyFill="1" applyBorder="1" applyAlignment="1" applyProtection="1">
      <alignment horizontal="center"/>
      <protection hidden="1"/>
    </xf>
    <xf numFmtId="0" fontId="6" fillId="19" borderId="0" xfId="102" applyFill="1" applyAlignment="1" applyProtection="1">
      <alignment horizontal="center" vertical="center"/>
      <protection hidden="1"/>
    </xf>
    <xf numFmtId="0" fontId="6" fillId="19" borderId="79" xfId="102" applyFill="1" applyBorder="1" applyAlignment="1" applyProtection="1">
      <alignment horizontal="center" vertical="center"/>
      <protection hidden="1"/>
    </xf>
    <xf numFmtId="165" fontId="0" fillId="24" borderId="25" xfId="103" applyNumberFormat="1" applyFont="1" applyFill="1" applyBorder="1" applyAlignment="1" applyProtection="1">
      <alignment horizontal="center" vertical="center" wrapText="1"/>
      <protection hidden="1"/>
    </xf>
    <xf numFmtId="165" fontId="0" fillId="24" borderId="27" xfId="103" applyNumberFormat="1" applyFont="1" applyFill="1" applyBorder="1" applyAlignment="1" applyProtection="1">
      <alignment horizontal="center" vertical="center" wrapText="1"/>
      <protection hidden="1"/>
    </xf>
    <xf numFmtId="165" fontId="31" fillId="18" borderId="47" xfId="103" applyNumberFormat="1" applyFont="1" applyFill="1" applyBorder="1" applyAlignment="1" applyProtection="1">
      <alignment horizontal="center"/>
      <protection hidden="1"/>
    </xf>
    <xf numFmtId="165" fontId="31" fillId="18" borderId="32" xfId="103" applyNumberFormat="1" applyFont="1" applyFill="1" applyBorder="1" applyAlignment="1" applyProtection="1">
      <alignment horizontal="center"/>
      <protection hidden="1"/>
    </xf>
    <xf numFmtId="165" fontId="31" fillId="18" borderId="49" xfId="103" applyNumberFormat="1" applyFont="1" applyFill="1" applyBorder="1" applyAlignment="1" applyProtection="1">
      <alignment horizontal="center"/>
      <protection hidden="1"/>
    </xf>
    <xf numFmtId="165" fontId="31" fillId="18" borderId="64" xfId="103" applyNumberFormat="1" applyFont="1" applyFill="1" applyBorder="1" applyAlignment="1" applyProtection="1">
      <alignment horizontal="center"/>
      <protection hidden="1"/>
    </xf>
    <xf numFmtId="165" fontId="31" fillId="18" borderId="61" xfId="103" applyNumberFormat="1" applyFont="1" applyFill="1" applyBorder="1" applyAlignment="1" applyProtection="1">
      <alignment horizontal="center"/>
      <protection hidden="1"/>
    </xf>
    <xf numFmtId="165" fontId="31" fillId="18" borderId="11" xfId="103" applyNumberFormat="1" applyFont="1" applyFill="1" applyBorder="1" applyAlignment="1" applyProtection="1">
      <alignment horizontal="center"/>
      <protection hidden="1"/>
    </xf>
    <xf numFmtId="0" fontId="6" fillId="19" borderId="20" xfId="102" applyFill="1" applyBorder="1" applyAlignment="1" applyProtection="1">
      <alignment horizontal="center" vertical="center"/>
      <protection hidden="1"/>
    </xf>
    <xf numFmtId="0" fontId="6" fillId="19" borderId="33" xfId="102" applyFill="1" applyBorder="1" applyAlignment="1" applyProtection="1">
      <alignment horizontal="center" vertical="center"/>
      <protection hidden="1"/>
    </xf>
    <xf numFmtId="0" fontId="6" fillId="19" borderId="34" xfId="102" applyFill="1" applyBorder="1" applyAlignment="1" applyProtection="1">
      <alignment horizontal="center" vertical="center"/>
      <protection hidden="1"/>
    </xf>
    <xf numFmtId="165" fontId="0" fillId="24" borderId="7" xfId="103" applyNumberFormat="1" applyFont="1" applyFill="1" applyBorder="1" applyAlignment="1" applyProtection="1">
      <alignment horizontal="center" vertical="center" wrapText="1"/>
      <protection hidden="1"/>
    </xf>
    <xf numFmtId="165" fontId="0" fillId="24" borderId="8" xfId="103" applyNumberFormat="1" applyFont="1" applyFill="1" applyBorder="1" applyAlignment="1" applyProtection="1">
      <alignment horizontal="center" vertical="center" wrapText="1"/>
      <protection hidden="1"/>
    </xf>
    <xf numFmtId="1" fontId="0" fillId="19" borderId="41" xfId="103" applyNumberFormat="1" applyFont="1" applyFill="1" applyBorder="1" applyAlignment="1" applyProtection="1">
      <alignment horizontal="center" vertical="center"/>
      <protection hidden="1"/>
    </xf>
    <xf numFmtId="1" fontId="0" fillId="19" borderId="0" xfId="103" applyNumberFormat="1" applyFont="1" applyFill="1" applyBorder="1" applyAlignment="1" applyProtection="1">
      <alignment horizontal="center" vertical="center"/>
      <protection hidden="1"/>
    </xf>
    <xf numFmtId="1" fontId="6" fillId="18" borderId="23" xfId="102" applyNumberFormat="1" applyFill="1" applyBorder="1" applyAlignment="1" applyProtection="1">
      <alignment horizontal="center"/>
      <protection hidden="1"/>
    </xf>
    <xf numFmtId="1" fontId="6" fillId="18" borderId="2" xfId="102" applyNumberFormat="1" applyFill="1" applyBorder="1" applyAlignment="1" applyProtection="1">
      <alignment horizontal="center"/>
      <protection hidden="1"/>
    </xf>
    <xf numFmtId="1" fontId="6" fillId="0" borderId="50" xfId="102" applyNumberFormat="1" applyBorder="1" applyAlignment="1" applyProtection="1">
      <alignment horizontal="center" vertical="center" wrapText="1"/>
      <protection hidden="1"/>
    </xf>
    <xf numFmtId="1" fontId="6" fillId="0" borderId="33" xfId="102" applyNumberFormat="1" applyBorder="1" applyAlignment="1" applyProtection="1">
      <alignment horizontal="center" vertical="center" wrapText="1"/>
      <protection hidden="1"/>
    </xf>
    <xf numFmtId="1" fontId="6" fillId="0" borderId="5" xfId="102" applyNumberFormat="1" applyBorder="1" applyAlignment="1" applyProtection="1">
      <alignment horizontal="center" vertical="center" wrapText="1"/>
      <protection hidden="1"/>
    </xf>
    <xf numFmtId="1" fontId="6" fillId="0" borderId="1" xfId="102" applyNumberFormat="1" applyBorder="1" applyAlignment="1" applyProtection="1">
      <alignment horizontal="center" vertical="center" wrapText="1"/>
      <protection hidden="1"/>
    </xf>
    <xf numFmtId="1" fontId="6" fillId="0" borderId="15" xfId="102" applyNumberFormat="1" applyBorder="1" applyAlignment="1" applyProtection="1">
      <alignment horizontal="center" vertical="center" wrapText="1"/>
      <protection hidden="1"/>
    </xf>
    <xf numFmtId="0" fontId="31" fillId="18" borderId="1" xfId="102" applyFont="1" applyFill="1" applyBorder="1" applyAlignment="1" applyProtection="1">
      <alignment horizontal="center" wrapText="1"/>
      <protection locked="0"/>
    </xf>
    <xf numFmtId="1" fontId="6" fillId="33" borderId="50" xfId="102" applyNumberFormat="1" applyFill="1" applyBorder="1" applyAlignment="1" applyProtection="1">
      <alignment horizontal="center" vertical="center" wrapText="1"/>
      <protection hidden="1"/>
    </xf>
    <xf numFmtId="1" fontId="6" fillId="33" borderId="33" xfId="102" applyNumberFormat="1" applyFill="1" applyBorder="1" applyAlignment="1" applyProtection="1">
      <alignment horizontal="center" vertical="center" wrapText="1"/>
      <protection hidden="1"/>
    </xf>
    <xf numFmtId="1" fontId="6" fillId="33" borderId="34" xfId="102" applyNumberFormat="1" applyFill="1" applyBorder="1" applyAlignment="1" applyProtection="1">
      <alignment horizontal="center" vertical="center" wrapText="1"/>
      <protection hidden="1"/>
    </xf>
    <xf numFmtId="0" fontId="31" fillId="18" borderId="52" xfId="102" applyFont="1" applyFill="1" applyBorder="1" applyAlignment="1" applyProtection="1">
      <alignment horizontal="center"/>
      <protection hidden="1"/>
    </xf>
    <xf numFmtId="0" fontId="31" fillId="18" borderId="36" xfId="102" applyFont="1" applyFill="1" applyBorder="1" applyAlignment="1" applyProtection="1">
      <alignment horizontal="center"/>
      <protection hidden="1"/>
    </xf>
    <xf numFmtId="0" fontId="31" fillId="18" borderId="67" xfId="102" applyFont="1" applyFill="1" applyBorder="1" applyAlignment="1" applyProtection="1">
      <alignment horizontal="center"/>
      <protection hidden="1"/>
    </xf>
    <xf numFmtId="165" fontId="0" fillId="24" borderId="5" xfId="103" applyNumberFormat="1" applyFont="1" applyFill="1" applyBorder="1" applyAlignment="1" applyProtection="1">
      <alignment horizontal="center" vertical="center" wrapText="1"/>
      <protection hidden="1"/>
    </xf>
    <xf numFmtId="165" fontId="0" fillId="24" borderId="1" xfId="103" applyNumberFormat="1" applyFont="1" applyFill="1" applyBorder="1" applyAlignment="1" applyProtection="1">
      <alignment horizontal="center" vertical="center" wrapText="1"/>
      <protection hidden="1"/>
    </xf>
    <xf numFmtId="0" fontId="17" fillId="18" borderId="62" xfId="102" applyFont="1" applyFill="1" applyBorder="1" applyAlignment="1" applyProtection="1">
      <alignment horizontal="center" vertical="center"/>
      <protection hidden="1"/>
    </xf>
    <xf numFmtId="0" fontId="17" fillId="18" borderId="10" xfId="102" applyFont="1" applyFill="1" applyBorder="1" applyAlignment="1" applyProtection="1">
      <alignment horizontal="center" vertical="center"/>
      <protection hidden="1"/>
    </xf>
    <xf numFmtId="0" fontId="17" fillId="18" borderId="27" xfId="102" applyFont="1" applyFill="1" applyBorder="1" applyAlignment="1" applyProtection="1">
      <alignment horizontal="center" vertical="center" wrapText="1"/>
      <protection hidden="1"/>
    </xf>
    <xf numFmtId="0" fontId="17" fillId="18" borderId="1" xfId="102" applyFont="1" applyFill="1" applyBorder="1" applyAlignment="1" applyProtection="1">
      <alignment horizontal="center" vertical="center" wrapText="1"/>
      <protection hidden="1"/>
    </xf>
    <xf numFmtId="165" fontId="31" fillId="18" borderId="64" xfId="103" applyNumberFormat="1" applyFont="1" applyFill="1" applyBorder="1" applyAlignment="1" applyProtection="1">
      <alignment horizontal="center" vertical="center"/>
      <protection hidden="1"/>
    </xf>
    <xf numFmtId="165" fontId="31" fillId="18" borderId="61" xfId="103" applyNumberFormat="1" applyFont="1" applyFill="1" applyBorder="1" applyAlignment="1" applyProtection="1">
      <alignment horizontal="center" vertical="center"/>
      <protection hidden="1"/>
    </xf>
    <xf numFmtId="165" fontId="31" fillId="18" borderId="11" xfId="103" applyNumberFormat="1" applyFont="1" applyFill="1" applyBorder="1" applyAlignment="1" applyProtection="1">
      <alignment horizontal="center" vertical="center"/>
      <protection hidden="1"/>
    </xf>
    <xf numFmtId="0" fontId="17" fillId="18" borderId="5" xfId="102" applyFont="1" applyFill="1" applyBorder="1" applyAlignment="1" applyProtection="1">
      <alignment horizontal="center" vertical="center"/>
      <protection hidden="1"/>
    </xf>
    <xf numFmtId="0" fontId="17" fillId="18" borderId="98" xfId="102" applyFont="1" applyFill="1" applyBorder="1" applyAlignment="1" applyProtection="1">
      <alignment horizontal="center" vertical="center"/>
      <protection hidden="1"/>
    </xf>
    <xf numFmtId="0" fontId="17" fillId="18" borderId="100" xfId="102" applyFont="1" applyFill="1" applyBorder="1" applyAlignment="1" applyProtection="1">
      <alignment horizontal="center" vertical="center"/>
      <protection hidden="1"/>
    </xf>
    <xf numFmtId="1" fontId="0" fillId="19" borderId="20" xfId="103" applyNumberFormat="1" applyFont="1" applyFill="1" applyBorder="1" applyAlignment="1" applyProtection="1">
      <alignment horizontal="center" vertical="center"/>
      <protection hidden="1"/>
    </xf>
    <xf numFmtId="1" fontId="0" fillId="19" borderId="33" xfId="103" applyNumberFormat="1" applyFont="1" applyFill="1" applyBorder="1" applyAlignment="1" applyProtection="1">
      <alignment horizontal="center" vertical="center"/>
      <protection hidden="1"/>
    </xf>
    <xf numFmtId="1" fontId="0" fillId="19" borderId="34" xfId="103" applyNumberFormat="1" applyFont="1" applyFill="1" applyBorder="1" applyAlignment="1" applyProtection="1">
      <alignment horizontal="center" vertical="center"/>
      <protection hidden="1"/>
    </xf>
    <xf numFmtId="0" fontId="4" fillId="0" borderId="0" xfId="107" applyAlignment="1" applyProtection="1">
      <alignment horizontal="left" wrapText="1"/>
      <protection hidden="1"/>
    </xf>
    <xf numFmtId="0" fontId="68" fillId="14" borderId="0" xfId="107" applyFont="1" applyFill="1" applyAlignment="1" applyProtection="1">
      <alignment horizontal="center"/>
      <protection hidden="1"/>
    </xf>
    <xf numFmtId="0" fontId="4" fillId="3" borderId="1" xfId="107" applyFill="1" applyBorder="1" applyAlignment="1" applyProtection="1">
      <alignment horizontal="left"/>
      <protection locked="0"/>
    </xf>
    <xf numFmtId="0" fontId="4" fillId="0" borderId="0" xfId="107" applyAlignment="1" applyProtection="1">
      <alignment horizontal="left"/>
      <protection hidden="1"/>
    </xf>
    <xf numFmtId="0" fontId="4" fillId="0" borderId="0" xfId="107" applyAlignment="1" applyProtection="1">
      <alignment horizontal="center" vertical="center"/>
      <protection hidden="1"/>
    </xf>
    <xf numFmtId="0" fontId="4" fillId="0" borderId="0" xfId="107" applyAlignment="1" applyProtection="1">
      <alignment horizontal="left" vertical="center" wrapText="1"/>
      <protection hidden="1"/>
    </xf>
    <xf numFmtId="0" fontId="4" fillId="3" borderId="20" xfId="107" applyFill="1" applyBorder="1" applyAlignment="1" applyProtection="1">
      <alignment horizontal="left" vertical="center"/>
      <protection locked="0"/>
    </xf>
    <xf numFmtId="0" fontId="4" fillId="3" borderId="33" xfId="107" applyFill="1" applyBorder="1" applyAlignment="1" applyProtection="1">
      <alignment horizontal="left" vertical="center"/>
      <protection locked="0"/>
    </xf>
    <xf numFmtId="0" fontId="4" fillId="3" borderId="34" xfId="107" applyFill="1" applyBorder="1" applyAlignment="1" applyProtection="1">
      <alignment horizontal="left" vertical="center"/>
      <protection locked="0"/>
    </xf>
    <xf numFmtId="0" fontId="4" fillId="3" borderId="17" xfId="107" applyFill="1" applyBorder="1" applyAlignment="1" applyProtection="1">
      <alignment horizontal="left" vertical="center"/>
      <protection locked="0"/>
    </xf>
    <xf numFmtId="0" fontId="4" fillId="3" borderId="18" xfId="107" applyFill="1" applyBorder="1" applyAlignment="1" applyProtection="1">
      <alignment horizontal="left" vertical="center"/>
      <protection locked="0"/>
    </xf>
    <xf numFmtId="0" fontId="4" fillId="3" borderId="19" xfId="107" applyFill="1" applyBorder="1" applyAlignment="1" applyProtection="1">
      <alignment horizontal="left" vertical="center"/>
      <protection locked="0"/>
    </xf>
    <xf numFmtId="0" fontId="4" fillId="0" borderId="0" xfId="107" applyAlignment="1" applyProtection="1">
      <alignment horizontal="left" vertical="center"/>
      <protection hidden="1"/>
    </xf>
    <xf numFmtId="0" fontId="4" fillId="0" borderId="1" xfId="107" applyBorder="1" applyAlignment="1">
      <alignment horizontal="left" vertical="center"/>
    </xf>
    <xf numFmtId="0" fontId="155" fillId="0" borderId="1" xfId="107" applyFont="1" applyBorder="1" applyAlignment="1" applyProtection="1">
      <alignment horizontal="center" vertical="center" wrapText="1"/>
      <protection hidden="1"/>
    </xf>
    <xf numFmtId="0" fontId="4" fillId="43" borderId="1" xfId="107" applyFill="1" applyBorder="1" applyAlignment="1" applyProtection="1">
      <alignment horizontal="center" vertical="center" wrapText="1"/>
      <protection locked="0"/>
    </xf>
    <xf numFmtId="0" fontId="4" fillId="0" borderId="1" xfId="107" applyBorder="1" applyAlignment="1" applyProtection="1">
      <alignment vertical="center" wrapText="1"/>
      <protection locked="0"/>
    </xf>
    <xf numFmtId="0" fontId="4" fillId="0" borderId="1" xfId="107" applyBorder="1" applyAlignment="1" applyProtection="1">
      <alignment horizontal="left" vertical="center" wrapText="1"/>
      <protection hidden="1"/>
    </xf>
    <xf numFmtId="0" fontId="4" fillId="0" borderId="1" xfId="107" applyBorder="1" applyAlignment="1" applyProtection="1">
      <alignment horizontal="left" vertical="center"/>
      <protection hidden="1"/>
    </xf>
    <xf numFmtId="0" fontId="68" fillId="14" borderId="1" xfId="107" applyFont="1" applyFill="1" applyBorder="1" applyAlignment="1" applyProtection="1">
      <alignment horizontal="left" vertical="center" indent="57"/>
      <protection hidden="1"/>
    </xf>
    <xf numFmtId="0" fontId="31" fillId="27" borderId="1" xfId="107" applyFont="1" applyFill="1" applyBorder="1" applyAlignment="1" applyProtection="1">
      <alignment horizontal="center"/>
      <protection hidden="1"/>
    </xf>
    <xf numFmtId="0" fontId="31" fillId="3" borderId="1" xfId="99" applyFont="1" applyFill="1" applyBorder="1" applyAlignment="1">
      <alignment horizontal="center" wrapText="1"/>
    </xf>
    <xf numFmtId="0" fontId="6" fillId="0" borderId="0" xfId="102" applyAlignment="1">
      <alignment horizontal="left"/>
    </xf>
    <xf numFmtId="0" fontId="22" fillId="8" borderId="1" xfId="99" applyFont="1" applyFill="1" applyBorder="1" applyAlignment="1">
      <alignment horizontal="center" vertical="center" wrapText="1"/>
    </xf>
    <xf numFmtId="14" fontId="33" fillId="19" borderId="1" xfId="99" applyNumberFormat="1" applyFont="1" applyFill="1" applyBorder="1" applyAlignment="1">
      <alignment horizontal="center" wrapText="1"/>
    </xf>
    <xf numFmtId="0" fontId="33" fillId="19" borderId="1" xfId="99" applyFont="1" applyFill="1" applyBorder="1" applyAlignment="1">
      <alignment horizontal="center" wrapText="1"/>
    </xf>
    <xf numFmtId="0" fontId="77" fillId="0" borderId="20" xfId="7" applyFont="1" applyBorder="1" applyAlignment="1" applyProtection="1">
      <alignment horizontal="left" vertical="center"/>
      <protection hidden="1"/>
    </xf>
    <xf numFmtId="0" fontId="77" fillId="0" borderId="33" xfId="7" applyFont="1" applyBorder="1" applyAlignment="1" applyProtection="1">
      <alignment horizontal="left" vertical="center"/>
      <protection hidden="1"/>
    </xf>
    <xf numFmtId="0" fontId="77" fillId="0" borderId="44" xfId="7" applyFont="1" applyBorder="1" applyAlignment="1" applyProtection="1">
      <alignment horizontal="left" vertical="center"/>
      <protection hidden="1"/>
    </xf>
    <xf numFmtId="0" fontId="77" fillId="0" borderId="15" xfId="7" applyFont="1" applyBorder="1" applyAlignment="1" applyProtection="1">
      <alignment horizontal="left" vertical="center" wrapText="1"/>
      <protection locked="0"/>
    </xf>
    <xf numFmtId="0" fontId="77" fillId="0" borderId="2" xfId="7" applyFont="1" applyBorder="1" applyAlignment="1" applyProtection="1">
      <alignment horizontal="left" vertical="center" wrapText="1"/>
      <protection locked="0"/>
    </xf>
    <xf numFmtId="0" fontId="77" fillId="0" borderId="53" xfId="7" applyFont="1" applyBorder="1" applyAlignment="1" applyProtection="1">
      <alignment horizontal="left" vertical="center" wrapText="1"/>
      <protection locked="0"/>
    </xf>
    <xf numFmtId="0" fontId="77" fillId="0" borderId="20" xfId="7" applyFont="1" applyBorder="1" applyAlignment="1" applyProtection="1">
      <alignment horizontal="left" vertical="center" wrapText="1"/>
      <protection hidden="1"/>
    </xf>
    <xf numFmtId="0" fontId="77" fillId="0" borderId="33" xfId="7" applyFont="1" applyBorder="1" applyAlignment="1" applyProtection="1">
      <alignment horizontal="left" vertical="center" wrapText="1"/>
      <protection hidden="1"/>
    </xf>
    <xf numFmtId="0" fontId="77" fillId="0" borderId="44" xfId="7" applyFont="1" applyBorder="1" applyAlignment="1" applyProtection="1">
      <alignment horizontal="left" vertical="center" wrapText="1"/>
      <protection hidden="1"/>
    </xf>
    <xf numFmtId="0" fontId="77" fillId="0" borderId="17" xfId="7" applyFont="1" applyBorder="1" applyAlignment="1" applyProtection="1">
      <alignment horizontal="left" vertical="center" wrapText="1"/>
      <protection hidden="1"/>
    </xf>
    <xf numFmtId="0" fontId="77" fillId="0" borderId="18" xfId="7" applyFont="1" applyBorder="1" applyAlignment="1" applyProtection="1">
      <alignment horizontal="left" vertical="center" wrapText="1"/>
      <protection hidden="1"/>
    </xf>
    <xf numFmtId="0" fontId="77" fillId="0" borderId="46" xfId="7" applyFont="1" applyBorder="1" applyAlignment="1" applyProtection="1">
      <alignment horizontal="left" vertical="center" wrapText="1"/>
      <protection hidden="1"/>
    </xf>
    <xf numFmtId="0" fontId="77" fillId="51" borderId="15" xfId="7" applyFont="1" applyFill="1" applyBorder="1" applyAlignment="1" applyProtection="1">
      <alignment horizontal="center" vertical="center"/>
      <protection locked="0"/>
    </xf>
    <xf numFmtId="0" fontId="77" fillId="51" borderId="2" xfId="7" applyFont="1" applyFill="1" applyBorder="1" applyAlignment="1" applyProtection="1">
      <alignment horizontal="center" vertical="center"/>
      <protection locked="0"/>
    </xf>
    <xf numFmtId="0" fontId="77" fillId="51" borderId="53" xfId="7" applyFont="1" applyFill="1" applyBorder="1" applyAlignment="1" applyProtection="1">
      <alignment horizontal="center" vertical="center"/>
      <protection locked="0"/>
    </xf>
    <xf numFmtId="0" fontId="77" fillId="0" borderId="2" xfId="7" applyFont="1" applyFill="1" applyBorder="1" applyAlignment="1" applyProtection="1">
      <alignment horizontal="center" vertical="center"/>
      <protection locked="0"/>
    </xf>
    <xf numFmtId="0" fontId="77" fillId="0" borderId="53" xfId="7" applyFont="1" applyFill="1" applyBorder="1" applyAlignment="1" applyProtection="1">
      <alignment horizontal="center" vertical="center"/>
      <protection locked="0"/>
    </xf>
    <xf numFmtId="2" fontId="77" fillId="0" borderId="1" xfId="7" applyNumberFormat="1" applyFont="1" applyBorder="1" applyAlignment="1" applyProtection="1">
      <alignment horizontal="left" vertical="center"/>
      <protection locked="0"/>
    </xf>
    <xf numFmtId="0" fontId="77" fillId="0" borderId="15" xfId="7" applyFont="1" applyBorder="1" applyAlignment="1" applyProtection="1">
      <alignment horizontal="left" vertical="center" wrapText="1"/>
      <protection hidden="1"/>
    </xf>
    <xf numFmtId="0" fontId="77" fillId="0" borderId="2" xfId="7" applyFont="1" applyBorder="1" applyAlignment="1" applyProtection="1">
      <alignment horizontal="left" vertical="center" wrapText="1"/>
      <protection hidden="1"/>
    </xf>
    <xf numFmtId="0" fontId="77" fillId="0" borderId="53" xfId="7" applyFont="1" applyBorder="1" applyAlignment="1" applyProtection="1">
      <alignment horizontal="left" vertical="center" wrapText="1"/>
      <protection hidden="1"/>
    </xf>
    <xf numFmtId="0" fontId="77" fillId="0" borderId="20" xfId="7" applyFont="1" applyBorder="1" applyAlignment="1" applyProtection="1">
      <alignment horizontal="left" vertical="center"/>
      <protection locked="0"/>
    </xf>
    <xf numFmtId="0" fontId="77" fillId="0" borderId="33" xfId="7" applyFont="1" applyBorder="1" applyAlignment="1" applyProtection="1">
      <alignment horizontal="left" vertical="center"/>
      <protection locked="0"/>
    </xf>
    <xf numFmtId="0" fontId="77" fillId="0" borderId="44" xfId="7" applyFont="1" applyBorder="1" applyAlignment="1" applyProtection="1">
      <alignment horizontal="left" vertical="center"/>
      <protection locked="0"/>
    </xf>
    <xf numFmtId="0" fontId="77" fillId="0" borderId="1" xfId="7" applyFont="1" applyBorder="1" applyAlignment="1" applyProtection="1">
      <alignment horizontal="left" vertical="center" wrapText="1"/>
      <protection hidden="1"/>
    </xf>
    <xf numFmtId="0" fontId="77" fillId="0" borderId="1" xfId="7" applyFont="1" applyBorder="1" applyAlignment="1" applyProtection="1">
      <alignment horizontal="left" vertical="center"/>
      <protection hidden="1"/>
    </xf>
    <xf numFmtId="0" fontId="77" fillId="0" borderId="6" xfId="7" applyFont="1" applyBorder="1" applyAlignment="1" applyProtection="1">
      <alignment horizontal="left" vertical="center"/>
      <protection hidden="1"/>
    </xf>
    <xf numFmtId="0" fontId="77" fillId="0" borderId="15" xfId="7" applyFont="1" applyBorder="1" applyAlignment="1" applyProtection="1">
      <alignment horizontal="left" vertical="center"/>
      <protection hidden="1"/>
    </xf>
    <xf numFmtId="0" fontId="77" fillId="0" borderId="2" xfId="7" applyFont="1" applyBorder="1" applyAlignment="1" applyProtection="1">
      <alignment horizontal="left" vertical="center"/>
      <protection hidden="1"/>
    </xf>
    <xf numFmtId="0" fontId="77" fillId="0" borderId="53" xfId="7" applyFont="1" applyBorder="1" applyAlignment="1" applyProtection="1">
      <alignment horizontal="left" vertical="center"/>
      <protection hidden="1"/>
    </xf>
    <xf numFmtId="0" fontId="77" fillId="51" borderId="15" xfId="7" applyFont="1" applyFill="1" applyBorder="1" applyAlignment="1" applyProtection="1">
      <alignment horizontal="left" vertical="center" wrapText="1"/>
      <protection hidden="1"/>
    </xf>
    <xf numFmtId="0" fontId="77" fillId="51" borderId="2" xfId="7" applyFont="1" applyFill="1" applyBorder="1" applyAlignment="1" applyProtection="1">
      <alignment horizontal="left" vertical="center" wrapText="1"/>
      <protection hidden="1"/>
    </xf>
    <xf numFmtId="0" fontId="77" fillId="51" borderId="53" xfId="7" applyFont="1" applyFill="1" applyBorder="1" applyAlignment="1" applyProtection="1">
      <alignment horizontal="left" vertical="center" wrapText="1"/>
      <protection hidden="1"/>
    </xf>
    <xf numFmtId="0" fontId="77" fillId="51" borderId="1" xfId="7" applyFont="1" applyFill="1" applyBorder="1" applyAlignment="1" applyProtection="1">
      <alignment horizontal="center" vertical="center"/>
      <protection locked="0"/>
    </xf>
    <xf numFmtId="0" fontId="77" fillId="51" borderId="6" xfId="7" applyFont="1" applyFill="1" applyBorder="1" applyAlignment="1" applyProtection="1">
      <alignment horizontal="center" vertical="center"/>
      <protection locked="0"/>
    </xf>
    <xf numFmtId="0" fontId="17" fillId="11" borderId="72" xfId="105" applyFont="1" applyFill="1" applyBorder="1"/>
    <xf numFmtId="0" fontId="17" fillId="11" borderId="73" xfId="105" applyFont="1" applyFill="1" applyBorder="1"/>
    <xf numFmtId="0" fontId="17" fillId="11" borderId="74" xfId="105" applyFont="1" applyFill="1" applyBorder="1"/>
    <xf numFmtId="0" fontId="77" fillId="51" borderId="16" xfId="7" applyFont="1" applyFill="1" applyBorder="1" applyAlignment="1" applyProtection="1">
      <alignment horizontal="center" vertical="center"/>
      <protection locked="0"/>
    </xf>
    <xf numFmtId="0" fontId="77" fillId="51" borderId="15" xfId="7" applyFont="1" applyFill="1" applyBorder="1" applyAlignment="1" applyProtection="1">
      <alignment horizontal="center" vertical="center" wrapText="1"/>
      <protection locked="0"/>
    </xf>
    <xf numFmtId="0" fontId="77" fillId="51" borderId="2" xfId="7" applyFont="1" applyFill="1" applyBorder="1" applyAlignment="1" applyProtection="1">
      <alignment horizontal="center" vertical="center" wrapText="1"/>
      <protection locked="0"/>
    </xf>
    <xf numFmtId="0" fontId="77" fillId="51" borderId="53" xfId="7" applyFont="1" applyFill="1" applyBorder="1" applyAlignment="1" applyProtection="1">
      <alignment horizontal="center" vertical="center" wrapText="1"/>
      <protection locked="0"/>
    </xf>
    <xf numFmtId="0" fontId="77" fillId="0" borderId="21" xfId="7" applyFont="1" applyBorder="1" applyAlignment="1" applyProtection="1">
      <alignment horizontal="left" vertical="center" wrapText="1"/>
      <protection locked="0"/>
    </xf>
    <xf numFmtId="0" fontId="77" fillId="0" borderId="32" xfId="7" applyFont="1" applyBorder="1" applyAlignment="1" applyProtection="1">
      <alignment horizontal="left" vertical="center" wrapText="1"/>
      <protection locked="0"/>
    </xf>
    <xf numFmtId="0" fontId="77" fillId="0" borderId="48" xfId="7" applyFont="1" applyBorder="1" applyAlignment="1" applyProtection="1">
      <alignment horizontal="left" vertical="center" wrapText="1"/>
      <protection locked="0"/>
    </xf>
    <xf numFmtId="0" fontId="76" fillId="20" borderId="51" xfId="7" applyFont="1" applyFill="1" applyBorder="1" applyAlignment="1">
      <alignment horizontal="center" vertical="center" wrapText="1"/>
    </xf>
    <xf numFmtId="0" fontId="77" fillId="0" borderId="16" xfId="7" applyFont="1" applyBorder="1" applyAlignment="1" applyProtection="1">
      <alignment horizontal="center" vertical="center"/>
      <protection locked="0"/>
    </xf>
    <xf numFmtId="0" fontId="79" fillId="4" borderId="29" xfId="7" applyFont="1" applyFill="1" applyBorder="1" applyAlignment="1" applyProtection="1">
      <alignment horizontal="center" vertical="center" wrapText="1"/>
      <protection hidden="1"/>
    </xf>
    <xf numFmtId="0" fontId="79" fillId="4" borderId="30" xfId="7" applyFont="1" applyFill="1" applyBorder="1" applyAlignment="1" applyProtection="1">
      <alignment horizontal="center" vertical="center" wrapText="1"/>
      <protection hidden="1"/>
    </xf>
    <xf numFmtId="0" fontId="79" fillId="4" borderId="31" xfId="7" applyFont="1" applyFill="1" applyBorder="1" applyAlignment="1" applyProtection="1">
      <alignment horizontal="center" vertical="center" wrapText="1"/>
      <protection hidden="1"/>
    </xf>
    <xf numFmtId="0" fontId="77" fillId="0" borderId="23" xfId="7" applyFont="1" applyBorder="1" applyAlignment="1" applyProtection="1">
      <alignment horizontal="left" vertical="center" wrapText="1"/>
      <protection locked="0"/>
    </xf>
    <xf numFmtId="0" fontId="77" fillId="0" borderId="16" xfId="7" applyFont="1" applyBorder="1" applyAlignment="1" applyProtection="1">
      <alignment horizontal="left" vertical="center" wrapText="1"/>
      <protection locked="0"/>
    </xf>
    <xf numFmtId="0" fontId="77" fillId="21" borderId="15" xfId="7" applyFont="1" applyFill="1" applyBorder="1" applyAlignment="1" applyProtection="1">
      <alignment horizontal="center" vertical="center" wrapText="1"/>
      <protection locked="0"/>
    </xf>
    <xf numFmtId="0" fontId="77" fillId="21" borderId="2" xfId="7" applyFont="1" applyFill="1" applyBorder="1" applyAlignment="1" applyProtection="1">
      <alignment horizontal="center" vertical="center" wrapText="1"/>
      <protection locked="0"/>
    </xf>
    <xf numFmtId="0" fontId="77" fillId="21" borderId="53" xfId="7" applyFont="1" applyFill="1" applyBorder="1" applyAlignment="1" applyProtection="1">
      <alignment horizontal="center" vertical="center" wrapText="1"/>
      <protection locked="0"/>
    </xf>
    <xf numFmtId="3" fontId="77" fillId="0" borderId="1" xfId="7" applyNumberFormat="1" applyFont="1" applyBorder="1" applyAlignment="1" applyProtection="1">
      <alignment vertical="center" wrapText="1"/>
      <protection locked="0"/>
    </xf>
    <xf numFmtId="0" fontId="77" fillId="48" borderId="1" xfId="7" applyFont="1" applyFill="1" applyBorder="1" applyAlignment="1" applyProtection="1">
      <alignment horizontal="center" vertical="center" wrapText="1"/>
      <protection locked="0"/>
    </xf>
    <xf numFmtId="0" fontId="77" fillId="48" borderId="15" xfId="7" applyFont="1" applyFill="1" applyBorder="1" applyAlignment="1" applyProtection="1">
      <alignment horizontal="left" vertical="center" wrapText="1"/>
      <protection locked="0"/>
    </xf>
    <xf numFmtId="0" fontId="77" fillId="48" borderId="2" xfId="7" applyFont="1" applyFill="1" applyBorder="1" applyAlignment="1" applyProtection="1">
      <alignment horizontal="left" vertical="center" wrapText="1"/>
      <protection locked="0"/>
    </xf>
    <xf numFmtId="0" fontId="77" fillId="48" borderId="53" xfId="7" applyFont="1" applyFill="1" applyBorder="1" applyAlignment="1" applyProtection="1">
      <alignment horizontal="left" vertical="center" wrapText="1"/>
      <protection locked="0"/>
    </xf>
    <xf numFmtId="0" fontId="77" fillId="51" borderId="39" xfId="7" applyFont="1" applyFill="1" applyBorder="1" applyAlignment="1" applyProtection="1">
      <alignment horizontal="center" vertical="center"/>
      <protection locked="0"/>
    </xf>
    <xf numFmtId="0" fontId="77" fillId="51" borderId="42" xfId="7" applyFont="1" applyFill="1" applyBorder="1" applyAlignment="1" applyProtection="1">
      <alignment horizontal="center" vertical="center"/>
      <protection locked="0"/>
    </xf>
    <xf numFmtId="0" fontId="26" fillId="0" borderId="1" xfId="6" applyFont="1" applyBorder="1" applyAlignment="1">
      <alignment horizontal="center"/>
    </xf>
    <xf numFmtId="9" fontId="77" fillId="48" borderId="1" xfId="106" applyFont="1" applyFill="1" applyBorder="1" applyAlignment="1" applyProtection="1">
      <alignment horizontal="center" vertical="center"/>
      <protection locked="0"/>
    </xf>
    <xf numFmtId="0" fontId="79" fillId="48" borderId="1" xfId="7" applyFont="1" applyFill="1" applyBorder="1" applyAlignment="1" applyProtection="1">
      <alignment horizontal="center" vertical="center"/>
      <protection locked="0"/>
    </xf>
    <xf numFmtId="0" fontId="77" fillId="48" borderId="1" xfId="7" applyFont="1" applyFill="1" applyBorder="1" applyAlignment="1" applyProtection="1">
      <alignment horizontal="center" vertical="center"/>
      <protection locked="0"/>
    </xf>
    <xf numFmtId="0" fontId="77" fillId="48" borderId="6" xfId="7" applyFont="1" applyFill="1" applyBorder="1" applyAlignment="1" applyProtection="1">
      <alignment horizontal="center" vertical="center"/>
      <protection locked="0"/>
    </xf>
    <xf numFmtId="9" fontId="77" fillId="0" borderId="1" xfId="106" applyFont="1" applyBorder="1" applyAlignment="1" applyProtection="1">
      <alignment horizontal="center" vertical="center"/>
      <protection locked="0"/>
    </xf>
    <xf numFmtId="9" fontId="77" fillId="0" borderId="15" xfId="106" applyFont="1" applyBorder="1" applyAlignment="1" applyProtection="1">
      <alignment horizontal="center" vertical="center"/>
      <protection locked="0"/>
    </xf>
    <xf numFmtId="9" fontId="77" fillId="0" borderId="2" xfId="106" applyFont="1" applyBorder="1" applyAlignment="1" applyProtection="1">
      <alignment horizontal="center" vertical="center"/>
      <protection locked="0"/>
    </xf>
    <xf numFmtId="9" fontId="77" fillId="0" borderId="16" xfId="106" applyFont="1" applyBorder="1" applyAlignment="1" applyProtection="1">
      <alignment horizontal="center" vertical="center"/>
      <protection locked="0"/>
    </xf>
    <xf numFmtId="0" fontId="26" fillId="0" borderId="20" xfId="6" applyFont="1" applyBorder="1" applyAlignment="1">
      <alignment horizontal="center"/>
    </xf>
    <xf numFmtId="0" fontId="26" fillId="0" borderId="33" xfId="6" applyFont="1" applyBorder="1" applyAlignment="1">
      <alignment horizontal="center"/>
    </xf>
    <xf numFmtId="0" fontId="26" fillId="0" borderId="44" xfId="6" applyFont="1" applyBorder="1" applyAlignment="1">
      <alignment horizontal="center"/>
    </xf>
    <xf numFmtId="0" fontId="77" fillId="0" borderId="5" xfId="7" applyFont="1" applyBorder="1" applyAlignment="1" applyProtection="1">
      <alignment horizontal="left" vertical="center"/>
      <protection locked="0"/>
    </xf>
    <xf numFmtId="0" fontId="77" fillId="21" borderId="16" xfId="7" applyFont="1" applyFill="1" applyBorder="1" applyAlignment="1" applyProtection="1">
      <alignment horizontal="center" vertical="center"/>
      <protection locked="0"/>
    </xf>
    <xf numFmtId="0" fontId="77" fillId="21" borderId="1" xfId="7" applyFont="1" applyFill="1" applyBorder="1" applyAlignment="1" applyProtection="1">
      <alignment horizontal="center" vertical="center"/>
      <protection locked="0"/>
    </xf>
    <xf numFmtId="0" fontId="77" fillId="21" borderId="6" xfId="7" applyFont="1" applyFill="1" applyBorder="1" applyAlignment="1" applyProtection="1">
      <alignment horizontal="center" vertical="center"/>
      <protection locked="0"/>
    </xf>
    <xf numFmtId="0" fontId="77" fillId="0" borderId="19" xfId="7" applyFont="1" applyBorder="1" applyAlignment="1" applyProtection="1">
      <alignment vertical="center" wrapText="1"/>
      <protection locked="0"/>
    </xf>
    <xf numFmtId="0" fontId="77" fillId="0" borderId="11" xfId="7" applyFont="1" applyBorder="1" applyAlignment="1" applyProtection="1">
      <alignment vertical="center" wrapText="1"/>
      <protection locked="0"/>
    </xf>
    <xf numFmtId="0" fontId="77" fillId="48" borderId="23" xfId="7" applyFont="1" applyFill="1" applyBorder="1" applyAlignment="1" applyProtection="1">
      <alignment horizontal="left" vertical="center" wrapText="1"/>
      <protection locked="0"/>
    </xf>
    <xf numFmtId="0" fontId="77" fillId="48" borderId="16" xfId="7" applyFont="1" applyFill="1" applyBorder="1" applyAlignment="1" applyProtection="1">
      <alignment horizontal="left" vertical="center" wrapText="1"/>
      <protection locked="0"/>
    </xf>
    <xf numFmtId="0" fontId="77" fillId="48" borderId="15" xfId="7" applyFont="1" applyFill="1" applyBorder="1" applyAlignment="1" applyProtection="1">
      <alignment horizontal="center" vertical="center" wrapText="1"/>
      <protection locked="0"/>
    </xf>
    <xf numFmtId="0" fontId="77" fillId="48" borderId="2" xfId="7" applyFont="1" applyFill="1" applyBorder="1" applyAlignment="1" applyProtection="1">
      <alignment horizontal="center" vertical="center" wrapText="1"/>
      <protection locked="0"/>
    </xf>
    <xf numFmtId="0" fontId="77" fillId="48" borderId="53" xfId="7" applyFont="1" applyFill="1" applyBorder="1" applyAlignment="1" applyProtection="1">
      <alignment horizontal="center" vertical="center" wrapText="1"/>
      <protection locked="0"/>
    </xf>
    <xf numFmtId="0" fontId="77" fillId="48" borderId="50" xfId="7" applyFont="1" applyFill="1" applyBorder="1" applyAlignment="1" applyProtection="1">
      <alignment horizontal="left" vertical="center" wrapText="1"/>
      <protection locked="0"/>
    </xf>
    <xf numFmtId="0" fontId="77" fillId="48" borderId="33" xfId="7" applyFont="1" applyFill="1" applyBorder="1" applyAlignment="1" applyProtection="1">
      <alignment horizontal="left" vertical="center" wrapText="1"/>
      <protection locked="0"/>
    </xf>
    <xf numFmtId="9" fontId="77" fillId="48" borderId="33" xfId="106" applyFont="1" applyFill="1" applyBorder="1" applyAlignment="1" applyProtection="1">
      <alignment horizontal="center" vertical="center" wrapText="1"/>
      <protection locked="0"/>
    </xf>
    <xf numFmtId="9" fontId="77" fillId="48" borderId="44" xfId="106" applyFont="1" applyFill="1" applyBorder="1" applyAlignment="1" applyProtection="1">
      <alignment horizontal="center" vertical="center" wrapText="1"/>
      <protection locked="0"/>
    </xf>
    <xf numFmtId="0" fontId="79" fillId="4" borderId="51" xfId="7" applyFont="1" applyFill="1" applyBorder="1" applyAlignment="1">
      <alignment horizontal="center" vertical="center" wrapText="1"/>
    </xf>
    <xf numFmtId="0" fontId="79" fillId="4" borderId="0" xfId="7" applyFont="1" applyFill="1" applyBorder="1" applyAlignment="1">
      <alignment horizontal="center" vertical="center" wrapText="1"/>
    </xf>
    <xf numFmtId="0" fontId="79" fillId="4" borderId="45" xfId="7" applyFont="1" applyFill="1" applyBorder="1" applyAlignment="1">
      <alignment horizontal="center" vertical="center" wrapText="1"/>
    </xf>
    <xf numFmtId="0" fontId="77" fillId="0" borderId="16" xfId="7" applyFont="1" applyBorder="1" applyAlignment="1" applyProtection="1">
      <alignment horizontal="center" vertical="center" wrapText="1"/>
      <protection locked="0"/>
    </xf>
    <xf numFmtId="0" fontId="77" fillId="0" borderId="50" xfId="7" applyFont="1" applyBorder="1" applyAlignment="1" applyProtection="1">
      <alignment horizontal="center" vertical="center" wrapText="1"/>
      <protection locked="0"/>
    </xf>
    <xf numFmtId="0" fontId="76" fillId="20" borderId="31" xfId="7" applyFont="1" applyFill="1" applyBorder="1" applyAlignment="1">
      <alignment horizontal="center" vertical="center" wrapText="1"/>
    </xf>
    <xf numFmtId="0" fontId="50" fillId="5" borderId="2" xfId="96" applyFont="1" applyFill="1" applyBorder="1" applyAlignment="1" applyProtection="1">
      <alignment horizontal="center"/>
      <protection hidden="1"/>
    </xf>
    <xf numFmtId="0" fontId="50" fillId="5" borderId="16" xfId="96" applyFont="1" applyFill="1" applyBorder="1" applyAlignment="1" applyProtection="1">
      <alignment horizontal="center"/>
      <protection hidden="1"/>
    </xf>
    <xf numFmtId="0" fontId="44" fillId="26" borderId="2" xfId="96" applyFont="1" applyFill="1" applyBorder="1" applyAlignment="1" applyProtection="1">
      <alignment horizontal="center"/>
      <protection hidden="1"/>
    </xf>
    <xf numFmtId="0" fontId="44" fillId="26" borderId="16" xfId="96" applyFont="1" applyFill="1" applyBorder="1" applyAlignment="1" applyProtection="1">
      <alignment horizontal="center"/>
      <protection hidden="1"/>
    </xf>
    <xf numFmtId="0" fontId="129" fillId="0" borderId="5" xfId="96" applyFont="1" applyBorder="1" applyAlignment="1">
      <alignment horizontal="left" vertical="center" wrapText="1"/>
    </xf>
    <xf numFmtId="0" fontId="129" fillId="0" borderId="6" xfId="96" applyFont="1" applyBorder="1" applyAlignment="1">
      <alignment horizontal="left" vertical="center" wrapText="1"/>
    </xf>
    <xf numFmtId="0" fontId="130" fillId="0" borderId="5" xfId="96" applyFont="1" applyBorder="1" applyAlignment="1">
      <alignment horizontal="left" vertical="center"/>
    </xf>
    <xf numFmtId="0" fontId="130" fillId="0" borderId="6" xfId="96" applyFont="1" applyBorder="1" applyAlignment="1">
      <alignment horizontal="left" vertical="center"/>
    </xf>
    <xf numFmtId="0" fontId="130" fillId="0" borderId="5" xfId="96" applyFont="1" applyBorder="1" applyAlignment="1">
      <alignment horizontal="center" vertical="center"/>
    </xf>
    <xf numFmtId="0" fontId="130" fillId="0" borderId="6" xfId="96" applyFont="1" applyBorder="1" applyAlignment="1">
      <alignment horizontal="center" vertical="center"/>
    </xf>
    <xf numFmtId="0" fontId="50" fillId="5" borderId="25" xfId="54" applyFont="1" applyFill="1" applyBorder="1" applyAlignment="1">
      <alignment horizontal="center" vertical="center" wrapText="1"/>
    </xf>
    <xf numFmtId="0" fontId="50" fillId="5" borderId="5" xfId="54" applyFont="1" applyFill="1" applyBorder="1" applyAlignment="1">
      <alignment horizontal="center" vertical="center" wrapText="1"/>
    </xf>
    <xf numFmtId="0" fontId="50" fillId="5" borderId="22" xfId="54" applyFont="1" applyFill="1" applyBorder="1" applyAlignment="1">
      <alignment horizontal="center" vertical="center"/>
    </xf>
    <xf numFmtId="0" fontId="50" fillId="5" borderId="6" xfId="54" applyFont="1" applyFill="1" applyBorder="1" applyAlignment="1">
      <alignment horizontal="center" vertical="center"/>
    </xf>
    <xf numFmtId="0" fontId="112" fillId="0" borderId="0" xfId="96" applyFont="1" applyBorder="1" applyAlignment="1">
      <alignment vertical="center" wrapText="1"/>
    </xf>
  </cellXfs>
  <cellStyles count="113">
    <cellStyle name="Check Cell" xfId="15" builtinId="23"/>
    <cellStyle name="Comma" xfId="1" builtinId="3"/>
    <cellStyle name="Comma 10" xfId="108" xr:uid="{46DAED8C-08F0-46D3-A9E8-B694504728BB}"/>
    <cellStyle name="Comma 2" xfId="30" xr:uid="{00000000-0005-0000-0000-000002000000}"/>
    <cellStyle name="Comma 3" xfId="14" xr:uid="{00000000-0005-0000-0000-000003000000}"/>
    <cellStyle name="Comma 3 2" xfId="65" xr:uid="{00000000-0005-0000-0000-000004000000}"/>
    <cellStyle name="Comma 4" xfId="27" xr:uid="{00000000-0005-0000-0000-000005000000}"/>
    <cellStyle name="Comma 4 2" xfId="69" xr:uid="{00000000-0005-0000-0000-000006000000}"/>
    <cellStyle name="Comma 5" xfId="40" xr:uid="{00000000-0005-0000-0000-000007000000}"/>
    <cellStyle name="Comma 5 2" xfId="75" xr:uid="{00000000-0005-0000-0000-000008000000}"/>
    <cellStyle name="Comma 6" xfId="48" xr:uid="{00000000-0005-0000-0000-000009000000}"/>
    <cellStyle name="Comma 6 2" xfId="81" xr:uid="{00000000-0005-0000-0000-00000A000000}"/>
    <cellStyle name="Comma 7" xfId="56" xr:uid="{00000000-0005-0000-0000-00000B000000}"/>
    <cellStyle name="Comma 7 2" xfId="89" xr:uid="{00000000-0005-0000-0000-00000C000000}"/>
    <cellStyle name="Comma 8" xfId="97" xr:uid="{00000000-0005-0000-0000-00000D000000}"/>
    <cellStyle name="Comma 9" xfId="103" xr:uid="{00000000-0005-0000-0000-00000E000000}"/>
    <cellStyle name="Excel Built-in Normal" xfId="31" xr:uid="{00000000-0005-0000-0000-00000F000000}"/>
    <cellStyle name="Hyperlink" xfId="12" builtinId="8"/>
    <cellStyle name="Hyperlink 2" xfId="38" xr:uid="{00000000-0005-0000-0000-000011000000}"/>
    <cellStyle name="Normal" xfId="0" builtinId="0"/>
    <cellStyle name="Normal 10" xfId="54" xr:uid="{00000000-0005-0000-0000-000013000000}"/>
    <cellStyle name="Normal 10 2" xfId="87" xr:uid="{00000000-0005-0000-0000-000014000000}"/>
    <cellStyle name="Normal 11" xfId="57" xr:uid="{00000000-0005-0000-0000-000015000000}"/>
    <cellStyle name="Normal 11 2" xfId="90" xr:uid="{00000000-0005-0000-0000-000016000000}"/>
    <cellStyle name="Normal 12" xfId="94" xr:uid="{00000000-0005-0000-0000-000017000000}"/>
    <cellStyle name="Normal 13" xfId="63" xr:uid="{00000000-0005-0000-0000-000018000000}"/>
    <cellStyle name="Normal 14" xfId="96" xr:uid="{00000000-0005-0000-0000-000019000000}"/>
    <cellStyle name="Normal 15" xfId="102" xr:uid="{00000000-0005-0000-0000-00001A000000}"/>
    <cellStyle name="Normal 16" xfId="105" xr:uid="{689FD84A-D881-4707-94B6-0906BB34171A}"/>
    <cellStyle name="Normal 17" xfId="107" xr:uid="{31203A43-25C2-4B16-89C4-06EB65A993F7}"/>
    <cellStyle name="Normal 18" xfId="109" xr:uid="{AD8C2691-11DF-4017-AF18-BD44702342B7}"/>
    <cellStyle name="Normal 19" xfId="110" xr:uid="{E8893265-24CE-4433-A6CF-BDAE80AEB068}"/>
    <cellStyle name="Normal 2" xfId="5" xr:uid="{00000000-0005-0000-0000-00001B000000}"/>
    <cellStyle name="Normal 2 2" xfId="7" xr:uid="{00000000-0005-0000-0000-00001C000000}"/>
    <cellStyle name="Normal 2 2 2" xfId="20" xr:uid="{00000000-0005-0000-0000-00001D000000}"/>
    <cellStyle name="Normal 2 2 3" xfId="25" xr:uid="{00000000-0005-0000-0000-00001E000000}"/>
    <cellStyle name="Normal 2 2 4" xfId="19" xr:uid="{00000000-0005-0000-0000-00001F000000}"/>
    <cellStyle name="Normal 2 2 4 2" xfId="67" xr:uid="{00000000-0005-0000-0000-000020000000}"/>
    <cellStyle name="Normal 2 2 5" xfId="46" xr:uid="{00000000-0005-0000-0000-000021000000}"/>
    <cellStyle name="Normal 2 2 5 2" xfId="79" xr:uid="{00000000-0005-0000-0000-000022000000}"/>
    <cellStyle name="Normal 2 3" xfId="21" xr:uid="{00000000-0005-0000-0000-000023000000}"/>
    <cellStyle name="Normal 2 3 2" xfId="99" xr:uid="{00000000-0005-0000-0000-000024000000}"/>
    <cellStyle name="Normal 2 4" xfId="24" xr:uid="{00000000-0005-0000-0000-000025000000}"/>
    <cellStyle name="Normal 2 4 2" xfId="47" xr:uid="{00000000-0005-0000-0000-000026000000}"/>
    <cellStyle name="Normal 2 4 2 2" xfId="80" xr:uid="{00000000-0005-0000-0000-000027000000}"/>
    <cellStyle name="Normal 2 4 3" xfId="68" xr:uid="{00000000-0005-0000-0000-000028000000}"/>
    <cellStyle name="Normal 2 5" xfId="18" xr:uid="{00000000-0005-0000-0000-000029000000}"/>
    <cellStyle name="Normal 2_1 BIL Credit assessmentV3" xfId="41" xr:uid="{00000000-0005-0000-0000-00002A000000}"/>
    <cellStyle name="Normal 20" xfId="112" xr:uid="{9C2B6D17-95A1-441E-9469-4E145B1FFAE6}"/>
    <cellStyle name="Normal 3" xfId="8" xr:uid="{00000000-0005-0000-0000-00002B000000}"/>
    <cellStyle name="Normal 3 2" xfId="16" xr:uid="{00000000-0005-0000-0000-00002C000000}"/>
    <cellStyle name="Normal 3 2 2" xfId="32" xr:uid="{00000000-0005-0000-0000-00002D000000}"/>
    <cellStyle name="Normal 3 2 2 2" xfId="71" xr:uid="{00000000-0005-0000-0000-00002E000000}"/>
    <cellStyle name="Normal 3 2 3" xfId="50" xr:uid="{00000000-0005-0000-0000-00002F000000}"/>
    <cellStyle name="Normal 3 2 3 2" xfId="83" xr:uid="{00000000-0005-0000-0000-000030000000}"/>
    <cellStyle name="Normal 3 2 4" xfId="60" xr:uid="{00000000-0005-0000-0000-000031000000}"/>
    <cellStyle name="Normal 3 2 4 2" xfId="93" xr:uid="{00000000-0005-0000-0000-000032000000}"/>
    <cellStyle name="Normal 3 3" xfId="37" xr:uid="{00000000-0005-0000-0000-000033000000}"/>
    <cellStyle name="Normal 3 3 2" xfId="52" xr:uid="{00000000-0005-0000-0000-000034000000}"/>
    <cellStyle name="Normal 3 3 2 2" xfId="85" xr:uid="{00000000-0005-0000-0000-000035000000}"/>
    <cellStyle name="Normal 3 3 3" xfId="73" xr:uid="{00000000-0005-0000-0000-000036000000}"/>
    <cellStyle name="Normal 3 4" xfId="23" xr:uid="{00000000-0005-0000-0000-000037000000}"/>
    <cellStyle name="Normal 3 5" xfId="43" xr:uid="{00000000-0005-0000-0000-000038000000}"/>
    <cellStyle name="Normal 3 5 2" xfId="76" xr:uid="{00000000-0005-0000-0000-000039000000}"/>
    <cellStyle name="Normal 3 6" xfId="64" xr:uid="{00000000-0005-0000-0000-00003A000000}"/>
    <cellStyle name="Normal 4" xfId="6" xr:uid="{00000000-0005-0000-0000-00003B000000}"/>
    <cellStyle name="Normal 4 2" xfId="29" xr:uid="{00000000-0005-0000-0000-00003C000000}"/>
    <cellStyle name="Normal 5" xfId="33" xr:uid="{00000000-0005-0000-0000-00003D000000}"/>
    <cellStyle name="Normal 5 2" xfId="44" xr:uid="{00000000-0005-0000-0000-00003E000000}"/>
    <cellStyle name="Normal 5 2 2" xfId="77" xr:uid="{00000000-0005-0000-0000-00003F000000}"/>
    <cellStyle name="Normal 58" xfId="34" xr:uid="{00000000-0005-0000-0000-000040000000}"/>
    <cellStyle name="Normal 58 2" xfId="51" xr:uid="{00000000-0005-0000-0000-000041000000}"/>
    <cellStyle name="Normal 58 2 2" xfId="84" xr:uid="{00000000-0005-0000-0000-000042000000}"/>
    <cellStyle name="Normal 58 3" xfId="59" xr:uid="{00000000-0005-0000-0000-000043000000}"/>
    <cellStyle name="Normal 58 3 2" xfId="92" xr:uid="{00000000-0005-0000-0000-000044000000}"/>
    <cellStyle name="Normal 58 4" xfId="62" xr:uid="{00000000-0005-0000-0000-000045000000}"/>
    <cellStyle name="Normal 58 4 2" xfId="95" xr:uid="{00000000-0005-0000-0000-000046000000}"/>
    <cellStyle name="Normal 58 5" xfId="72" xr:uid="{00000000-0005-0000-0000-000047000000}"/>
    <cellStyle name="Normal 58 6" xfId="100" xr:uid="{00000000-0005-0000-0000-000048000000}"/>
    <cellStyle name="Normal 58 7" xfId="101" xr:uid="{00000000-0005-0000-0000-000049000000}"/>
    <cellStyle name="Normal 6" xfId="35" xr:uid="{00000000-0005-0000-0000-00004A000000}"/>
    <cellStyle name="Normal 7" xfId="36" xr:uid="{00000000-0005-0000-0000-00004B000000}"/>
    <cellStyle name="Normal 8" xfId="17" xr:uid="{00000000-0005-0000-0000-00004C000000}"/>
    <cellStyle name="Normal 8 2" xfId="66" xr:uid="{00000000-0005-0000-0000-00004D000000}"/>
    <cellStyle name="Normal 8 3" xfId="111" xr:uid="{6EF51EB6-459E-4159-8791-AA2BB7923760}"/>
    <cellStyle name="Normal 9" xfId="45" xr:uid="{00000000-0005-0000-0000-00004E000000}"/>
    <cellStyle name="Normal 9 2" xfId="78" xr:uid="{00000000-0005-0000-0000-00004F000000}"/>
    <cellStyle name="Normal_3 New Revised Eligibility Calculator 3Yrs" xfId="11" xr:uid="{00000000-0005-0000-0000-000050000000}"/>
    <cellStyle name="Normal_ANZ" xfId="10" xr:uid="{00000000-0005-0000-0000-000051000000}"/>
    <cellStyle name="Normal_Banking &amp; RTR Sheet" xfId="13" xr:uid="{00000000-0005-0000-0000-000052000000}"/>
    <cellStyle name="Normal_Frontsheet_1" xfId="2" xr:uid="{00000000-0005-0000-0000-000053000000}"/>
    <cellStyle name="Normal_Frontsheet_One Pager (2)" xfId="3" xr:uid="{00000000-0005-0000-0000-000054000000}"/>
    <cellStyle name="Percent" xfId="4" builtinId="5"/>
    <cellStyle name="Percent 10" xfId="106" xr:uid="{F5F816B6-8E08-4BF7-B15B-41D7E6C0F126}"/>
    <cellStyle name="Percent 2" xfId="28" xr:uid="{00000000-0005-0000-0000-000056000000}"/>
    <cellStyle name="Percent 2 2" xfId="22" xr:uid="{00000000-0005-0000-0000-000057000000}"/>
    <cellStyle name="Percent 2 3" xfId="26" xr:uid="{00000000-0005-0000-0000-000058000000}"/>
    <cellStyle name="Percent 2 4" xfId="42" xr:uid="{00000000-0005-0000-0000-000059000000}"/>
    <cellStyle name="Percent 2 5" xfId="70" xr:uid="{00000000-0005-0000-0000-00005A000000}"/>
    <cellStyle name="Percent 3" xfId="9" xr:uid="{00000000-0005-0000-0000-00005B000000}"/>
    <cellStyle name="Percent 3 2" xfId="39" xr:uid="{00000000-0005-0000-0000-00005C000000}"/>
    <cellStyle name="Percent 3 2 2" xfId="74" xr:uid="{00000000-0005-0000-0000-00005D000000}"/>
    <cellStyle name="Percent 3 3" xfId="53" xr:uid="{00000000-0005-0000-0000-00005E000000}"/>
    <cellStyle name="Percent 3 3 2" xfId="86" xr:uid="{00000000-0005-0000-0000-00005F000000}"/>
    <cellStyle name="Percent 4" xfId="49" xr:uid="{00000000-0005-0000-0000-000060000000}"/>
    <cellStyle name="Percent 4 2" xfId="82" xr:uid="{00000000-0005-0000-0000-000061000000}"/>
    <cellStyle name="Percent 5" xfId="55" xr:uid="{00000000-0005-0000-0000-000062000000}"/>
    <cellStyle name="Percent 5 2" xfId="88" xr:uid="{00000000-0005-0000-0000-000063000000}"/>
    <cellStyle name="Percent 6" xfId="58" xr:uid="{00000000-0005-0000-0000-000064000000}"/>
    <cellStyle name="Percent 6 2" xfId="91" xr:uid="{00000000-0005-0000-0000-000065000000}"/>
    <cellStyle name="Percent 7" xfId="61" xr:uid="{00000000-0005-0000-0000-000066000000}"/>
    <cellStyle name="Percent 8" xfId="98" xr:uid="{00000000-0005-0000-0000-000067000000}"/>
    <cellStyle name="Percent 9" xfId="104" xr:uid="{00000000-0005-0000-0000-000068000000}"/>
  </cellStyles>
  <dxfs count="381">
    <dxf>
      <font>
        <color theme="2"/>
      </font>
    </dxf>
    <dxf>
      <fill>
        <patternFill>
          <bgColor theme="2"/>
        </patternFill>
      </fill>
    </dxf>
    <dxf>
      <fill>
        <patternFill>
          <bgColor theme="2"/>
        </patternFill>
      </fill>
    </dxf>
    <dxf>
      <fill>
        <patternFill>
          <bgColor theme="2"/>
        </patternFill>
      </fill>
    </dxf>
    <dxf>
      <fill>
        <patternFill>
          <bgColor theme="2"/>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color theme="0"/>
      </font>
      <fill>
        <patternFill>
          <bgColor theme="0"/>
        </patternFill>
      </fill>
    </dxf>
    <dxf>
      <font>
        <color theme="0"/>
      </font>
      <numFmt numFmtId="0" formatCode="General"/>
      <fill>
        <patternFill>
          <bgColor theme="0"/>
        </patternFill>
      </fill>
    </dxf>
    <dxf>
      <font>
        <color theme="1"/>
      </font>
      <fill>
        <patternFill>
          <bgColor rgb="FF92D05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92D050"/>
        </patternFill>
      </fill>
    </dxf>
    <dxf>
      <font>
        <color theme="0"/>
      </font>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val="0"/>
        <i val="0"/>
        <strike val="0"/>
        <condense val="0"/>
        <extend val="0"/>
        <outline val="0"/>
        <shadow val="0"/>
        <u val="none"/>
        <vertAlign val="baseline"/>
        <sz val="11"/>
        <color theme="1"/>
        <name val="Arial"/>
        <family val="2"/>
        <scheme val="none"/>
      </font>
      <numFmt numFmtId="182"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medium">
          <color theme="1"/>
        </right>
        <top style="medium">
          <color theme="1"/>
        </top>
        <bottom style="medium">
          <color theme="1"/>
        </bottom>
      </border>
      <protection locked="1" hidden="0"/>
    </dxf>
    <dxf>
      <font>
        <strike val="0"/>
        <outline val="0"/>
        <shadow val="0"/>
        <u val="none"/>
        <vertAlign val="baseline"/>
        <sz val="10"/>
        <color theme="1"/>
        <name val="Arial"/>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top/>
        <bottom/>
        <vertical/>
        <horizontal/>
      </border>
    </dxf>
    <dxf>
      <fill>
        <patternFill patternType="solid">
          <fgColor indexed="64"/>
          <bgColor theme="0"/>
        </patternFill>
      </fill>
      <border diagonalUp="0" diagonalDown="0" outline="0">
        <left style="thin">
          <color indexed="64"/>
        </left>
        <right/>
        <top style="medium">
          <color indexed="64"/>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numFmt numFmtId="188"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b val="0"/>
        <i val="0"/>
        <strike val="0"/>
        <condense val="0"/>
        <extend val="0"/>
        <outline val="0"/>
        <shadow val="0"/>
        <u val="none"/>
        <vertAlign val="baseline"/>
        <sz val="10"/>
        <color theme="1"/>
        <name val="Arial"/>
        <scheme val="none"/>
      </font>
      <numFmt numFmtId="182"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182"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182"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color theme="1"/>
        <name val="Arial"/>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0" formatCode="General"/>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name val="Arial"/>
        <scheme val="none"/>
      </font>
      <numFmt numFmtId="0" formatCode="General"/>
      <alignment vertical="center" textRotation="0" indent="0" justifyLastLine="0" shrinkToFit="0" readingOrder="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1"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name val="Arial"/>
        <scheme val="none"/>
      </font>
      <alignment vertical="center" textRotation="0" indent="0" justifyLastLine="0" shrinkToFit="0" readingOrder="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b val="0"/>
        <i val="0"/>
        <strike val="0"/>
        <condense val="0"/>
        <extend val="0"/>
        <outline val="0"/>
        <shadow val="0"/>
        <u val="none"/>
        <vertAlign val="baseline"/>
        <sz val="10"/>
        <color theme="1"/>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19" formatCode="dd/mm/yyyy"/>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right/>
        <top style="medium">
          <color theme="1"/>
        </top>
        <bottom style="medium">
          <color theme="1"/>
        </bottom>
      </border>
      <protection locked="1" hidden="0"/>
    </dxf>
    <dxf>
      <font>
        <strike val="0"/>
        <outline val="0"/>
        <shadow val="0"/>
        <u val="none"/>
        <vertAlign val="baseline"/>
        <sz val="10"/>
        <color auto="1"/>
        <name val="Arial"/>
        <scheme val="none"/>
      </font>
      <numFmt numFmtId="3" formatCode="#,##0"/>
      <fill>
        <patternFill patternType="none">
          <fgColor indexed="64"/>
          <bgColor indexed="65"/>
        </patternFill>
      </fill>
      <alignment horizontal="general" vertical="center" textRotation="0" wrapText="0" indent="0" justifyLastLine="0" shrinkToFit="0" readingOrder="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b val="0"/>
        <i val="0"/>
        <strike val="0"/>
        <condense val="0"/>
        <extend val="0"/>
        <outline val="0"/>
        <shadow val="0"/>
        <u val="none"/>
        <vertAlign val="baseline"/>
        <sz val="10"/>
        <color theme="1"/>
        <name val="Arial"/>
        <scheme val="none"/>
      </font>
      <numFmt numFmtId="3" formatCode="#,##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numFmt numFmtId="3" formatCode="#,##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182"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color theme="1"/>
        <name val="Arial"/>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bottom style="thin">
          <color indexed="64"/>
        </bottom>
        <vertical/>
        <horizontal/>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0"/>
    </dxf>
    <dxf>
      <font>
        <strike val="0"/>
        <outline val="0"/>
        <shadow val="0"/>
        <u val="none"/>
        <vertAlign val="baseline"/>
        <sz val="10"/>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family val="2"/>
        <scheme val="none"/>
      </font>
      <numFmt numFmtId="0" formatCode="General"/>
      <fill>
        <patternFill patternType="solid">
          <fgColor indexed="64"/>
          <bgColor theme="4" tint="0.59999389629810485"/>
        </patternFill>
      </fill>
      <alignment horizontal="general" vertical="center" textRotation="0" wrapText="0" indent="0" justifyLastLine="0" shrinkToFit="0" readingOrder="0"/>
      <border diagonalUp="0" diagonalDown="0" outline="0">
        <left style="medium">
          <color theme="1"/>
        </left>
        <right style="thin">
          <color indexed="64"/>
        </right>
        <top style="medium">
          <color theme="1"/>
        </top>
        <bottom style="medium">
          <color theme="1"/>
        </bottom>
      </border>
      <protection locked="1" hidden="0"/>
    </dxf>
    <dxf>
      <font>
        <strike val="0"/>
        <outline val="0"/>
        <shadow val="0"/>
        <u val="none"/>
        <vertAlign val="baseline"/>
        <name val="Arial"/>
        <scheme val="none"/>
      </font>
      <alignment vertical="center" textRotation="0" indent="0" justifyLastLine="0" shrinkToFit="0" readingOrder="0"/>
    </dxf>
    <dxf>
      <fill>
        <patternFill patternType="solid">
          <fgColor indexed="64"/>
          <bgColor theme="0"/>
        </patternFill>
      </fill>
      <border diagonalUp="0" diagonalDown="0" outline="0">
        <left/>
        <right style="thin">
          <color indexed="64"/>
        </right>
        <top/>
        <bottom style="thin">
          <color indexed="64"/>
        </bottom>
      </border>
    </dxf>
    <dxf>
      <border>
        <top style="thin">
          <color indexed="64"/>
        </top>
      </border>
    </dxf>
    <dxf>
      <font>
        <strike val="0"/>
        <outline val="0"/>
        <shadow val="0"/>
        <u val="none"/>
        <vertAlign val="baseline"/>
        <sz val="10"/>
        <name val="Arial"/>
        <scheme val="none"/>
      </font>
      <alignment vertical="center" textRotation="0" indent="0" justifyLastLine="0" shrinkToFit="0" readingOrder="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0"/>
        <name val="Arial"/>
        <scheme val="none"/>
      </font>
      <fill>
        <patternFill patternType="solid">
          <fgColor indexed="64"/>
          <bgColor theme="0"/>
        </patternFill>
      </fill>
      <alignment vertical="center" textRotation="0" indent="0" justifyLastLine="0" shrinkToFit="0" readingOrder="0"/>
    </dxf>
    <dxf>
      <border outline="0">
        <bottom style="thin">
          <color indexed="64"/>
        </bottom>
      </border>
    </dxf>
    <dxf>
      <font>
        <strike val="0"/>
        <outline val="0"/>
        <shadow val="0"/>
        <u val="none"/>
        <vertAlign val="baseline"/>
        <sz val="10"/>
        <name val="Arial"/>
        <scheme val="none"/>
      </font>
      <fill>
        <patternFill patternType="solid">
          <fgColor indexed="64"/>
          <bgColor theme="0"/>
        </patternFill>
      </fill>
      <alignment vertical="center" textRotation="0" indent="0" justifyLastLine="0" shrinkToFit="0" readingOrder="0"/>
      <border diagonalUp="0" diagonalDown="0" outline="0">
        <left style="thin">
          <color indexed="64"/>
        </left>
        <right style="thin">
          <color indexed="64"/>
        </right>
        <top/>
        <bottom/>
      </border>
    </dxf>
    <dxf>
      <font>
        <color rgb="FFFF0000"/>
        <name val="Calibri"/>
      </font>
      <fill>
        <patternFill patternType="none"/>
      </fill>
    </dxf>
    <dxf>
      <fill>
        <patternFill patternType="none"/>
      </fill>
    </dxf>
    <dxf>
      <fill>
        <patternFill patternType="none"/>
      </fill>
    </dxf>
    <dxf>
      <fill>
        <patternFill patternType="none"/>
      </fill>
    </dxf>
    <dxf>
      <fill>
        <patternFill patternType="none"/>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ndense val="0"/>
        <extend val="0"/>
        <color rgb="FF006100"/>
      </font>
      <fill>
        <patternFill>
          <bgColor rgb="FFC6EFCE"/>
        </patternFill>
      </fill>
    </dxf>
    <dxf>
      <fill>
        <patternFill>
          <bgColor rgb="FFFFC7CE"/>
        </patternFill>
      </fill>
    </dxf>
    <dxf>
      <fill>
        <patternFill>
          <bgColor rgb="FFFF000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color rgb="FFFF0000"/>
      </font>
    </dxf>
    <dxf>
      <font>
        <b val="0"/>
        <i val="0"/>
        <color rgb="FFFF0000"/>
      </font>
    </dxf>
    <dxf>
      <font>
        <b val="0"/>
        <i val="0"/>
        <color rgb="FFFF0000"/>
      </font>
    </dxf>
    <dxf>
      <font>
        <b val="0"/>
        <i val="0"/>
        <color rgb="FFFF0000"/>
      </font>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fill>
        <patternFill>
          <bgColor rgb="FFFF0000"/>
        </patternFill>
      </fill>
    </dxf>
    <dxf>
      <fill>
        <patternFill>
          <bgColor rgb="FF00B050"/>
        </patternFill>
      </fill>
    </dxf>
    <dxf>
      <fill>
        <patternFill>
          <bgColor theme="9" tint="-0.24994659260841701"/>
        </patternFill>
      </fill>
    </dxf>
    <dxf>
      <border diagonalUp="0" diagonalDown="0" outline="0">
        <left/>
        <right/>
        <top style="thin">
          <color indexed="64"/>
        </top>
        <bottom style="thin">
          <color indexed="64"/>
        </bottom>
      </border>
    </dxf>
    <dxf>
      <font>
        <strike val="0"/>
        <outline val="0"/>
        <shadow val="0"/>
        <u val="none"/>
        <vertAlign val="baseline"/>
        <sz val="10"/>
        <color auto="1"/>
        <name val="Arial"/>
        <scheme val="none"/>
      </font>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diagonalUp="0" diagonalDown="0" outline="0">
        <left/>
        <right/>
        <top style="thin">
          <color indexed="64"/>
        </top>
        <bottom style="thin">
          <color indexed="64"/>
        </bottom>
      </border>
    </dxf>
    <dxf>
      <border outline="0">
        <left style="medium">
          <color indexed="64"/>
        </left>
        <right style="medium">
          <color indexed="64"/>
        </right>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0"/>
        <color theme="0"/>
        <name val="Arial"/>
        <scheme val="none"/>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val="none"/>
        <color auto="1"/>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s>
  <tableStyles count="0" defaultTableStyle="TableStyleMedium9" defaultPivotStyle="PivotStyleLight16"/>
  <colors>
    <mruColors>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3.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2.xml"/><Relationship Id="rId8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61" Type="http://schemas.openxmlformats.org/officeDocument/2006/relationships/worksheet" Target="worksheets/sheet61.xml"/><Relationship Id="rId8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4472C4"/>
              </a:solidFill>
            </c:spPr>
            <c:extLst>
              <c:ext xmlns:c16="http://schemas.microsoft.com/office/drawing/2014/chart" uri="{C3380CC4-5D6E-409C-BE32-E72D297353CC}">
                <c16:uniqueId val="{00000001-2462-4A67-89EB-0E2AB408627A}"/>
              </c:ext>
            </c:extLst>
          </c:dPt>
          <c:dPt>
            <c:idx val="1"/>
            <c:bubble3D val="0"/>
            <c:spPr>
              <a:solidFill>
                <a:srgbClr val="ED7D31"/>
              </a:solidFill>
            </c:spPr>
            <c:extLst>
              <c:ext xmlns:c16="http://schemas.microsoft.com/office/drawing/2014/chart" uri="{C3380CC4-5D6E-409C-BE32-E72D297353CC}">
                <c16:uniqueId val="{00000003-2462-4A67-89EB-0E2AB408627A}"/>
              </c:ext>
            </c:extLst>
          </c:dPt>
          <c:dPt>
            <c:idx val="2"/>
            <c:bubble3D val="0"/>
            <c:spPr>
              <a:solidFill>
                <a:srgbClr val="A5A5A5"/>
              </a:solidFill>
            </c:spPr>
            <c:extLst>
              <c:ext xmlns:c16="http://schemas.microsoft.com/office/drawing/2014/chart" uri="{C3380CC4-5D6E-409C-BE32-E72D297353CC}">
                <c16:uniqueId val="{00000005-2462-4A67-89EB-0E2AB408627A}"/>
              </c:ext>
            </c:extLst>
          </c:dPt>
          <c:dPt>
            <c:idx val="3"/>
            <c:bubble3D val="0"/>
            <c:spPr>
              <a:solidFill>
                <a:srgbClr val="FFC000"/>
              </a:solidFill>
            </c:spPr>
            <c:extLst>
              <c:ext xmlns:c16="http://schemas.microsoft.com/office/drawing/2014/chart" uri="{C3380CC4-5D6E-409C-BE32-E72D297353CC}">
                <c16:uniqueId val="{00000007-2462-4A67-89EB-0E2AB408627A}"/>
              </c:ext>
            </c:extLst>
          </c:dPt>
          <c:dPt>
            <c:idx val="4"/>
            <c:bubble3D val="0"/>
            <c:spPr>
              <a:solidFill>
                <a:srgbClr val="5B9BD5"/>
              </a:solidFill>
            </c:spPr>
            <c:extLst>
              <c:ext xmlns:c16="http://schemas.microsoft.com/office/drawing/2014/chart" uri="{C3380CC4-5D6E-409C-BE32-E72D297353CC}">
                <c16:uniqueId val="{00000009-2462-4A67-89EB-0E2AB408627A}"/>
              </c:ext>
            </c:extLst>
          </c:dPt>
          <c:dPt>
            <c:idx val="5"/>
            <c:bubble3D val="0"/>
            <c:spPr>
              <a:solidFill>
                <a:srgbClr val="70AD47"/>
              </a:solidFill>
            </c:spPr>
            <c:extLst>
              <c:ext xmlns:c16="http://schemas.microsoft.com/office/drawing/2014/chart" uri="{C3380CC4-5D6E-409C-BE32-E72D297353CC}">
                <c16:uniqueId val="{0000000B-2462-4A67-89EB-0E2AB408627A}"/>
              </c:ext>
            </c:extLst>
          </c:dPt>
          <c:dPt>
            <c:idx val="6"/>
            <c:bubble3D val="0"/>
            <c:spPr>
              <a:solidFill>
                <a:srgbClr val="7C9CD6"/>
              </a:solidFill>
            </c:spPr>
            <c:extLst>
              <c:ext xmlns:c16="http://schemas.microsoft.com/office/drawing/2014/chart" uri="{C3380CC4-5D6E-409C-BE32-E72D297353CC}">
                <c16:uniqueId val="{0000000D-2462-4A67-89EB-0E2AB408627A}"/>
              </c:ext>
            </c:extLst>
          </c:dPt>
          <c:dPt>
            <c:idx val="7"/>
            <c:bubble3D val="0"/>
            <c:spPr>
              <a:solidFill>
                <a:srgbClr val="F2A46F"/>
              </a:solidFill>
            </c:spPr>
            <c:extLst>
              <c:ext xmlns:c16="http://schemas.microsoft.com/office/drawing/2014/chart" uri="{C3380CC4-5D6E-409C-BE32-E72D297353CC}">
                <c16:uniqueId val="{0000000F-2462-4A67-89EB-0E2AB408627A}"/>
              </c:ext>
            </c:extLst>
          </c:dPt>
          <c:dPt>
            <c:idx val="8"/>
            <c:bubble3D val="0"/>
            <c:spPr>
              <a:solidFill>
                <a:srgbClr val="C0C0C0"/>
              </a:solidFill>
            </c:spPr>
            <c:extLst>
              <c:ext xmlns:c16="http://schemas.microsoft.com/office/drawing/2014/chart" uri="{C3380CC4-5D6E-409C-BE32-E72D297353CC}">
                <c16:uniqueId val="{00000011-2462-4A67-89EB-0E2AB408627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'Transaction-Analysis'!$D$24:$D$32</c:f>
              <c:strCache>
                <c:ptCount val="9"/>
                <c:pt idx="0">
                  <c:v>NEFT</c:v>
                </c:pt>
                <c:pt idx="1">
                  <c:v>FOREX-TRANSFER</c:v>
                </c:pt>
                <c:pt idx="2">
                  <c:v>INTER-FIRM</c:v>
                </c:pt>
                <c:pt idx="3">
                  <c:v>LOAN-CREDIT</c:v>
                </c:pt>
                <c:pt idx="4">
                  <c:v>TRANSFER</c:v>
                </c:pt>
                <c:pt idx="5">
                  <c:v>RTGS</c:v>
                </c:pt>
                <c:pt idx="6">
                  <c:v>CHQ</c:v>
                </c:pt>
                <c:pt idx="7">
                  <c:v>OTHER-TRANSFER</c:v>
                </c:pt>
                <c:pt idx="8">
                  <c:v>REVERSED</c:v>
                </c:pt>
              </c:strCache>
            </c:strRef>
          </c:cat>
          <c:val>
            <c:numRef>
              <c:f>'Transaction-Analysis'!$F$24:$F$32</c:f>
              <c:numCache>
                <c:formatCode>General</c:formatCode>
                <c:ptCount val="9"/>
                <c:pt idx="0">
                  <c:v>87393891.280000001</c:v>
                </c:pt>
                <c:pt idx="1">
                  <c:v>20869538.940000001</c:v>
                </c:pt>
                <c:pt idx="2">
                  <c:v>19150000</c:v>
                </c:pt>
                <c:pt idx="3">
                  <c:v>15030395.710000001</c:v>
                </c:pt>
                <c:pt idx="4">
                  <c:v>14296445.35</c:v>
                </c:pt>
                <c:pt idx="5">
                  <c:v>7409098.4199999999</c:v>
                </c:pt>
                <c:pt idx="6">
                  <c:v>454640</c:v>
                </c:pt>
                <c:pt idx="7">
                  <c:v>265909</c:v>
                </c:pt>
                <c:pt idx="8">
                  <c:v>32</c:v>
                </c:pt>
              </c:numCache>
            </c:numRef>
          </c:val>
          <c:extLst>
            <c:ext xmlns:c16="http://schemas.microsoft.com/office/drawing/2014/chart" uri="{C3380CC4-5D6E-409C-BE32-E72D297353CC}">
              <c16:uniqueId val="{00000012-2462-4A67-89EB-0E2AB408627A}"/>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4472C4"/>
              </a:solidFill>
            </c:spPr>
            <c:extLst>
              <c:ext xmlns:c16="http://schemas.microsoft.com/office/drawing/2014/chart" uri="{C3380CC4-5D6E-409C-BE32-E72D297353CC}">
                <c16:uniqueId val="{00000001-8D94-4961-808D-8277DB937411}"/>
              </c:ext>
            </c:extLst>
          </c:dPt>
          <c:dPt>
            <c:idx val="1"/>
            <c:bubble3D val="0"/>
            <c:spPr>
              <a:solidFill>
                <a:srgbClr val="ED7D31"/>
              </a:solidFill>
            </c:spPr>
            <c:extLst>
              <c:ext xmlns:c16="http://schemas.microsoft.com/office/drawing/2014/chart" uri="{C3380CC4-5D6E-409C-BE32-E72D297353CC}">
                <c16:uniqueId val="{00000003-8D94-4961-808D-8277DB937411}"/>
              </c:ext>
            </c:extLst>
          </c:dPt>
          <c:dPt>
            <c:idx val="2"/>
            <c:bubble3D val="0"/>
            <c:spPr>
              <a:solidFill>
                <a:srgbClr val="A5A5A5"/>
              </a:solidFill>
            </c:spPr>
            <c:extLst>
              <c:ext xmlns:c16="http://schemas.microsoft.com/office/drawing/2014/chart" uri="{C3380CC4-5D6E-409C-BE32-E72D297353CC}">
                <c16:uniqueId val="{00000005-8D94-4961-808D-8277DB937411}"/>
              </c:ext>
            </c:extLst>
          </c:dPt>
          <c:dPt>
            <c:idx val="3"/>
            <c:bubble3D val="0"/>
            <c:spPr>
              <a:solidFill>
                <a:srgbClr val="FFC000"/>
              </a:solidFill>
            </c:spPr>
            <c:extLst>
              <c:ext xmlns:c16="http://schemas.microsoft.com/office/drawing/2014/chart" uri="{C3380CC4-5D6E-409C-BE32-E72D297353CC}">
                <c16:uniqueId val="{00000007-8D94-4961-808D-8277DB937411}"/>
              </c:ext>
            </c:extLst>
          </c:dPt>
          <c:dPt>
            <c:idx val="4"/>
            <c:bubble3D val="0"/>
            <c:spPr>
              <a:solidFill>
                <a:srgbClr val="5B9BD5"/>
              </a:solidFill>
            </c:spPr>
            <c:extLst>
              <c:ext xmlns:c16="http://schemas.microsoft.com/office/drawing/2014/chart" uri="{C3380CC4-5D6E-409C-BE32-E72D297353CC}">
                <c16:uniqueId val="{00000009-8D94-4961-808D-8277DB937411}"/>
              </c:ext>
            </c:extLst>
          </c:dPt>
          <c:dPt>
            <c:idx val="5"/>
            <c:bubble3D val="0"/>
            <c:spPr>
              <a:solidFill>
                <a:srgbClr val="70AD47"/>
              </a:solidFill>
            </c:spPr>
            <c:extLst>
              <c:ext xmlns:c16="http://schemas.microsoft.com/office/drawing/2014/chart" uri="{C3380CC4-5D6E-409C-BE32-E72D297353CC}">
                <c16:uniqueId val="{0000000B-8D94-4961-808D-8277DB937411}"/>
              </c:ext>
            </c:extLst>
          </c:dPt>
          <c:dPt>
            <c:idx val="6"/>
            <c:bubble3D val="0"/>
            <c:spPr>
              <a:solidFill>
                <a:srgbClr val="7C9CD6"/>
              </a:solidFill>
            </c:spPr>
            <c:extLst>
              <c:ext xmlns:c16="http://schemas.microsoft.com/office/drawing/2014/chart" uri="{C3380CC4-5D6E-409C-BE32-E72D297353CC}">
                <c16:uniqueId val="{0000000D-8D94-4961-808D-8277DB937411}"/>
              </c:ext>
            </c:extLst>
          </c:dPt>
          <c:dPt>
            <c:idx val="7"/>
            <c:bubble3D val="0"/>
            <c:spPr>
              <a:solidFill>
                <a:srgbClr val="F2A46F"/>
              </a:solidFill>
            </c:spPr>
            <c:extLst>
              <c:ext xmlns:c16="http://schemas.microsoft.com/office/drawing/2014/chart" uri="{C3380CC4-5D6E-409C-BE32-E72D297353CC}">
                <c16:uniqueId val="{0000000F-8D94-4961-808D-8277DB937411}"/>
              </c:ext>
            </c:extLst>
          </c:dPt>
          <c:dPt>
            <c:idx val="8"/>
            <c:bubble3D val="0"/>
            <c:spPr>
              <a:solidFill>
                <a:srgbClr val="C0C0C0"/>
              </a:solidFill>
            </c:spPr>
            <c:extLst>
              <c:ext xmlns:c16="http://schemas.microsoft.com/office/drawing/2014/chart" uri="{C3380CC4-5D6E-409C-BE32-E72D297353CC}">
                <c16:uniqueId val="{00000011-8D94-4961-808D-8277DB937411}"/>
              </c:ext>
            </c:extLst>
          </c:dPt>
          <c:dPt>
            <c:idx val="9"/>
            <c:bubble3D val="0"/>
            <c:spPr>
              <a:solidFill>
                <a:srgbClr val="FFD34D"/>
              </a:solidFill>
            </c:spPr>
            <c:extLst>
              <c:ext xmlns:c16="http://schemas.microsoft.com/office/drawing/2014/chart" uri="{C3380CC4-5D6E-409C-BE32-E72D297353CC}">
                <c16:uniqueId val="{00000013-8D94-4961-808D-8277DB937411}"/>
              </c:ext>
            </c:extLst>
          </c:dPt>
          <c:dPt>
            <c:idx val="10"/>
            <c:bubble3D val="0"/>
            <c:spPr>
              <a:solidFill>
                <a:srgbClr val="8CB9E2"/>
              </a:solidFill>
            </c:spPr>
            <c:extLst>
              <c:ext xmlns:c16="http://schemas.microsoft.com/office/drawing/2014/chart" uri="{C3380CC4-5D6E-409C-BE32-E72D297353CC}">
                <c16:uniqueId val="{00000015-8D94-4961-808D-8277DB937411}"/>
              </c:ext>
            </c:extLst>
          </c:dPt>
          <c:dPt>
            <c:idx val="11"/>
            <c:bubble3D val="0"/>
            <c:spPr>
              <a:solidFill>
                <a:srgbClr val="9BC67E"/>
              </a:solidFill>
            </c:spPr>
            <c:extLst>
              <c:ext xmlns:c16="http://schemas.microsoft.com/office/drawing/2014/chart" uri="{C3380CC4-5D6E-409C-BE32-E72D297353CC}">
                <c16:uniqueId val="{00000017-8D94-4961-808D-8277DB937411}"/>
              </c:ext>
            </c:extLst>
          </c:dPt>
          <c:dPt>
            <c:idx val="12"/>
            <c:bubble3D val="0"/>
            <c:spPr>
              <a:solidFill>
                <a:srgbClr val="B4C7E7"/>
              </a:solidFill>
            </c:spPr>
            <c:extLst>
              <c:ext xmlns:c16="http://schemas.microsoft.com/office/drawing/2014/chart" uri="{C3380CC4-5D6E-409C-BE32-E72D297353CC}">
                <c16:uniqueId val="{00000019-8D94-4961-808D-8277DB937411}"/>
              </c:ext>
            </c:extLst>
          </c:dPt>
          <c:dPt>
            <c:idx val="13"/>
            <c:bubble3D val="0"/>
            <c:spPr>
              <a:solidFill>
                <a:srgbClr val="F8CBAD"/>
              </a:solidFill>
            </c:spPr>
            <c:extLst>
              <c:ext xmlns:c16="http://schemas.microsoft.com/office/drawing/2014/chart" uri="{C3380CC4-5D6E-409C-BE32-E72D297353CC}">
                <c16:uniqueId val="{0000001B-8D94-4961-808D-8277DB937411}"/>
              </c:ext>
            </c:extLst>
          </c:dPt>
          <c:dPt>
            <c:idx val="14"/>
            <c:bubble3D val="0"/>
            <c:spPr>
              <a:solidFill>
                <a:srgbClr val="DBDBDB"/>
              </a:solidFill>
            </c:spPr>
            <c:extLst>
              <c:ext xmlns:c16="http://schemas.microsoft.com/office/drawing/2014/chart" uri="{C3380CC4-5D6E-409C-BE32-E72D297353CC}">
                <c16:uniqueId val="{0000001D-8D94-4961-808D-8277DB937411}"/>
              </c:ext>
            </c:extLst>
          </c:dPt>
          <c:dPt>
            <c:idx val="15"/>
            <c:bubble3D val="0"/>
            <c:spPr>
              <a:solidFill>
                <a:srgbClr val="FFE699"/>
              </a:solidFill>
            </c:spPr>
            <c:extLst>
              <c:ext xmlns:c16="http://schemas.microsoft.com/office/drawing/2014/chart" uri="{C3380CC4-5D6E-409C-BE32-E72D297353CC}">
                <c16:uniqueId val="{0000001F-8D94-4961-808D-8277DB937411}"/>
              </c:ext>
            </c:extLst>
          </c:dPt>
          <c:dPt>
            <c:idx val="16"/>
            <c:bubble3D val="0"/>
            <c:spPr>
              <a:solidFill>
                <a:srgbClr val="BDD7EE"/>
              </a:solidFill>
            </c:spPr>
            <c:extLst>
              <c:ext xmlns:c16="http://schemas.microsoft.com/office/drawing/2014/chart" uri="{C3380CC4-5D6E-409C-BE32-E72D297353CC}">
                <c16:uniqueId val="{00000021-8D94-4961-808D-8277DB937411}"/>
              </c:ext>
            </c:extLst>
          </c:dPt>
          <c:dPt>
            <c:idx val="17"/>
            <c:bubble3D val="0"/>
            <c:spPr>
              <a:solidFill>
                <a:srgbClr val="C6DEB5"/>
              </a:solidFill>
            </c:spPr>
            <c:extLst>
              <c:ext xmlns:c16="http://schemas.microsoft.com/office/drawing/2014/chart" uri="{C3380CC4-5D6E-409C-BE32-E72D297353CC}">
                <c16:uniqueId val="{00000023-8D94-4961-808D-8277DB93741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'Transaction-Analysis'!$H$23:$H$40</c:f>
              <c:strCache>
                <c:ptCount val="18"/>
                <c:pt idx="0">
                  <c:v>CHQ</c:v>
                </c:pt>
                <c:pt idx="1">
                  <c:v>INTER-FIRM</c:v>
                </c:pt>
                <c:pt idx="2">
                  <c:v>RTGS</c:v>
                </c:pt>
                <c:pt idx="3">
                  <c:v>TRANSFER</c:v>
                </c:pt>
                <c:pt idx="4">
                  <c:v>CASH</c:v>
                </c:pt>
                <c:pt idx="5">
                  <c:v>OTHER-TRANSFER</c:v>
                </c:pt>
                <c:pt idx="6">
                  <c:v>OTHER-STATUTORY</c:v>
                </c:pt>
                <c:pt idx="7">
                  <c:v>PROMOTER</c:v>
                </c:pt>
                <c:pt idx="8">
                  <c:v>EMI-DEBIT</c:v>
                </c:pt>
                <c:pt idx="9">
                  <c:v>INTEREST-PAID</c:v>
                </c:pt>
                <c:pt idx="10">
                  <c:v>SALARY-PAID</c:v>
                </c:pt>
                <c:pt idx="11">
                  <c:v>LOAN-DEBIT</c:v>
                </c:pt>
                <c:pt idx="12">
                  <c:v>FOREX-TRANSFER</c:v>
                </c:pt>
                <c:pt idx="13">
                  <c:v>INSURANCE</c:v>
                </c:pt>
                <c:pt idx="14">
                  <c:v>TRANSACTION-MISSING</c:v>
                </c:pt>
                <c:pt idx="15">
                  <c:v>PHONE</c:v>
                </c:pt>
                <c:pt idx="16">
                  <c:v>BANK-CHARGES</c:v>
                </c:pt>
                <c:pt idx="17">
                  <c:v>REVERSED</c:v>
                </c:pt>
              </c:strCache>
            </c:strRef>
          </c:cat>
          <c:val>
            <c:numRef>
              <c:f>'Transaction-Analysis'!$J$23:$J$40</c:f>
              <c:numCache>
                <c:formatCode>General</c:formatCode>
                <c:ptCount val="18"/>
                <c:pt idx="0">
                  <c:v>77835335.299999997</c:v>
                </c:pt>
                <c:pt idx="1">
                  <c:v>52344103.57</c:v>
                </c:pt>
                <c:pt idx="2">
                  <c:v>20300000</c:v>
                </c:pt>
                <c:pt idx="3">
                  <c:v>12336839.34</c:v>
                </c:pt>
                <c:pt idx="4">
                  <c:v>2737854</c:v>
                </c:pt>
                <c:pt idx="5">
                  <c:v>2062887</c:v>
                </c:pt>
                <c:pt idx="6">
                  <c:v>1874917</c:v>
                </c:pt>
                <c:pt idx="7">
                  <c:v>1268250</c:v>
                </c:pt>
                <c:pt idx="8">
                  <c:v>1193162</c:v>
                </c:pt>
                <c:pt idx="9">
                  <c:v>854023</c:v>
                </c:pt>
                <c:pt idx="10">
                  <c:v>834795</c:v>
                </c:pt>
                <c:pt idx="11">
                  <c:v>651339</c:v>
                </c:pt>
                <c:pt idx="12">
                  <c:v>399567.07</c:v>
                </c:pt>
                <c:pt idx="13">
                  <c:v>241655.79</c:v>
                </c:pt>
                <c:pt idx="14">
                  <c:v>153313</c:v>
                </c:pt>
                <c:pt idx="15">
                  <c:v>34690.33</c:v>
                </c:pt>
                <c:pt idx="16">
                  <c:v>24967.73</c:v>
                </c:pt>
                <c:pt idx="17">
                  <c:v>32</c:v>
                </c:pt>
              </c:numCache>
            </c:numRef>
          </c:val>
          <c:extLst>
            <c:ext xmlns:c16="http://schemas.microsoft.com/office/drawing/2014/chart" uri="{C3380CC4-5D6E-409C-BE32-E72D297353CC}">
              <c16:uniqueId val="{00000024-8D94-4961-808D-8277DB937411}"/>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spPr>
    <a:solidFill>
      <a:srgbClr val="FFFFFF"/>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1" Type="http://schemas.openxmlformats.org/officeDocument/2006/relationships/image" Target="../media/image1.emf"/></Relationships>
</file>

<file path=xl/drawings/_rels/drawing27.xml.rels><?xml version="1.0" encoding="UTF-8" standalone="yes"?>
<Relationships xmlns="http://schemas.openxmlformats.org/package/2006/relationships"><Relationship Id="rId1" Type="http://schemas.openxmlformats.org/officeDocument/2006/relationships/image" Target="../media/image1.emf"/></Relationships>
</file>

<file path=xl/drawings/_rels/drawing28.xml.rels><?xml version="1.0" encoding="UTF-8" standalone="yes"?>
<Relationships xmlns="http://schemas.openxmlformats.org/package/2006/relationships"><Relationship Id="rId1" Type="http://schemas.openxmlformats.org/officeDocument/2006/relationships/image" Target="../media/image1.emf"/></Relationships>
</file>

<file path=xl/drawings/_rels/drawing3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4552950</xdr:colOff>
      <xdr:row>0</xdr:row>
      <xdr:rowOff>99347</xdr:rowOff>
    </xdr:from>
    <xdr:to>
      <xdr:col>2</xdr:col>
      <xdr:colOff>4942112</xdr:colOff>
      <xdr:row>2</xdr:row>
      <xdr:rowOff>74854</xdr:rowOff>
    </xdr:to>
    <xdr:pic>
      <xdr:nvPicPr>
        <xdr:cNvPr id="2" name="Picture 5">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86400" y="99347"/>
          <a:ext cx="389162" cy="29935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742950</xdr:colOff>
      <xdr:row>1</xdr:row>
      <xdr:rowOff>99347</xdr:rowOff>
    </xdr:from>
    <xdr:to>
      <xdr:col>4</xdr:col>
      <xdr:colOff>1036863</xdr:colOff>
      <xdr:row>3</xdr:row>
      <xdr:rowOff>74854</xdr:rowOff>
    </xdr:to>
    <xdr:pic>
      <xdr:nvPicPr>
        <xdr:cNvPr id="2" name="Picture 5">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15125" y="99347"/>
          <a:ext cx="293913" cy="299357"/>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217713</xdr:colOff>
      <xdr:row>1</xdr:row>
      <xdr:rowOff>108872</xdr:rowOff>
    </xdr:from>
    <xdr:to>
      <xdr:col>10</xdr:col>
      <xdr:colOff>598713</xdr:colOff>
      <xdr:row>3</xdr:row>
      <xdr:rowOff>84379</xdr:rowOff>
    </xdr:to>
    <xdr:pic>
      <xdr:nvPicPr>
        <xdr:cNvPr id="3" name="Picture 5">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60034" y="489872"/>
          <a:ext cx="381000" cy="3429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600075</xdr:colOff>
      <xdr:row>0</xdr:row>
      <xdr:rowOff>126546</xdr:rowOff>
    </xdr:from>
    <xdr:to>
      <xdr:col>5</xdr:col>
      <xdr:colOff>981075</xdr:colOff>
      <xdr:row>2</xdr:row>
      <xdr:rowOff>88446</xdr:rowOff>
    </xdr:to>
    <xdr:pic>
      <xdr:nvPicPr>
        <xdr:cNvPr id="3" name="Picture 5">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682968" y="126546"/>
          <a:ext cx="381000" cy="342900"/>
        </a:xfrm>
        <a:prstGeom prst="rect">
          <a:avLst/>
        </a:prstGeom>
        <a:noFill/>
        <a:ln w="9525">
          <a:noFill/>
          <a:miter lim="800000"/>
          <a:headEnd/>
          <a:tailEnd/>
        </a:ln>
      </xdr:spPr>
    </xdr:pic>
    <xdr:clientData/>
  </xdr:twoCellAnchor>
  <xdr:twoCellAnchor>
    <xdr:from>
      <xdr:col>5</xdr:col>
      <xdr:colOff>600075</xdr:colOff>
      <xdr:row>0</xdr:row>
      <xdr:rowOff>126546</xdr:rowOff>
    </xdr:from>
    <xdr:to>
      <xdr:col>5</xdr:col>
      <xdr:colOff>981075</xdr:colOff>
      <xdr:row>2</xdr:row>
      <xdr:rowOff>88446</xdr:rowOff>
    </xdr:to>
    <xdr:pic>
      <xdr:nvPicPr>
        <xdr:cNvPr id="4" name="Picture 5">
          <a:extLst>
            <a:ext uri="{FF2B5EF4-FFF2-40B4-BE49-F238E27FC236}">
              <a16:creationId xmlns:a16="http://schemas.microsoft.com/office/drawing/2014/main" id="{B94D8438-4C9B-499C-8617-86408DB4F34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258550" y="126546"/>
          <a:ext cx="381000" cy="3429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97240" y="120741"/>
          <a:ext cx="38100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3" name="Picture 5">
          <a:extLst>
            <a:ext uri="{FF2B5EF4-FFF2-40B4-BE49-F238E27FC236}">
              <a16:creationId xmlns:a16="http://schemas.microsoft.com/office/drawing/2014/main" id="{A1EAE49C-367A-4E0E-A347-34153ED9E38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4" name="Picture 5">
          <a:extLst>
            <a:ext uri="{FF2B5EF4-FFF2-40B4-BE49-F238E27FC236}">
              <a16:creationId xmlns:a16="http://schemas.microsoft.com/office/drawing/2014/main" id="{922CF07D-C97E-460F-89E7-E70A430F3BA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5" name="Picture 5">
          <a:extLst>
            <a:ext uri="{FF2B5EF4-FFF2-40B4-BE49-F238E27FC236}">
              <a16:creationId xmlns:a16="http://schemas.microsoft.com/office/drawing/2014/main" id="{D57399FB-2B1D-4279-8DEF-C3F422372AF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6" name="Picture 5">
          <a:extLst>
            <a:ext uri="{FF2B5EF4-FFF2-40B4-BE49-F238E27FC236}">
              <a16:creationId xmlns:a16="http://schemas.microsoft.com/office/drawing/2014/main" id="{8F74FA3A-62A1-43AB-8FBE-3EA856EC8D6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1273" y="107323"/>
          <a:ext cx="381000" cy="346076"/>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97240" y="120741"/>
          <a:ext cx="38100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3" name="Picture 5">
          <a:extLst>
            <a:ext uri="{FF2B5EF4-FFF2-40B4-BE49-F238E27FC236}">
              <a16:creationId xmlns:a16="http://schemas.microsoft.com/office/drawing/2014/main" id="{EF5AEE2A-9C40-43CD-832F-CB020CA1A9E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5F7F4C36-2590-4BDD-8C8E-3CB87F03391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5" name="Picture 5">
          <a:extLst>
            <a:ext uri="{FF2B5EF4-FFF2-40B4-BE49-F238E27FC236}">
              <a16:creationId xmlns:a16="http://schemas.microsoft.com/office/drawing/2014/main" id="{A6FBD9B4-2307-4146-BA0D-09C07E8DFED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6" name="Picture 5">
          <a:extLst>
            <a:ext uri="{FF2B5EF4-FFF2-40B4-BE49-F238E27FC236}">
              <a16:creationId xmlns:a16="http://schemas.microsoft.com/office/drawing/2014/main" id="{FC3C1D74-CC40-4B86-8623-46D6390177E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7" name="Picture 5">
          <a:extLst>
            <a:ext uri="{FF2B5EF4-FFF2-40B4-BE49-F238E27FC236}">
              <a16:creationId xmlns:a16="http://schemas.microsoft.com/office/drawing/2014/main" id="{48DB5826-C5D3-4216-96FE-5D0067A75E6A}"/>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1273" y="107323"/>
          <a:ext cx="381000" cy="346076"/>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4590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3" name="Picture 5">
          <a:extLst>
            <a:ext uri="{FF2B5EF4-FFF2-40B4-BE49-F238E27FC236}">
              <a16:creationId xmlns:a16="http://schemas.microsoft.com/office/drawing/2014/main" id="{940BA550-0525-4B50-A203-42A71356AC7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B89A9936-9A22-4F97-917F-B78651F0E4A9}"/>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5" name="Picture 5">
          <a:extLst>
            <a:ext uri="{FF2B5EF4-FFF2-40B4-BE49-F238E27FC236}">
              <a16:creationId xmlns:a16="http://schemas.microsoft.com/office/drawing/2014/main" id="{5E1CB3DD-8D64-493F-9BAA-9843319556C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7623" y="107323"/>
          <a:ext cx="381000" cy="349251"/>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605396" y="120741"/>
          <a:ext cx="381000" cy="350949"/>
        </a:xfrm>
        <a:prstGeom prst="rect">
          <a:avLst/>
        </a:prstGeom>
        <a:noFill/>
        <a:ln w="9525">
          <a:noFill/>
          <a:miter lim="800000"/>
          <a:headEnd/>
          <a:tailEnd/>
        </a:ln>
      </xdr:spPr>
    </xdr:pic>
    <xdr:clientData/>
  </xdr:twoCellAnchor>
  <xdr:twoCellAnchor>
    <xdr:from>
      <xdr:col>8</xdr:col>
      <xdr:colOff>1837923</xdr:colOff>
      <xdr:row>0</xdr:row>
      <xdr:rowOff>107323</xdr:rowOff>
    </xdr:from>
    <xdr:to>
      <xdr:col>8</xdr:col>
      <xdr:colOff>2218923</xdr:colOff>
      <xdr:row>2</xdr:row>
      <xdr:rowOff>62874</xdr:rowOff>
    </xdr:to>
    <xdr:pic>
      <xdr:nvPicPr>
        <xdr:cNvPr id="3" name="Picture 5">
          <a:extLst>
            <a:ext uri="{FF2B5EF4-FFF2-40B4-BE49-F238E27FC236}">
              <a16:creationId xmlns:a16="http://schemas.microsoft.com/office/drawing/2014/main" id="{01E63364-A907-4E2E-B91D-C0A0F1F1064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82571" y="107323"/>
          <a:ext cx="381000" cy="3446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5" name="Picture 5">
          <a:extLst>
            <a:ext uri="{FF2B5EF4-FFF2-40B4-BE49-F238E27FC236}">
              <a16:creationId xmlns:a16="http://schemas.microsoft.com/office/drawing/2014/main" id="{D8F4723E-7890-4FAF-97A5-AB5431096FF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364265" y="120741"/>
          <a:ext cx="0" cy="3714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3476625</xdr:colOff>
      <xdr:row>0</xdr:row>
      <xdr:rowOff>133350</xdr:rowOff>
    </xdr:from>
    <xdr:to>
      <xdr:col>2</xdr:col>
      <xdr:colOff>3857625</xdr:colOff>
      <xdr:row>2</xdr:row>
      <xdr:rowOff>77900</xdr:rowOff>
    </xdr:to>
    <xdr:pic>
      <xdr:nvPicPr>
        <xdr:cNvPr id="4" name="Picture 5">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505575" y="133350"/>
          <a:ext cx="381000" cy="34460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3" name="Picture 5">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8274" y="104775"/>
          <a:ext cx="390525" cy="38100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335500</xdr:colOff>
      <xdr:row>0</xdr:row>
      <xdr:rowOff>85725</xdr:rowOff>
    </xdr:from>
    <xdr:to>
      <xdr:col>5</xdr:col>
      <xdr:colOff>698500</xdr:colOff>
      <xdr:row>2</xdr:row>
      <xdr:rowOff>47625</xdr:rowOff>
    </xdr:to>
    <xdr:pic>
      <xdr:nvPicPr>
        <xdr:cNvPr id="3" name="Picture 5">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80333" y="85725"/>
          <a:ext cx="363000" cy="353483"/>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2" name="Picture 5">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8274" y="104775"/>
          <a:ext cx="390525" cy="381000"/>
        </a:xfrm>
        <a:prstGeom prst="rect">
          <a:avLst/>
        </a:prstGeom>
        <a:noFill/>
        <a:ln w="9525">
          <a:noFill/>
          <a:miter lim="800000"/>
          <a:headEnd/>
          <a:tailEnd/>
        </a:ln>
      </xdr:spPr>
    </xdr:pic>
    <xdr:clientData/>
  </xdr:twoCellAnchor>
  <xdr:twoCellAnchor>
    <xdr:from>
      <xdr:col>3</xdr:col>
      <xdr:colOff>1438274</xdr:colOff>
      <xdr:row>0</xdr:row>
      <xdr:rowOff>104775</xdr:rowOff>
    </xdr:from>
    <xdr:to>
      <xdr:col>3</xdr:col>
      <xdr:colOff>1828799</xdr:colOff>
      <xdr:row>2</xdr:row>
      <xdr:rowOff>66675</xdr:rowOff>
    </xdr:to>
    <xdr:pic>
      <xdr:nvPicPr>
        <xdr:cNvPr id="3" name="Picture 5">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76774" y="104775"/>
          <a:ext cx="0" cy="381000"/>
        </a:xfrm>
        <a:prstGeom prst="rect">
          <a:avLst/>
        </a:prstGeom>
        <a:noFill/>
        <a:ln w="9525">
          <a:noFill/>
          <a:miter lim="800000"/>
          <a:headEnd/>
          <a:tailEnd/>
        </a:ln>
      </xdr:spPr>
    </xdr:pic>
    <xdr:clientData/>
  </xdr:twoCellAnchor>
  <xdr:twoCellAnchor>
    <xdr:from>
      <xdr:col>3</xdr:col>
      <xdr:colOff>400050</xdr:colOff>
      <xdr:row>0</xdr:row>
      <xdr:rowOff>123825</xdr:rowOff>
    </xdr:from>
    <xdr:to>
      <xdr:col>3</xdr:col>
      <xdr:colOff>790575</xdr:colOff>
      <xdr:row>2</xdr:row>
      <xdr:rowOff>85725</xdr:rowOff>
    </xdr:to>
    <xdr:pic>
      <xdr:nvPicPr>
        <xdr:cNvPr id="4" name="Picture 5">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91125" y="123825"/>
          <a:ext cx="390525" cy="3810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1657350</xdr:colOff>
      <xdr:row>0</xdr:row>
      <xdr:rowOff>104775</xdr:rowOff>
    </xdr:from>
    <xdr:to>
      <xdr:col>2</xdr:col>
      <xdr:colOff>1943100</xdr:colOff>
      <xdr:row>2</xdr:row>
      <xdr:rowOff>28575</xdr:rowOff>
    </xdr:to>
    <xdr:pic>
      <xdr:nvPicPr>
        <xdr:cNvPr id="3" name="Picture 5">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67350" y="104775"/>
          <a:ext cx="285750" cy="2476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600075</xdr:colOff>
      <xdr:row>0</xdr:row>
      <xdr:rowOff>85725</xdr:rowOff>
    </xdr:from>
    <xdr:to>
      <xdr:col>5</xdr:col>
      <xdr:colOff>981075</xdr:colOff>
      <xdr:row>2</xdr:row>
      <xdr:rowOff>47625</xdr:rowOff>
    </xdr:to>
    <xdr:pic>
      <xdr:nvPicPr>
        <xdr:cNvPr id="2" name="Picture 5">
          <a:extLst>
            <a:ext uri="{FF2B5EF4-FFF2-40B4-BE49-F238E27FC236}">
              <a16:creationId xmlns:a16="http://schemas.microsoft.com/office/drawing/2014/main" id="{7E77EECF-2ADB-429E-8301-E66749C0D98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3" name="Picture 5">
          <a:extLst>
            <a:ext uri="{FF2B5EF4-FFF2-40B4-BE49-F238E27FC236}">
              <a16:creationId xmlns:a16="http://schemas.microsoft.com/office/drawing/2014/main" id="{3479915A-F660-4177-B613-1B8E6ED7C9D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515725" y="85725"/>
          <a:ext cx="381000" cy="352425"/>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5</xdr:col>
      <xdr:colOff>600075</xdr:colOff>
      <xdr:row>0</xdr:row>
      <xdr:rowOff>85725</xdr:rowOff>
    </xdr:from>
    <xdr:to>
      <xdr:col>5</xdr:col>
      <xdr:colOff>981075</xdr:colOff>
      <xdr:row>2</xdr:row>
      <xdr:rowOff>47625</xdr:rowOff>
    </xdr:to>
    <xdr:pic>
      <xdr:nvPicPr>
        <xdr:cNvPr id="2" name="Picture 5">
          <a:extLst>
            <a:ext uri="{FF2B5EF4-FFF2-40B4-BE49-F238E27FC236}">
              <a16:creationId xmlns:a16="http://schemas.microsoft.com/office/drawing/2014/main" id="{9A857D7B-95A2-4F7F-96E7-59A271AA0FE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392150" y="85725"/>
          <a:ext cx="381000" cy="323850"/>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3" name="Picture 5">
          <a:extLst>
            <a:ext uri="{FF2B5EF4-FFF2-40B4-BE49-F238E27FC236}">
              <a16:creationId xmlns:a16="http://schemas.microsoft.com/office/drawing/2014/main" id="{F08D7B4A-E1D1-4529-9312-BC78C974FF6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4" name="Picture 5">
          <a:extLst>
            <a:ext uri="{FF2B5EF4-FFF2-40B4-BE49-F238E27FC236}">
              <a16:creationId xmlns:a16="http://schemas.microsoft.com/office/drawing/2014/main" id="{0A0C86D9-91BF-44AA-8E5C-0EE8B41DF69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335500</xdr:colOff>
      <xdr:row>1</xdr:row>
      <xdr:rowOff>85725</xdr:rowOff>
    </xdr:from>
    <xdr:to>
      <xdr:col>5</xdr:col>
      <xdr:colOff>698500</xdr:colOff>
      <xdr:row>3</xdr:row>
      <xdr:rowOff>47625</xdr:rowOff>
    </xdr:to>
    <xdr:pic>
      <xdr:nvPicPr>
        <xdr:cNvPr id="2" name="Picture 5">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269825" y="85725"/>
          <a:ext cx="363000" cy="352425"/>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192626</xdr:colOff>
      <xdr:row>1</xdr:row>
      <xdr:rowOff>133350</xdr:rowOff>
    </xdr:from>
    <xdr:to>
      <xdr:col>16</xdr:col>
      <xdr:colOff>555626</xdr:colOff>
      <xdr:row>3</xdr:row>
      <xdr:rowOff>95250</xdr:rowOff>
    </xdr:to>
    <xdr:pic>
      <xdr:nvPicPr>
        <xdr:cNvPr id="2" name="Picture 5">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861001" y="216694"/>
          <a:ext cx="363000" cy="390525"/>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0</xdr:colOff>
      <xdr:row>44</xdr:row>
      <xdr:rowOff>0</xdr:rowOff>
    </xdr:from>
    <xdr:to>
      <xdr:col>2</xdr:col>
      <xdr:colOff>304800</xdr:colOff>
      <xdr:row>45</xdr:row>
      <xdr:rowOff>142875</xdr:rowOff>
    </xdr:to>
    <xdr:sp macro="" textlink="">
      <xdr:nvSpPr>
        <xdr:cNvPr id="2" name="AutoShape 1" descr="_1_062335FC062333A8002B950465257A24">
          <a:extLst>
            <a:ext uri="{FF2B5EF4-FFF2-40B4-BE49-F238E27FC236}">
              <a16:creationId xmlns:a16="http://schemas.microsoft.com/office/drawing/2014/main" id="{B87D4080-7B76-4361-9DC8-4F0B1E3D7744}"/>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editAs="oneCell">
    <xdr:from>
      <xdr:col>2</xdr:col>
      <xdr:colOff>0</xdr:colOff>
      <xdr:row>44</xdr:row>
      <xdr:rowOff>0</xdr:rowOff>
    </xdr:from>
    <xdr:to>
      <xdr:col>2</xdr:col>
      <xdr:colOff>304800</xdr:colOff>
      <xdr:row>45</xdr:row>
      <xdr:rowOff>142875</xdr:rowOff>
    </xdr:to>
    <xdr:sp macro="" textlink="">
      <xdr:nvSpPr>
        <xdr:cNvPr id="3" name="AutoShape 2" descr="_1_062335FC062333A8002B950465257A24">
          <a:extLst>
            <a:ext uri="{FF2B5EF4-FFF2-40B4-BE49-F238E27FC236}">
              <a16:creationId xmlns:a16="http://schemas.microsoft.com/office/drawing/2014/main" id="{C2CCF55F-A41C-42BF-B55F-A763B08434A6}"/>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editAs="oneCell">
    <xdr:from>
      <xdr:col>2</xdr:col>
      <xdr:colOff>0</xdr:colOff>
      <xdr:row>44</xdr:row>
      <xdr:rowOff>0</xdr:rowOff>
    </xdr:from>
    <xdr:to>
      <xdr:col>2</xdr:col>
      <xdr:colOff>304800</xdr:colOff>
      <xdr:row>45</xdr:row>
      <xdr:rowOff>142875</xdr:rowOff>
    </xdr:to>
    <xdr:sp macro="" textlink="">
      <xdr:nvSpPr>
        <xdr:cNvPr id="4" name="AutoShape 3" descr="_1_062335FC062333A8002B950465257A24">
          <a:extLst>
            <a:ext uri="{FF2B5EF4-FFF2-40B4-BE49-F238E27FC236}">
              <a16:creationId xmlns:a16="http://schemas.microsoft.com/office/drawing/2014/main" id="{29971EBB-E8C5-48FA-BBFB-8B5B6BE689EB}"/>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xdr:from>
      <xdr:col>19</xdr:col>
      <xdr:colOff>518584</xdr:colOff>
      <xdr:row>1</xdr:row>
      <xdr:rowOff>21167</xdr:rowOff>
    </xdr:from>
    <xdr:to>
      <xdr:col>19</xdr:col>
      <xdr:colOff>825500</xdr:colOff>
      <xdr:row>1</xdr:row>
      <xdr:rowOff>330200</xdr:rowOff>
    </xdr:to>
    <xdr:pic>
      <xdr:nvPicPr>
        <xdr:cNvPr id="5" name="Picture 5">
          <a:extLst>
            <a:ext uri="{FF2B5EF4-FFF2-40B4-BE49-F238E27FC236}">
              <a16:creationId xmlns:a16="http://schemas.microsoft.com/office/drawing/2014/main" id="{54A98594-1D36-4E42-B246-3E09160AB50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859001" y="169334"/>
          <a:ext cx="306916" cy="309033"/>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oneCellAnchor>
    <xdr:from>
      <xdr:col>4</xdr:col>
      <xdr:colOff>342900</xdr:colOff>
      <xdr:row>1</xdr:row>
      <xdr:rowOff>180975</xdr:rowOff>
    </xdr:from>
    <xdr:ext cx="3971925" cy="3762375"/>
    <xdr:pic>
      <xdr:nvPicPr>
        <xdr:cNvPr id="2" name="image2.png">
          <a:extLst>
            <a:ext uri="{FF2B5EF4-FFF2-40B4-BE49-F238E27FC236}">
              <a16:creationId xmlns:a16="http://schemas.microsoft.com/office/drawing/2014/main" id="{74192208-06BF-4BCD-A1B6-D935B9B18F7F}"/>
            </a:ext>
          </a:extLst>
        </xdr:cNvPr>
        <xdr:cNvPicPr preferRelativeResize="0"/>
      </xdr:nvPicPr>
      <xdr:blipFill>
        <a:blip xmlns:r="http://schemas.openxmlformats.org/officeDocument/2006/relationships" r:embed="rId1" cstate="print"/>
        <a:stretch>
          <a:fillRect/>
        </a:stretch>
      </xdr:blipFill>
      <xdr:spPr>
        <a:xfrm>
          <a:off x="2114550" y="371475"/>
          <a:ext cx="3971925" cy="3762375"/>
        </a:xfrm>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dr:oneCellAnchor>
    <xdr:from>
      <xdr:col>3</xdr:col>
      <xdr:colOff>0</xdr:colOff>
      <xdr:row>2</xdr:row>
      <xdr:rowOff>0</xdr:rowOff>
    </xdr:from>
    <xdr:ext cx="3429000" cy="2743200"/>
    <xdr:graphicFrame macro="">
      <xdr:nvGraphicFramePr>
        <xdr:cNvPr id="2" name="Chart 2">
          <a:extLst>
            <a:ext uri="{FF2B5EF4-FFF2-40B4-BE49-F238E27FC236}">
              <a16:creationId xmlns:a16="http://schemas.microsoft.com/office/drawing/2014/main" id="{DAA11A08-3529-4794-A438-B11FEC1A0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0</xdr:colOff>
      <xdr:row>2</xdr:row>
      <xdr:rowOff>0</xdr:rowOff>
    </xdr:from>
    <xdr:ext cx="3429000" cy="2743200"/>
    <xdr:graphicFrame macro="">
      <xdr:nvGraphicFramePr>
        <xdr:cNvPr id="3" name="Chart 3">
          <a:extLst>
            <a:ext uri="{FF2B5EF4-FFF2-40B4-BE49-F238E27FC236}">
              <a16:creationId xmlns:a16="http://schemas.microsoft.com/office/drawing/2014/main" id="{0F2A8CA9-FCFE-437B-84E1-E59CCC534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21.xml><?xml version="1.0" encoding="utf-8"?>
<xdr:wsDr xmlns:xdr="http://schemas.openxmlformats.org/drawingml/2006/spreadsheetDrawing" xmlns:a="http://schemas.openxmlformats.org/drawingml/2006/main">
  <xdr:twoCellAnchor>
    <xdr:from>
      <xdr:col>5</xdr:col>
      <xdr:colOff>1178051</xdr:colOff>
      <xdr:row>1</xdr:row>
      <xdr:rowOff>85724</xdr:rowOff>
    </xdr:from>
    <xdr:to>
      <xdr:col>5</xdr:col>
      <xdr:colOff>1409700</xdr:colOff>
      <xdr:row>1</xdr:row>
      <xdr:rowOff>266699</xdr:rowOff>
    </xdr:to>
    <xdr:pic>
      <xdr:nvPicPr>
        <xdr:cNvPr id="2" name="Picture 5">
          <a:extLst>
            <a:ext uri="{FF2B5EF4-FFF2-40B4-BE49-F238E27FC236}">
              <a16:creationId xmlns:a16="http://schemas.microsoft.com/office/drawing/2014/main" id="{A8225FF0-4F09-4B42-858A-BA3FD2F0DD1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131426" y="257174"/>
          <a:ext cx="231649" cy="180975"/>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2" name="Picture 5">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71999" y="104775"/>
          <a:ext cx="0" cy="381000"/>
        </a:xfrm>
        <a:prstGeom prst="rect">
          <a:avLst/>
        </a:prstGeom>
        <a:noFill/>
        <a:ln w="9525">
          <a:noFill/>
          <a:miter lim="800000"/>
          <a:headEnd/>
          <a:tailEnd/>
        </a:ln>
      </xdr:spPr>
    </xdr:pic>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1869281</xdr:colOff>
      <xdr:row>0</xdr:row>
      <xdr:rowOff>104774</xdr:rowOff>
    </xdr:from>
    <xdr:to>
      <xdr:col>3</xdr:col>
      <xdr:colOff>2328862</xdr:colOff>
      <xdr:row>2</xdr:row>
      <xdr:rowOff>83343</xdr:rowOff>
    </xdr:to>
    <xdr:pic>
      <xdr:nvPicPr>
        <xdr:cNvPr id="3" name="Picture 5">
          <a:extLst>
            <a:ext uri="{FF2B5EF4-FFF2-40B4-BE49-F238E27FC236}">
              <a16:creationId xmlns:a16="http://schemas.microsoft.com/office/drawing/2014/main" id="{80542E19-639E-4861-80A0-D57FC2F11F9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132219" y="104774"/>
          <a:ext cx="459581" cy="359569"/>
        </a:xfrm>
        <a:prstGeom prst="rect">
          <a:avLst/>
        </a:prstGeom>
        <a:noFill/>
        <a:ln w="9525">
          <a:noFill/>
          <a:miter lim="800000"/>
          <a:headEnd/>
          <a:tailEnd/>
        </a:ln>
      </xdr:spPr>
    </xdr:pic>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2449287</xdr:colOff>
      <xdr:row>0</xdr:row>
      <xdr:rowOff>136072</xdr:rowOff>
    </xdr:from>
    <xdr:to>
      <xdr:col>3</xdr:col>
      <xdr:colOff>2830287</xdr:colOff>
      <xdr:row>2</xdr:row>
      <xdr:rowOff>97972</xdr:rowOff>
    </xdr:to>
    <xdr:pic>
      <xdr:nvPicPr>
        <xdr:cNvPr id="2" name="Picture 5">
          <a:extLst>
            <a:ext uri="{FF2B5EF4-FFF2-40B4-BE49-F238E27FC236}">
              <a16:creationId xmlns:a16="http://schemas.microsoft.com/office/drawing/2014/main" id="{70A20187-754D-40CE-90AF-7AA4D2F708E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3</xdr:col>
      <xdr:colOff>176890</xdr:colOff>
      <xdr:row>0</xdr:row>
      <xdr:rowOff>122464</xdr:rowOff>
    </xdr:from>
    <xdr:to>
      <xdr:col>3</xdr:col>
      <xdr:colOff>557890</xdr:colOff>
      <xdr:row>2</xdr:row>
      <xdr:rowOff>84364</xdr:rowOff>
    </xdr:to>
    <xdr:pic>
      <xdr:nvPicPr>
        <xdr:cNvPr id="3" name="Picture 5">
          <a:extLst>
            <a:ext uri="{FF2B5EF4-FFF2-40B4-BE49-F238E27FC236}">
              <a16:creationId xmlns:a16="http://schemas.microsoft.com/office/drawing/2014/main" id="{C55EBDC5-93AC-42A3-BAA0-01805CEDA1A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149315" y="122464"/>
          <a:ext cx="381000" cy="342900"/>
        </a:xfrm>
        <a:prstGeom prst="rect">
          <a:avLst/>
        </a:prstGeom>
        <a:noFill/>
        <a:ln w="9525">
          <a:noFill/>
          <a:miter lim="800000"/>
          <a:headEnd/>
          <a:tailEnd/>
        </a:ln>
      </xdr:spPr>
    </xdr:pic>
    <xdr:clientData/>
  </xdr:twoCellAnchor>
</xdr:wsDr>
</file>

<file path=xl/drawings/drawing25.xml><?xml version="1.0" encoding="utf-8"?>
<xdr:wsDr xmlns:xdr="http://schemas.openxmlformats.org/drawingml/2006/spreadsheetDrawing" xmlns:a="http://schemas.openxmlformats.org/drawingml/2006/main">
  <xdr:twoCellAnchor>
    <xdr:from>
      <xdr:col>4</xdr:col>
      <xdr:colOff>2449287</xdr:colOff>
      <xdr:row>1</xdr:row>
      <xdr:rowOff>136072</xdr:rowOff>
    </xdr:from>
    <xdr:to>
      <xdr:col>4</xdr:col>
      <xdr:colOff>2830287</xdr:colOff>
      <xdr:row>3</xdr:row>
      <xdr:rowOff>0</xdr:rowOff>
    </xdr:to>
    <xdr:pic>
      <xdr:nvPicPr>
        <xdr:cNvPr id="2" name="Picture 5">
          <a:extLst>
            <a:ext uri="{FF2B5EF4-FFF2-40B4-BE49-F238E27FC236}">
              <a16:creationId xmlns:a16="http://schemas.microsoft.com/office/drawing/2014/main" id="{8F8DFC76-761C-4C9D-87AC-D1C61683A21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4</xdr:col>
      <xdr:colOff>1476374</xdr:colOff>
      <xdr:row>1</xdr:row>
      <xdr:rowOff>27214</xdr:rowOff>
    </xdr:from>
    <xdr:to>
      <xdr:col>4</xdr:col>
      <xdr:colOff>1796139</xdr:colOff>
      <xdr:row>2</xdr:row>
      <xdr:rowOff>124503</xdr:rowOff>
    </xdr:to>
    <xdr:pic>
      <xdr:nvPicPr>
        <xdr:cNvPr id="3" name="Picture 5">
          <a:extLst>
            <a:ext uri="{FF2B5EF4-FFF2-40B4-BE49-F238E27FC236}">
              <a16:creationId xmlns:a16="http://schemas.microsoft.com/office/drawing/2014/main" id="{6AE8ADCD-69A9-4D5F-9F69-DEFE4060C2D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19874" y="27214"/>
          <a:ext cx="319765" cy="287789"/>
        </a:xfrm>
        <a:prstGeom prst="rect">
          <a:avLst/>
        </a:prstGeom>
        <a:noFill/>
        <a:ln w="9525">
          <a:noFill/>
          <a:miter lim="800000"/>
          <a:headEnd/>
          <a:tailEnd/>
        </a:ln>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104775</xdr:colOff>
      <xdr:row>6</xdr:row>
      <xdr:rowOff>76200</xdr:rowOff>
    </xdr:from>
    <xdr:to>
      <xdr:col>6</xdr:col>
      <xdr:colOff>428625</xdr:colOff>
      <xdr:row>6</xdr:row>
      <xdr:rowOff>76200</xdr:rowOff>
    </xdr:to>
    <xdr:cxnSp macro="">
      <xdr:nvCxnSpPr>
        <xdr:cNvPr id="2" name="Straight Arrow Connector 1">
          <a:extLst>
            <a:ext uri="{FF2B5EF4-FFF2-40B4-BE49-F238E27FC236}">
              <a16:creationId xmlns:a16="http://schemas.microsoft.com/office/drawing/2014/main" id="{7924E0EF-1907-46EA-ACA2-E1F14C493CFB}"/>
            </a:ext>
          </a:extLst>
        </xdr:cNvPr>
        <xdr:cNvCxnSpPr/>
      </xdr:nvCxnSpPr>
      <xdr:spPr bwMode="auto">
        <a:xfrm flipH="1">
          <a:off x="7505700" y="1104900"/>
          <a:ext cx="323850" cy="0"/>
        </a:xfrm>
        <a:prstGeom prst="straightConnector1">
          <a:avLst/>
        </a:prstGeom>
        <a:solidFill>
          <a:srgbClr val="FFFFFF"/>
        </a:solidFill>
        <a:ln w="9525" cap="flat" cmpd="sng" algn="ctr">
          <a:solidFill>
            <a:srgbClr val="000000"/>
          </a:solidFill>
          <a:prstDash val="solid"/>
          <a:round/>
          <a:headEnd type="none" w="med" len="med"/>
          <a:tailEnd type="triangle"/>
        </a:ln>
        <a:effectLst/>
      </xdr:spPr>
    </xdr:cxnSp>
    <xdr:clientData/>
  </xdr:twoCellAnchor>
</xdr:wsDr>
</file>

<file path=xl/drawings/drawing27.xml><?xml version="1.0" encoding="utf-8"?>
<xdr:wsDr xmlns:xdr="http://schemas.openxmlformats.org/drawingml/2006/spreadsheetDrawing" xmlns:a="http://schemas.openxmlformats.org/drawingml/2006/main">
  <xdr:twoCellAnchor>
    <xdr:from>
      <xdr:col>10</xdr:col>
      <xdr:colOff>171451</xdr:colOff>
      <xdr:row>0</xdr:row>
      <xdr:rowOff>47624</xdr:rowOff>
    </xdr:from>
    <xdr:to>
      <xdr:col>10</xdr:col>
      <xdr:colOff>519113</xdr:colOff>
      <xdr:row>1</xdr:row>
      <xdr:rowOff>142875</xdr:rowOff>
    </xdr:to>
    <xdr:pic>
      <xdr:nvPicPr>
        <xdr:cNvPr id="2" name="Picture 5">
          <a:extLst>
            <a:ext uri="{FF2B5EF4-FFF2-40B4-BE49-F238E27FC236}">
              <a16:creationId xmlns:a16="http://schemas.microsoft.com/office/drawing/2014/main" id="{3EDE9FA6-16CD-4DA6-8E02-EBAD401F256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77176" y="47624"/>
          <a:ext cx="347662" cy="304801"/>
        </a:xfrm>
        <a:prstGeom prst="rect">
          <a:avLst/>
        </a:prstGeom>
        <a:noFill/>
        <a:ln w="9525">
          <a:noFill/>
          <a:miter lim="800000"/>
          <a:headEnd/>
          <a:tailEnd/>
        </a:ln>
      </xdr:spPr>
    </xdr:pic>
    <xdr:clientData/>
  </xdr:twoCellAnchor>
</xdr:wsDr>
</file>

<file path=xl/drawings/drawing28.xml><?xml version="1.0" encoding="utf-8"?>
<xdr:wsDr xmlns:xdr="http://schemas.openxmlformats.org/drawingml/2006/spreadsheetDrawing" xmlns:a="http://schemas.openxmlformats.org/drawingml/2006/main">
  <xdr:twoCellAnchor>
    <xdr:from>
      <xdr:col>4</xdr:col>
      <xdr:colOff>2449287</xdr:colOff>
      <xdr:row>0</xdr:row>
      <xdr:rowOff>136072</xdr:rowOff>
    </xdr:from>
    <xdr:to>
      <xdr:col>4</xdr:col>
      <xdr:colOff>2830287</xdr:colOff>
      <xdr:row>2</xdr:row>
      <xdr:rowOff>97972</xdr:rowOff>
    </xdr:to>
    <xdr:pic>
      <xdr:nvPicPr>
        <xdr:cNvPr id="2" name="Picture 5">
          <a:extLst>
            <a:ext uri="{FF2B5EF4-FFF2-40B4-BE49-F238E27FC236}">
              <a16:creationId xmlns:a16="http://schemas.microsoft.com/office/drawing/2014/main" id="{E9C554B7-08DF-4204-9A3E-93C3B565FEC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4</xdr:col>
      <xdr:colOff>700765</xdr:colOff>
      <xdr:row>0</xdr:row>
      <xdr:rowOff>131989</xdr:rowOff>
    </xdr:from>
    <xdr:to>
      <xdr:col>4</xdr:col>
      <xdr:colOff>1081765</xdr:colOff>
      <xdr:row>2</xdr:row>
      <xdr:rowOff>93889</xdr:rowOff>
    </xdr:to>
    <xdr:pic>
      <xdr:nvPicPr>
        <xdr:cNvPr id="3" name="Picture 5">
          <a:extLst>
            <a:ext uri="{FF2B5EF4-FFF2-40B4-BE49-F238E27FC236}">
              <a16:creationId xmlns:a16="http://schemas.microsoft.com/office/drawing/2014/main" id="{C20A3932-FC6C-47E6-BC50-E1C1E1FBF14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86765" y="131989"/>
          <a:ext cx="381000" cy="342900"/>
        </a:xfrm>
        <a:prstGeom prst="rect">
          <a:avLst/>
        </a:prstGeom>
        <a:noFill/>
        <a:ln w="9525">
          <a:noFill/>
          <a:miter lim="800000"/>
          <a:headEnd/>
          <a:tailEnd/>
        </a:ln>
      </xdr:spPr>
    </xdr:pic>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31127</xdr:colOff>
      <xdr:row>19</xdr:row>
      <xdr:rowOff>24280</xdr:rowOff>
    </xdr:from>
    <xdr:to>
      <xdr:col>2</xdr:col>
      <xdr:colOff>232833</xdr:colOff>
      <xdr:row>20</xdr:row>
      <xdr:rowOff>24280</xdr:rowOff>
    </xdr:to>
    <xdr:sp macro="" textlink="">
      <xdr:nvSpPr>
        <xdr:cNvPr id="2" name="Up Arrow 2">
          <a:extLst>
            <a:ext uri="{FF2B5EF4-FFF2-40B4-BE49-F238E27FC236}">
              <a16:creationId xmlns:a16="http://schemas.microsoft.com/office/drawing/2014/main" id="{0617276F-0395-4FD4-BA7F-7D0B1F77DCB8}"/>
            </a:ext>
          </a:extLst>
        </xdr:cNvPr>
        <xdr:cNvSpPr/>
      </xdr:nvSpPr>
      <xdr:spPr>
        <a:xfrm>
          <a:off x="2679077" y="3386605"/>
          <a:ext cx="201706" cy="2000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156883</xdr:colOff>
      <xdr:row>3</xdr:row>
      <xdr:rowOff>392206</xdr:rowOff>
    </xdr:from>
    <xdr:to>
      <xdr:col>2</xdr:col>
      <xdr:colOff>455084</xdr:colOff>
      <xdr:row>3</xdr:row>
      <xdr:rowOff>571500</xdr:rowOff>
    </xdr:to>
    <xdr:sp macro="" textlink="">
      <xdr:nvSpPr>
        <xdr:cNvPr id="3" name="Right Arrow 3">
          <a:extLst>
            <a:ext uri="{FF2B5EF4-FFF2-40B4-BE49-F238E27FC236}">
              <a16:creationId xmlns:a16="http://schemas.microsoft.com/office/drawing/2014/main" id="{E4434FD1-2CF7-480A-8E85-CCBCD0F355B4}"/>
            </a:ext>
          </a:extLst>
        </xdr:cNvPr>
        <xdr:cNvSpPr/>
      </xdr:nvSpPr>
      <xdr:spPr>
        <a:xfrm>
          <a:off x="2804833" y="1754281"/>
          <a:ext cx="298201" cy="17929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508000</xdr:colOff>
      <xdr:row>1</xdr:row>
      <xdr:rowOff>42333</xdr:rowOff>
    </xdr:from>
    <xdr:to>
      <xdr:col>2</xdr:col>
      <xdr:colOff>296334</xdr:colOff>
      <xdr:row>1</xdr:row>
      <xdr:rowOff>158751</xdr:rowOff>
    </xdr:to>
    <xdr:sp macro="" textlink="">
      <xdr:nvSpPr>
        <xdr:cNvPr id="4" name="Right Arrow 4">
          <a:extLst>
            <a:ext uri="{FF2B5EF4-FFF2-40B4-BE49-F238E27FC236}">
              <a16:creationId xmlns:a16="http://schemas.microsoft.com/office/drawing/2014/main" id="{65BEF4E7-4098-4412-92B3-907D994A50B9}"/>
            </a:ext>
          </a:extLst>
        </xdr:cNvPr>
        <xdr:cNvSpPr/>
      </xdr:nvSpPr>
      <xdr:spPr>
        <a:xfrm>
          <a:off x="2527300" y="1013883"/>
          <a:ext cx="416984" cy="11641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328084</xdr:colOff>
      <xdr:row>2</xdr:row>
      <xdr:rowOff>74083</xdr:rowOff>
    </xdr:from>
    <xdr:to>
      <xdr:col>2</xdr:col>
      <xdr:colOff>529168</xdr:colOff>
      <xdr:row>2</xdr:row>
      <xdr:rowOff>158750</xdr:rowOff>
    </xdr:to>
    <xdr:sp macro="" textlink="">
      <xdr:nvSpPr>
        <xdr:cNvPr id="5" name="Right Arrow 5">
          <a:extLst>
            <a:ext uri="{FF2B5EF4-FFF2-40B4-BE49-F238E27FC236}">
              <a16:creationId xmlns:a16="http://schemas.microsoft.com/office/drawing/2014/main" id="{EE8155E2-F5FB-4542-A6D6-1CDEE03CF206}"/>
            </a:ext>
          </a:extLst>
        </xdr:cNvPr>
        <xdr:cNvSpPr/>
      </xdr:nvSpPr>
      <xdr:spPr>
        <a:xfrm>
          <a:off x="2976034" y="1236133"/>
          <a:ext cx="201084" cy="8466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2</xdr:col>
      <xdr:colOff>1276350</xdr:colOff>
      <xdr:row>12</xdr:row>
      <xdr:rowOff>0</xdr:rowOff>
    </xdr:from>
    <xdr:to>
      <xdr:col>3</xdr:col>
      <xdr:colOff>342900</xdr:colOff>
      <xdr:row>12</xdr:row>
      <xdr:rowOff>0</xdr:rowOff>
    </xdr:to>
    <xdr:sp macro="" textlink="">
      <xdr:nvSpPr>
        <xdr:cNvPr id="2" name="Text Box 8">
          <a:extLst>
            <a:ext uri="{FF2B5EF4-FFF2-40B4-BE49-F238E27FC236}">
              <a16:creationId xmlns:a16="http://schemas.microsoft.com/office/drawing/2014/main" id="{D69F8C65-8899-4185-B568-E19674FDFA47}"/>
            </a:ext>
          </a:extLst>
        </xdr:cNvPr>
        <xdr:cNvSpPr txBox="1">
          <a:spLocks noChangeArrowheads="1"/>
        </xdr:cNvSpPr>
      </xdr:nvSpPr>
      <xdr:spPr bwMode="auto">
        <a:xfrm>
          <a:off x="7362825" y="2314575"/>
          <a:ext cx="5048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Tinge</a:t>
          </a:r>
        </a:p>
      </xdr:txBody>
    </xdr:sp>
    <xdr:clientData/>
  </xdr:twoCellAnchor>
  <xdr:twoCellAnchor>
    <xdr:from>
      <xdr:col>2</xdr:col>
      <xdr:colOff>447675</xdr:colOff>
      <xdr:row>12</xdr:row>
      <xdr:rowOff>0</xdr:rowOff>
    </xdr:from>
    <xdr:to>
      <xdr:col>2</xdr:col>
      <xdr:colOff>609600</xdr:colOff>
      <xdr:row>12</xdr:row>
      <xdr:rowOff>0</xdr:rowOff>
    </xdr:to>
    <xdr:sp macro="" textlink="">
      <xdr:nvSpPr>
        <xdr:cNvPr id="3" name="Text Box 10">
          <a:extLst>
            <a:ext uri="{FF2B5EF4-FFF2-40B4-BE49-F238E27FC236}">
              <a16:creationId xmlns:a16="http://schemas.microsoft.com/office/drawing/2014/main" id="{0699EA31-9F92-4369-97B2-427E3F8ADCAC}"/>
            </a:ext>
          </a:extLst>
        </xdr:cNvPr>
        <xdr:cNvSpPr txBox="1">
          <a:spLocks noChangeArrowheads="1"/>
        </xdr:cNvSpPr>
      </xdr:nvSpPr>
      <xdr:spPr bwMode="auto">
        <a:xfrm>
          <a:off x="6534150" y="2314575"/>
          <a:ext cx="1619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Medium</a:t>
          </a:r>
        </a:p>
      </xdr:txBody>
    </xdr:sp>
    <xdr:clientData/>
  </xdr:twoCellAnchor>
  <xdr:twoCellAnchor>
    <xdr:from>
      <xdr:col>2</xdr:col>
      <xdr:colOff>1114425</xdr:colOff>
      <xdr:row>12</xdr:row>
      <xdr:rowOff>0</xdr:rowOff>
    </xdr:from>
    <xdr:to>
      <xdr:col>2</xdr:col>
      <xdr:colOff>609600</xdr:colOff>
      <xdr:row>12</xdr:row>
      <xdr:rowOff>0</xdr:rowOff>
    </xdr:to>
    <xdr:sp macro="" textlink="">
      <xdr:nvSpPr>
        <xdr:cNvPr id="4" name="Rectangle 11">
          <a:extLst>
            <a:ext uri="{FF2B5EF4-FFF2-40B4-BE49-F238E27FC236}">
              <a16:creationId xmlns:a16="http://schemas.microsoft.com/office/drawing/2014/main" id="{5D91F44F-616E-4881-9BFF-75905DCF4EE7}"/>
            </a:ext>
          </a:extLst>
        </xdr:cNvPr>
        <xdr:cNvSpPr>
          <a:spLocks noChangeArrowheads="1"/>
        </xdr:cNvSpPr>
      </xdr:nvSpPr>
      <xdr:spPr bwMode="auto">
        <a:xfrm>
          <a:off x="7200900" y="2314575"/>
          <a:ext cx="0" cy="0"/>
        </a:xfrm>
        <a:prstGeom prst="rect">
          <a:avLst/>
        </a:prstGeom>
        <a:solidFill>
          <a:srgbClr val="FFFFFF"/>
        </a:solidFill>
        <a:ln w="9525">
          <a:solidFill>
            <a:srgbClr val="000000"/>
          </a:solidFill>
          <a:miter lim="800000"/>
          <a:headEnd/>
          <a:tailEnd/>
        </a:ln>
      </xdr:spPr>
    </xdr:sp>
    <xdr:clientData/>
  </xdr:twoCellAnchor>
  <xdr:twoCellAnchor>
    <xdr:from>
      <xdr:col>2</xdr:col>
      <xdr:colOff>1276350</xdr:colOff>
      <xdr:row>12</xdr:row>
      <xdr:rowOff>0</xdr:rowOff>
    </xdr:from>
    <xdr:to>
      <xdr:col>3</xdr:col>
      <xdr:colOff>342900</xdr:colOff>
      <xdr:row>12</xdr:row>
      <xdr:rowOff>0</xdr:rowOff>
    </xdr:to>
    <xdr:sp macro="" textlink="">
      <xdr:nvSpPr>
        <xdr:cNvPr id="5" name="Text Box 12">
          <a:extLst>
            <a:ext uri="{FF2B5EF4-FFF2-40B4-BE49-F238E27FC236}">
              <a16:creationId xmlns:a16="http://schemas.microsoft.com/office/drawing/2014/main" id="{6EAC128D-6D58-4662-8DDF-DE6E600F347E}"/>
            </a:ext>
          </a:extLst>
        </xdr:cNvPr>
        <xdr:cNvSpPr txBox="1">
          <a:spLocks noChangeArrowheads="1"/>
        </xdr:cNvSpPr>
      </xdr:nvSpPr>
      <xdr:spPr bwMode="auto">
        <a:xfrm>
          <a:off x="7362825" y="2314575"/>
          <a:ext cx="5048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High</a:t>
          </a:r>
        </a:p>
      </xdr:txBody>
    </xdr:sp>
    <xdr:clientData/>
  </xdr:twoCellAnchor>
  <xdr:twoCellAnchor>
    <xdr:from>
      <xdr:col>9</xdr:col>
      <xdr:colOff>85725</xdr:colOff>
      <xdr:row>12</xdr:row>
      <xdr:rowOff>0</xdr:rowOff>
    </xdr:from>
    <xdr:to>
      <xdr:col>9</xdr:col>
      <xdr:colOff>200025</xdr:colOff>
      <xdr:row>12</xdr:row>
      <xdr:rowOff>0</xdr:rowOff>
    </xdr:to>
    <xdr:sp macro="" textlink="">
      <xdr:nvSpPr>
        <xdr:cNvPr id="6" name="Rectangle 13">
          <a:extLst>
            <a:ext uri="{FF2B5EF4-FFF2-40B4-BE49-F238E27FC236}">
              <a16:creationId xmlns:a16="http://schemas.microsoft.com/office/drawing/2014/main" id="{C5366DAA-3A45-4D02-8CB2-0DEC47760B6B}"/>
            </a:ext>
          </a:extLst>
        </xdr:cNvPr>
        <xdr:cNvSpPr>
          <a:spLocks noChangeArrowheads="1"/>
        </xdr:cNvSpPr>
      </xdr:nvSpPr>
      <xdr:spPr bwMode="auto">
        <a:xfrm>
          <a:off x="14192250" y="2314575"/>
          <a:ext cx="114300" cy="0"/>
        </a:xfrm>
        <a:prstGeom prst="rect">
          <a:avLst/>
        </a:prstGeom>
        <a:solidFill>
          <a:srgbClr val="FFFFFF"/>
        </a:solidFill>
        <a:ln w="9525">
          <a:noFill/>
          <a:miter lim="800000"/>
          <a:headEnd/>
          <a:tailEnd/>
        </a:ln>
      </xdr:spPr>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700765</xdr:colOff>
      <xdr:row>0</xdr:row>
      <xdr:rowOff>131989</xdr:rowOff>
    </xdr:from>
    <xdr:to>
      <xdr:col>3</xdr:col>
      <xdr:colOff>1081765</xdr:colOff>
      <xdr:row>2</xdr:row>
      <xdr:rowOff>0</xdr:rowOff>
    </xdr:to>
    <xdr:pic>
      <xdr:nvPicPr>
        <xdr:cNvPr id="2" name="Picture 5">
          <a:extLst>
            <a:ext uri="{FF2B5EF4-FFF2-40B4-BE49-F238E27FC236}">
              <a16:creationId xmlns:a16="http://schemas.microsoft.com/office/drawing/2014/main" id="{57082D1D-8F21-4BBB-9EEF-40E78109796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01515" y="131989"/>
          <a:ext cx="0" cy="249011"/>
        </a:xfrm>
        <a:prstGeom prst="rect">
          <a:avLst/>
        </a:prstGeom>
        <a:noFill/>
        <a:ln w="9525">
          <a:noFill/>
          <a:miter lim="800000"/>
          <a:headEnd/>
          <a:tailEnd/>
        </a:ln>
      </xdr:spPr>
    </xdr:pic>
    <xdr:clientData/>
  </xdr:twoCellAnchor>
  <xdr:twoCellAnchor>
    <xdr:from>
      <xdr:col>1</xdr:col>
      <xdr:colOff>3190875</xdr:colOff>
      <xdr:row>0</xdr:row>
      <xdr:rowOff>19050</xdr:rowOff>
    </xdr:from>
    <xdr:to>
      <xdr:col>1</xdr:col>
      <xdr:colOff>3445716</xdr:colOff>
      <xdr:row>1</xdr:row>
      <xdr:rowOff>116339</xdr:rowOff>
    </xdr:to>
    <xdr:pic>
      <xdr:nvPicPr>
        <xdr:cNvPr id="3" name="Picture 5">
          <a:extLst>
            <a:ext uri="{FF2B5EF4-FFF2-40B4-BE49-F238E27FC236}">
              <a16:creationId xmlns:a16="http://schemas.microsoft.com/office/drawing/2014/main" id="{2D67CBA6-F814-4E42-A9B1-2AC1E42B5AE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9050"/>
          <a:ext cx="254841" cy="287789"/>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amastecredit-10/Downloads/Early%20Warning%20Signal%20Report_AS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amastecredit-10/Desktop/EWS/NC%20Banking%20Analysis_PM%20Working%20Copy%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amastecredit-10/Downloads/NC%20Banking%20Analysis_PM%20Working%20Copy%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_data"/>
      <sheetName val="EWS"/>
      <sheetName val="Business Profile"/>
      <sheetName val="Banking Snapshot"/>
      <sheetName val="Bank Analysis"/>
      <sheetName val="CA"/>
      <sheetName val="ROC"/>
      <sheetName val="GST"/>
      <sheetName val="EPFO"/>
      <sheetName val="ESIC"/>
      <sheetName val="Crime"/>
      <sheetName val="LEI"/>
      <sheetName val="Google"/>
      <sheetName val="KYC"/>
      <sheetName val="Truecaller"/>
      <sheetName val="Analysis"/>
      <sheetName val="Financial Statement"/>
      <sheetName val="Cash Flow"/>
      <sheetName val="NC-RTR"/>
    </sheetNames>
    <sheetDataSet>
      <sheetData sheetId="0"/>
      <sheetData sheetId="1"/>
      <sheetData sheetId="2"/>
      <sheetData sheetId="3"/>
      <sheetData sheetId="4"/>
      <sheetData sheetId="5"/>
      <sheetData sheetId="6">
        <row r="3">
          <cell r="E3" t="str">
            <v>U35117GJ1995PTC026278</v>
          </cell>
        </row>
        <row r="10">
          <cell r="E10">
            <v>30000000</v>
          </cell>
        </row>
        <row r="11">
          <cell r="E11">
            <v>15900000</v>
          </cell>
        </row>
        <row r="14">
          <cell r="E14" t="str">
            <v xml:space="preserve">BLOCK NO. 305 &amp; 330, VILLAGE ZAK, VEHLAL ROAD, OFF NARODA-DEHGAM ROADM, TAL DEHGAM DIST GANDHINAGAR GJ 382330 IN </v>
          </cell>
        </row>
        <row r="22">
          <cell r="E22" t="str">
            <v>31/03/2018</v>
          </cell>
        </row>
        <row r="32">
          <cell r="H32" t="str">
            <v>-</v>
          </cell>
          <cell r="I32">
            <v>55300000</v>
          </cell>
        </row>
        <row r="33">
          <cell r="H33">
            <v>42643</v>
          </cell>
          <cell r="I33">
            <v>71950000</v>
          </cell>
        </row>
        <row r="34">
          <cell r="H34">
            <v>42643</v>
          </cell>
          <cell r="I34">
            <v>71950000</v>
          </cell>
        </row>
        <row r="35">
          <cell r="H35"/>
          <cell r="I35"/>
        </row>
      </sheetData>
      <sheetData sheetId="7">
        <row r="3">
          <cell r="E3" t="str">
            <v>24AAACP7066Q1ZW</v>
          </cell>
        </row>
        <row r="10">
          <cell r="E10" t="str">
            <v>Active</v>
          </cell>
        </row>
      </sheetData>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NC Rating"/>
      <sheetName val="1.Snapshot"/>
      <sheetName val="2.Daily-Balance"/>
      <sheetName val="3.Analysis"/>
      <sheetName val="4.Monthly-Summary"/>
      <sheetName val="5.Debit-Analysis"/>
      <sheetName val="6.Credit-Analysis"/>
      <sheetName val="7.Transaction-Analysis"/>
      <sheetName val="8.Loan-Track"/>
      <sheetName val="Expense-Analysis"/>
      <sheetName val="Web"/>
    </sheetNames>
    <sheetDataSet>
      <sheetData sheetId="0"/>
      <sheetData sheetId="1"/>
      <sheetData sheetId="2"/>
      <sheetData sheetId="3">
        <row r="3">
          <cell r="B3">
            <v>42979</v>
          </cell>
          <cell r="C3">
            <v>-18767491.52</v>
          </cell>
          <cell r="D3">
            <v>-18767491.52</v>
          </cell>
          <cell r="E3">
            <v>-18767491.52</v>
          </cell>
          <cell r="F3">
            <v>-17560396.989999998</v>
          </cell>
          <cell r="G3">
            <v>-19039895.989999998</v>
          </cell>
          <cell r="H3">
            <v>-20513132.989999998</v>
          </cell>
          <cell r="I3">
            <v>-20907158.989999998</v>
          </cell>
          <cell r="J3">
            <v>-22170206.550000001</v>
          </cell>
          <cell r="K3">
            <v>-22170206.550000001</v>
          </cell>
          <cell r="L3">
            <v>-22170206.550000001</v>
          </cell>
          <cell r="M3">
            <v>-21359456.84</v>
          </cell>
          <cell r="N3">
            <v>-21516702.84</v>
          </cell>
          <cell r="O3">
            <v>-19532179.719999999</v>
          </cell>
          <cell r="P3">
            <v>-19009918.719999999</v>
          </cell>
          <cell r="Q3">
            <v>-19021762.719999999</v>
          </cell>
          <cell r="R3">
            <v>-19032899.239999998</v>
          </cell>
          <cell r="S3">
            <v>-19032899.239999998</v>
          </cell>
          <cell r="T3">
            <v>-19056203.239999998</v>
          </cell>
          <cell r="U3">
            <v>-18970571.239999998</v>
          </cell>
          <cell r="V3">
            <v>-16489735.24</v>
          </cell>
          <cell r="W3">
            <v>-14806854.380000001</v>
          </cell>
          <cell r="X3">
            <v>-16028634.380000001</v>
          </cell>
          <cell r="Y3">
            <v>-16028634.380000001</v>
          </cell>
          <cell r="Z3">
            <v>-16028634.380000001</v>
          </cell>
          <cell r="AA3">
            <v>-15835115.49</v>
          </cell>
          <cell r="AB3">
            <v>-15957449.289999999</v>
          </cell>
          <cell r="AC3">
            <v>-16753774.800000001</v>
          </cell>
          <cell r="AD3">
            <v>-15552940.630000001</v>
          </cell>
          <cell r="AE3"/>
          <cell r="AF3"/>
          <cell r="AG3"/>
        </row>
        <row r="4">
          <cell r="B4">
            <v>43009</v>
          </cell>
          <cell r="C4"/>
          <cell r="D4"/>
          <cell r="E4">
            <v>-17146194.309999999</v>
          </cell>
          <cell r="F4">
            <v>-18065461.07</v>
          </cell>
          <cell r="G4">
            <v>-18403675.850000001</v>
          </cell>
          <cell r="H4">
            <v>-17407582.379999999</v>
          </cell>
          <cell r="I4">
            <v>-19822399.379999999</v>
          </cell>
          <cell r="J4">
            <v>-19822399.379999999</v>
          </cell>
          <cell r="K4">
            <v>-20454181.030000001</v>
          </cell>
          <cell r="L4">
            <v>-20357832.030000001</v>
          </cell>
          <cell r="M4">
            <v>-18589957.640000001</v>
          </cell>
          <cell r="N4">
            <v>-18485718.640000001</v>
          </cell>
          <cell r="O4">
            <v>-18564778.640000001</v>
          </cell>
          <cell r="P4">
            <v>-18565014.640000001</v>
          </cell>
          <cell r="Q4">
            <v>-18565014.640000001</v>
          </cell>
          <cell r="R4">
            <v>-19177082.239999998</v>
          </cell>
          <cell r="S4">
            <v>-21652834.449999999</v>
          </cell>
          <cell r="T4">
            <v>-20944393.449999999</v>
          </cell>
          <cell r="U4">
            <v>-22175807.09</v>
          </cell>
          <cell r="V4">
            <v>-22188548.09</v>
          </cell>
          <cell r="W4">
            <v>-22188548.09</v>
          </cell>
          <cell r="X4">
            <v>-22188548.09</v>
          </cell>
          <cell r="Y4">
            <v>-22585795.09</v>
          </cell>
          <cell r="Z4">
            <v>-21220504.09</v>
          </cell>
          <cell r="AA4">
            <v>-21416410.09</v>
          </cell>
          <cell r="AB4">
            <v>-20431546.91</v>
          </cell>
          <cell r="AC4">
            <v>-19264448.780000001</v>
          </cell>
          <cell r="AD4">
            <v>-19264448.780000001</v>
          </cell>
          <cell r="AE4">
            <v>-19264448.780000001</v>
          </cell>
          <cell r="AF4">
            <v>-17252455.350000001</v>
          </cell>
          <cell r="AG4">
            <v>-16461612.210000001</v>
          </cell>
        </row>
        <row r="5">
          <cell r="B5">
            <v>43040</v>
          </cell>
          <cell r="C5">
            <v>-18596563.210000001</v>
          </cell>
          <cell r="D5">
            <v>-16038002.779999999</v>
          </cell>
          <cell r="E5">
            <v>-16112210.779999999</v>
          </cell>
          <cell r="F5">
            <v>-16442940.779999999</v>
          </cell>
          <cell r="G5">
            <v>-16442940.779999999</v>
          </cell>
          <cell r="H5">
            <v>-16954038.780000001</v>
          </cell>
          <cell r="I5">
            <v>-17395794.379999999</v>
          </cell>
          <cell r="J5">
            <v>-14250203.6</v>
          </cell>
          <cell r="K5">
            <v>-15041995.6</v>
          </cell>
          <cell r="L5">
            <v>-13686921.199999999</v>
          </cell>
          <cell r="M5">
            <v>-13687236.26</v>
          </cell>
          <cell r="N5">
            <v>-13687236.26</v>
          </cell>
          <cell r="O5">
            <v>-13833776.26</v>
          </cell>
          <cell r="P5">
            <v>-12709201.26</v>
          </cell>
          <cell r="Q5">
            <v>-12715866.26</v>
          </cell>
          <cell r="R5">
            <v>-12777286.26</v>
          </cell>
          <cell r="S5">
            <v>-11884262.09</v>
          </cell>
          <cell r="T5">
            <v>-13333668.09</v>
          </cell>
          <cell r="U5">
            <v>-13333668.09</v>
          </cell>
          <cell r="V5">
            <v>-13764670.09</v>
          </cell>
          <cell r="W5">
            <v>-13058202.09</v>
          </cell>
          <cell r="X5">
            <v>-13087763.09</v>
          </cell>
          <cell r="Y5">
            <v>-11728531.09</v>
          </cell>
          <cell r="Z5">
            <v>-11744462.09</v>
          </cell>
          <cell r="AA5">
            <v>-11744462.09</v>
          </cell>
          <cell r="AB5">
            <v>-11744462.09</v>
          </cell>
          <cell r="AC5">
            <v>-11819868.289999999</v>
          </cell>
          <cell r="AD5">
            <v>-13059290.960000001</v>
          </cell>
          <cell r="AE5">
            <v>-12969455.960000001</v>
          </cell>
          <cell r="AF5">
            <v>-14466306.859999999</v>
          </cell>
          <cell r="AG5"/>
        </row>
        <row r="6">
          <cell r="B6">
            <v>43070</v>
          </cell>
          <cell r="C6">
            <v>-12863333.039999999</v>
          </cell>
          <cell r="D6">
            <v>-16837113.989999998</v>
          </cell>
          <cell r="E6">
            <v>-16837113.989999998</v>
          </cell>
          <cell r="F6">
            <v>-16877256.989999998</v>
          </cell>
          <cell r="G6">
            <v>-14066704.560000001</v>
          </cell>
          <cell r="H6">
            <v>-14816589.98</v>
          </cell>
          <cell r="I6">
            <v>-12506781.789999999</v>
          </cell>
          <cell r="J6">
            <v>-13522272.789999999</v>
          </cell>
          <cell r="K6">
            <v>-13522272.789999999</v>
          </cell>
          <cell r="L6">
            <v>-13522272.789999999</v>
          </cell>
          <cell r="M6">
            <v>-14054509.789999999</v>
          </cell>
          <cell r="N6">
            <v>-12818047.539999999</v>
          </cell>
          <cell r="O6">
            <v>-12788748.539999999</v>
          </cell>
          <cell r="P6">
            <v>-11724142.539999999</v>
          </cell>
          <cell r="Q6">
            <v>-12283022.539999999</v>
          </cell>
          <cell r="R6">
            <v>-12284376</v>
          </cell>
          <cell r="S6">
            <v>-12284376</v>
          </cell>
          <cell r="T6">
            <v>-11034046</v>
          </cell>
          <cell r="U6">
            <v>-8169945.8700000001</v>
          </cell>
          <cell r="V6">
            <v>-8399041.8599999994</v>
          </cell>
          <cell r="W6">
            <v>-6754456.7800000003</v>
          </cell>
          <cell r="X6">
            <v>-6840881.3300000001</v>
          </cell>
          <cell r="Y6">
            <v>-6840881.3300000001</v>
          </cell>
          <cell r="Z6">
            <v>-6840881.3300000001</v>
          </cell>
          <cell r="AA6">
            <v>-6840881.3300000001</v>
          </cell>
          <cell r="AB6">
            <v>-6889655.3300000001</v>
          </cell>
          <cell r="AC6">
            <v>-4656793.9400000004</v>
          </cell>
          <cell r="AD6">
            <v>-5602271.0599999996</v>
          </cell>
          <cell r="AE6">
            <v>-7360049.2199999997</v>
          </cell>
          <cell r="AF6">
            <v>-28051342.420000002</v>
          </cell>
          <cell r="AG6">
            <v>-28161926.420000002</v>
          </cell>
        </row>
        <row r="7">
          <cell r="B7">
            <v>43101</v>
          </cell>
          <cell r="C7">
            <v>-9869036.5999999996</v>
          </cell>
          <cell r="D7">
            <v>-9956077.5</v>
          </cell>
          <cell r="E7">
            <v>-9857360.6300000008</v>
          </cell>
          <cell r="F7">
            <v>-10105292.630000001</v>
          </cell>
          <cell r="G7">
            <v>-11442487.630000001</v>
          </cell>
          <cell r="H7">
            <v>-11497562.630000001</v>
          </cell>
          <cell r="I7">
            <v>-11497562.630000001</v>
          </cell>
          <cell r="J7">
            <v>-9696735.6300000008</v>
          </cell>
          <cell r="K7">
            <v>-7652953.7300000004</v>
          </cell>
          <cell r="L7">
            <v>-7783258.7300000004</v>
          </cell>
          <cell r="M7">
            <v>-6523996.6500000004</v>
          </cell>
          <cell r="N7">
            <v>-5815670.1200000001</v>
          </cell>
          <cell r="O7">
            <v>-5815890.7800000003</v>
          </cell>
          <cell r="P7">
            <v>-5815890.7800000003</v>
          </cell>
          <cell r="Q7">
            <v>-5269558.78</v>
          </cell>
          <cell r="R7">
            <v>-3651886.82</v>
          </cell>
          <cell r="S7">
            <v>-3746922.82</v>
          </cell>
          <cell r="T7">
            <v>-3096405.15</v>
          </cell>
          <cell r="U7">
            <v>-4103983.15</v>
          </cell>
          <cell r="V7">
            <v>-4108058.15</v>
          </cell>
          <cell r="W7">
            <v>-4108058.15</v>
          </cell>
          <cell r="X7">
            <v>-4407211.2699999996</v>
          </cell>
          <cell r="Y7">
            <v>-4150406.08</v>
          </cell>
          <cell r="Z7">
            <v>-4218113.08</v>
          </cell>
          <cell r="AA7">
            <v>-4395896.08</v>
          </cell>
          <cell r="AB7">
            <v>-4395896.08</v>
          </cell>
          <cell r="AC7">
            <v>-4395896.08</v>
          </cell>
          <cell r="AD7">
            <v>-4395896.08</v>
          </cell>
          <cell r="AE7">
            <v>-3950250.88</v>
          </cell>
          <cell r="AF7">
            <v>-4457784.0599999996</v>
          </cell>
          <cell r="AG7">
            <v>-3584944.56</v>
          </cell>
        </row>
        <row r="8">
          <cell r="B8">
            <v>43132</v>
          </cell>
          <cell r="C8">
            <v>-5353685.5599999996</v>
          </cell>
          <cell r="D8">
            <v>-6415872.96</v>
          </cell>
          <cell r="E8">
            <v>-7023734.96</v>
          </cell>
          <cell r="F8">
            <v>-7023734.96</v>
          </cell>
          <cell r="G8">
            <v>-8856680.9600000009</v>
          </cell>
          <cell r="H8">
            <v>-9409079.3399999999</v>
          </cell>
          <cell r="I8">
            <v>-9570632.3399999999</v>
          </cell>
          <cell r="J8">
            <v>-9665634.3000000007</v>
          </cell>
          <cell r="K8">
            <v>-9868386.3000000007</v>
          </cell>
          <cell r="L8">
            <v>-9868386.3000000007</v>
          </cell>
          <cell r="M8">
            <v>-9868386.3000000007</v>
          </cell>
          <cell r="N8">
            <v>-10886003.9</v>
          </cell>
          <cell r="O8">
            <v>-10784112.9</v>
          </cell>
          <cell r="P8">
            <v>-8864315.9000000004</v>
          </cell>
          <cell r="Q8">
            <v>-8589203.6699999999</v>
          </cell>
          <cell r="R8">
            <v>-28613468.670000002</v>
          </cell>
          <cell r="S8">
            <v>-29652817.309999999</v>
          </cell>
          <cell r="T8">
            <v>-29652817.309999999</v>
          </cell>
          <cell r="U8">
            <v>-29722880.210000001</v>
          </cell>
          <cell r="V8">
            <v>-28817543.469999999</v>
          </cell>
          <cell r="W8">
            <v>-27709336.469999999</v>
          </cell>
          <cell r="X8">
            <v>-27714548.960000001</v>
          </cell>
          <cell r="Y8">
            <v>-27944641.960000001</v>
          </cell>
          <cell r="Z8">
            <v>-27944641.960000001</v>
          </cell>
          <cell r="AA8">
            <v>-27944641.960000001</v>
          </cell>
          <cell r="AB8">
            <v>-27185323.960000001</v>
          </cell>
          <cell r="AC8">
            <v>-25924931.960000001</v>
          </cell>
          <cell r="AD8">
            <v>-26582428.129999999</v>
          </cell>
          <cell r="AE8"/>
          <cell r="AF8"/>
          <cell r="AG8"/>
        </row>
        <row r="9">
          <cell r="B9">
            <v>43160</v>
          </cell>
          <cell r="C9">
            <v>-27175559.289999999</v>
          </cell>
          <cell r="D9">
            <v>-27261959.289999999</v>
          </cell>
          <cell r="E9">
            <v>-27649043.289999999</v>
          </cell>
          <cell r="F9">
            <v>-27649043.289999999</v>
          </cell>
          <cell r="G9">
            <v>-28032790.390000001</v>
          </cell>
          <cell r="H9">
            <v>-29834903.809999999</v>
          </cell>
          <cell r="I9">
            <v>-31533576.27</v>
          </cell>
          <cell r="J9">
            <v>-31599917.129999999</v>
          </cell>
          <cell r="K9">
            <v>-32088575.530000001</v>
          </cell>
          <cell r="L9">
            <v>-32088804.449999999</v>
          </cell>
          <cell r="M9">
            <v>-32088804.449999999</v>
          </cell>
          <cell r="N9">
            <v>-32238919.050000001</v>
          </cell>
          <cell r="O9">
            <v>-33200126.309999999</v>
          </cell>
          <cell r="P9">
            <v>-31906067.199999999</v>
          </cell>
          <cell r="Q9">
            <v>-31897916.199999999</v>
          </cell>
          <cell r="R9">
            <v>-31902033.199999999</v>
          </cell>
          <cell r="S9">
            <v>-33414990.199999999</v>
          </cell>
          <cell r="T9">
            <v>-33414990.199999999</v>
          </cell>
          <cell r="U9">
            <v>-33467498.800000001</v>
          </cell>
          <cell r="V9">
            <v>-31991336.469999999</v>
          </cell>
          <cell r="W9">
            <v>-30574968.469999999</v>
          </cell>
          <cell r="X9">
            <v>-29770112.469999999</v>
          </cell>
          <cell r="Y9">
            <v>-30201589.649999999</v>
          </cell>
          <cell r="Z9">
            <v>-30201589.649999999</v>
          </cell>
          <cell r="AA9">
            <v>-30201589.649999999</v>
          </cell>
          <cell r="AB9">
            <v>-29857095.649999999</v>
          </cell>
          <cell r="AC9">
            <v>-19784688.609999999</v>
          </cell>
          <cell r="AD9">
            <v>-20711015.890000001</v>
          </cell>
          <cell r="AE9">
            <v>-20101399.699999999</v>
          </cell>
          <cell r="AF9">
            <v>-21745807.699999999</v>
          </cell>
          <cell r="AG9">
            <v>-30473549.32</v>
          </cell>
        </row>
        <row r="10">
          <cell r="B10" t="str">
            <v>Daily Avg</v>
          </cell>
          <cell r="C10">
            <v>-15437611.536666667</v>
          </cell>
          <cell r="D10">
            <v>-15879419.673333332</v>
          </cell>
          <cell r="E10">
            <v>-16199021.354285713</v>
          </cell>
          <cell r="F10">
            <v>-16246303.815714283</v>
          </cell>
          <cell r="G10">
            <v>-16612168.022857144</v>
          </cell>
          <cell r="H10">
            <v>-17204698.558571428</v>
          </cell>
          <cell r="I10">
            <v>-17604843.682857141</v>
          </cell>
          <cell r="J10">
            <v>-17246767.054285713</v>
          </cell>
          <cell r="K10">
            <v>-17256938.789999999</v>
          </cell>
          <cell r="L10">
            <v>-17068240.292857144</v>
          </cell>
          <cell r="M10">
            <v>-16596049.704285715</v>
          </cell>
          <cell r="N10">
            <v>-16492614.050000001</v>
          </cell>
          <cell r="O10">
            <v>-16359944.735714287</v>
          </cell>
          <cell r="P10">
            <v>-15513507.291428572</v>
          </cell>
          <cell r="Q10">
            <v>-15477477.83</v>
          </cell>
          <cell r="R10">
            <v>-18205576.061428569</v>
          </cell>
          <cell r="S10">
            <v>-18809871.73</v>
          </cell>
          <cell r="T10">
            <v>-18647503.348571431</v>
          </cell>
          <cell r="U10">
            <v>-18563479.207142856</v>
          </cell>
          <cell r="V10">
            <v>-17965561.91</v>
          </cell>
          <cell r="W10">
            <v>-17028632.061428573</v>
          </cell>
          <cell r="X10">
            <v>-17148242.79857143</v>
          </cell>
          <cell r="Y10">
            <v>-17068639.940000001</v>
          </cell>
          <cell r="Z10">
            <v>-16885546.654285718</v>
          </cell>
          <cell r="AA10">
            <v>-16911285.241428573</v>
          </cell>
          <cell r="AB10">
            <v>-16637347.044285715</v>
          </cell>
          <cell r="AC10">
            <v>-14657200.35142857</v>
          </cell>
          <cell r="AD10">
            <v>-15024041.647142857</v>
          </cell>
          <cell r="AE10">
            <v>-12729120.908000002</v>
          </cell>
          <cell r="AF10">
            <v>-17194739.278000001</v>
          </cell>
        </row>
      </sheetData>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NC Rating"/>
      <sheetName val="1.Snapshot"/>
      <sheetName val="2.Daily-Balance"/>
      <sheetName val="3.Analysis"/>
      <sheetName val="4.Monthly-Summary"/>
      <sheetName val="5.Debit-Analysis"/>
      <sheetName val="6.Credit-Analysis"/>
      <sheetName val="7.Transaction-Analysis"/>
      <sheetName val="8.Loan-Track"/>
      <sheetName val="Expense-Analysis"/>
      <sheetName val="Web"/>
    </sheetNames>
    <sheetDataSet>
      <sheetData sheetId="0"/>
      <sheetData sheetId="1"/>
      <sheetData sheetId="2"/>
      <sheetData sheetId="3">
        <row r="3">
          <cell r="B3">
            <v>42979</v>
          </cell>
        </row>
        <row r="10">
          <cell r="B10" t="str">
            <v>Daily Avg</v>
          </cell>
          <cell r="C10">
            <v>-15437611.539999999</v>
          </cell>
          <cell r="D10">
            <v>-15879419.67</v>
          </cell>
          <cell r="E10">
            <v>-16199021.35</v>
          </cell>
          <cell r="F10">
            <v>-16246303.82</v>
          </cell>
          <cell r="G10">
            <v>-16612168.02</v>
          </cell>
          <cell r="H10">
            <v>-17204698.559999999</v>
          </cell>
          <cell r="I10">
            <v>-17604843.68</v>
          </cell>
          <cell r="J10">
            <v>-17246767.050000001</v>
          </cell>
          <cell r="K10">
            <v>-17256938.789999999</v>
          </cell>
          <cell r="L10">
            <v>-17068240.289999999</v>
          </cell>
          <cell r="M10">
            <v>-16596049.699999999</v>
          </cell>
          <cell r="N10">
            <v>-16492614.050000001</v>
          </cell>
          <cell r="O10">
            <v>-16359944.74</v>
          </cell>
          <cell r="P10">
            <v>-15513507.289999999</v>
          </cell>
          <cell r="Q10">
            <v>-15477477.83</v>
          </cell>
          <cell r="R10">
            <v>-18205576.059999999</v>
          </cell>
          <cell r="S10">
            <v>-18809871.73</v>
          </cell>
          <cell r="T10">
            <v>-18647503.350000001</v>
          </cell>
          <cell r="U10">
            <v>-18563479.210000001</v>
          </cell>
          <cell r="V10">
            <v>-17965561.91</v>
          </cell>
          <cell r="W10">
            <v>-17028632.059999999</v>
          </cell>
          <cell r="X10">
            <v>-17148242.800000001</v>
          </cell>
          <cell r="Y10">
            <v>-17068639.940000001</v>
          </cell>
          <cell r="Z10">
            <v>-16885546.649999999</v>
          </cell>
          <cell r="AA10">
            <v>-16911285.239999998</v>
          </cell>
          <cell r="AB10">
            <v>-16637347.039999999</v>
          </cell>
          <cell r="AC10">
            <v>-14657200.35</v>
          </cell>
          <cell r="AD10">
            <v>-15024041.65</v>
          </cell>
          <cell r="AE10">
            <v>-12729120.91</v>
          </cell>
          <cell r="AF10">
            <v>-17194739.280000001</v>
          </cell>
        </row>
      </sheetData>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dct_table" displayName="prdct_table" ref="B5:D61" totalsRowShown="0" headerRowDxfId="360" headerRowBorderDxfId="359" tableBorderDxfId="358">
  <tableColumns count="3">
    <tableColumn id="1" xr3:uid="{00000000-0010-0000-0000-000001000000}" name="Sr No" dataDxfId="357"/>
    <tableColumn id="2" xr3:uid="{00000000-0010-0000-0000-000002000000}" name="Name" dataDxfId="356" dataCellStyle="Hyperlink"/>
    <tableColumn id="3" xr3:uid="{00000000-0010-0000-0000-000003000000}" name="Type" dataDxfId="355"/>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9" totalsRowShown="0">
  <tableColumns count="1">
    <tableColumn id="1" xr3:uid="{00000000-0010-0000-0100-000001000000}" name="Product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2:D9" totalsRowShown="0">
  <sortState xmlns:xlrd2="http://schemas.microsoft.com/office/spreadsheetml/2017/richdata2" ref="D3:D9">
    <sortCondition ref="D3"/>
  </sortState>
  <tableColumns count="1">
    <tableColumn id="1" xr3:uid="{00000000-0010-0000-0200-000001000000}" name="Constitutio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F2:F88" totalsRowShown="0">
  <autoFilter ref="F2:F88" xr:uid="{00000000-0009-0000-0100-000003000000}"/>
  <tableColumns count="1">
    <tableColumn id="1" xr3:uid="{00000000-0010-0000-0300-000001000000}" name="Sector"/>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LoanTrack" displayName="LoanTrack" ref="B26:BC49" headerRowCount="0" totalsRowCount="1" headerRowDxfId="262" dataDxfId="260" totalsRowDxfId="258" headerRowBorderDxfId="261" tableBorderDxfId="259" totalsRowBorderDxfId="257">
  <tableColumns count="54">
    <tableColumn id="1" xr3:uid="{00000000-0010-0000-0400-000001000000}" name="Column1" totalsRowLabel="Total" headerRowDxfId="256" dataDxfId="255" totalsRowDxfId="254" dataCellStyle="Normal 11 2"/>
    <tableColumn id="2" xr3:uid="{00000000-0010-0000-0400-000002000000}" name="Column2" headerRowDxfId="253" dataDxfId="252" totalsRowDxfId="251" dataCellStyle="Normal 11 2"/>
    <tableColumn id="3" xr3:uid="{00000000-0010-0000-0400-000003000000}" name="Column3" totalsRowFunction="count" headerRowDxfId="250" dataDxfId="249" totalsRowDxfId="248" dataCellStyle="Normal 3 2 4 2"/>
    <tableColumn id="4" xr3:uid="{00000000-0010-0000-0400-000004000000}" name="Column4" totalsRowFunction="sum" headerRowDxfId="247" dataDxfId="246" totalsRowDxfId="245" dataCellStyle="Normal 11 2"/>
    <tableColumn id="53" xr3:uid="{00000000-0010-0000-0400-000035000000}" name="Column52" totalsRowFunction="sum" headerRowDxfId="244" dataDxfId="243" totalsRowDxfId="242" dataCellStyle="Normal 11 2"/>
    <tableColumn id="5" xr3:uid="{00000000-0010-0000-0400-000005000000}" name="Column5" totalsRowFunction="sum" headerRowDxfId="241" dataDxfId="240" totalsRowDxfId="239" dataCellStyle="Normal 11 2"/>
    <tableColumn id="6" xr3:uid="{00000000-0010-0000-0400-000006000000}" name="Column6" headerRowDxfId="238" dataDxfId="237" totalsRowDxfId="236" dataCellStyle="Normal 11 2"/>
    <tableColumn id="54" xr3:uid="{00000000-0010-0000-0400-000036000000}" name="Column54" totalsRowFunction="sum" headerRowDxfId="235" dataDxfId="234" totalsRowDxfId="233" dataCellStyle="Normal 11 2"/>
    <tableColumn id="7" xr3:uid="{00000000-0010-0000-0400-000007000000}" name="Column7" headerRowDxfId="232" dataDxfId="231" totalsRowDxfId="230" dataCellStyle="Normal 11 2"/>
    <tableColumn id="8" xr3:uid="{00000000-0010-0000-0400-000008000000}" name="Column8" headerRowDxfId="229" dataDxfId="228" totalsRowDxfId="227" dataCellStyle="Normal 11 2">
      <calculatedColumnFormula>IFERROR(IF(J26&lt;(TODAY()-H26)/30,"",J26-((TODAY()-H26)/30)+1),"")</calculatedColumnFormula>
    </tableColumn>
    <tableColumn id="9" xr3:uid="{00000000-0010-0000-0400-000009000000}" name="Column9" totalsRowFunction="custom" headerRowDxfId="226" dataDxfId="225" totalsRowDxfId="224" dataCellStyle="Normal 11 2">
      <totalsRowFormula>COUNTIF(L26:L48,"Yes")</totalsRowFormula>
    </tableColumn>
    <tableColumn id="10" xr3:uid="{00000000-0010-0000-0400-00000A000000}" name="Column10" totalsRowFunction="sum" headerRowDxfId="223" dataDxfId="222" totalsRowDxfId="221" dataCellStyle="Normal 11 2">
      <calculatedColumnFormula>IF(OR(L26="Yes",AND(K26&gt;1,K26&lt;&gt;"")),G26,"")</calculatedColumnFormula>
    </tableColumn>
    <tableColumn id="11" xr3:uid="{00000000-0010-0000-0400-00000B000000}" name="Column11" totalsRowFunction="custom" headerRowDxfId="220" dataDxfId="219" totalsRowDxfId="218" dataCellStyle="Normal 3 2 4 2">
      <totalsRowFormula>SUMPRODUCT((N26:N48&lt;&gt;"")/COUNTIF(N26:N48,N26:N48&amp;""))</totalsRowFormula>
    </tableColumn>
    <tableColumn id="52" xr3:uid="{00000000-0010-0000-0400-000034000000}" name="Column51" totalsRowFunction="sum" headerRowDxfId="217" dataDxfId="216" totalsRowDxfId="215" dataCellStyle="Normal 11 2">
      <calculatedColumnFormula>IF($G26&lt;&gt;"",COUNT($S26,$V26,$Y26,$AB26,$AE26,$AH26,$AK26,$AN26,$AQ26,$AT26,$AW26,$AZ26),"")</calculatedColumnFormula>
    </tableColumn>
    <tableColumn id="55" xr3:uid="{00000000-0010-0000-0400-000037000000}" name="Column53" totalsRowFunction="sum" headerRowDxfId="214" dataDxfId="213" totalsRowDxfId="212" dataCellStyle="Normal 11 2"/>
    <tableColumn id="51" xr3:uid="{00000000-0010-0000-0400-000033000000}" name="Column50" totalsRowFunction="sum" headerRowDxfId="211" dataDxfId="210" totalsRowDxfId="209" dataCellStyle="Normal 11 2">
      <calculatedColumnFormula>IF($G26&lt;&gt;"",SUM($T26,$W26,$Z26,$AC26,$AF26,$AI26,$AL26,$AO26,$AR26,$AU26,$AX26,$BA26),"")</calculatedColumnFormula>
    </tableColumn>
    <tableColumn id="50" xr3:uid="{00000000-0010-0000-0400-000032000000}" name="Column49" totalsRowFunction="custom" headerRowDxfId="208" dataDxfId="207" totalsRowDxfId="206" dataCellStyle="Normal 11 2">
      <calculatedColumnFormula>IF($G26&lt;&gt;"",IFERROR(AVERAGE($U26,$X26,$AA26,$AD26,$AG26,$AJ26,$AM26,$AP26,$AS26,$AV26,$AY26,$BB26),""),"")</calculatedColumnFormula>
      <totalsRowFormula>IFERROR(SUBTOTAL(101,R26:R48),"")</totalsRowFormula>
    </tableColumn>
    <tableColumn id="12" xr3:uid="{00000000-0010-0000-0400-00000C000000}" name="Column12" totalsRowFunction="count" headerRowDxfId="205" dataDxfId="204" totalsRowDxfId="203" dataCellStyle="Normal 11 2"/>
    <tableColumn id="13" xr3:uid="{00000000-0010-0000-0400-00000D000000}" name="Column13" totalsRowFunction="sum" headerRowDxfId="202" dataDxfId="201" totalsRowDxfId="200" dataCellStyle="Normal 11 2"/>
    <tableColumn id="14" xr3:uid="{00000000-0010-0000-0400-00000E000000}" name="Column14" totalsRowFunction="custom" headerRowDxfId="199" dataDxfId="198" totalsRowDxfId="197" dataCellStyle="Normal 11 2">
      <totalsRowFormula>IFERROR(SUBTOTAL(101,U26:U48),"")</totalsRowFormula>
    </tableColumn>
    <tableColumn id="15" xr3:uid="{00000000-0010-0000-0400-00000F000000}" name="Column15" totalsRowFunction="count" headerRowDxfId="196" dataDxfId="195" totalsRowDxfId="194" dataCellStyle="Normal 11 2"/>
    <tableColumn id="16" xr3:uid="{00000000-0010-0000-0400-000010000000}" name="Column16" totalsRowFunction="sum" headerRowDxfId="193" dataDxfId="192" totalsRowDxfId="191" dataCellStyle="Normal 11 2"/>
    <tableColumn id="17" xr3:uid="{00000000-0010-0000-0400-000011000000}" name="Column17" totalsRowFunction="custom" headerRowDxfId="190" dataDxfId="189" totalsRowDxfId="188" dataCellStyle="Normal 11 2">
      <totalsRowFormula>IFERROR(SUBTOTAL(101,X26:X48),"")</totalsRowFormula>
    </tableColumn>
    <tableColumn id="18" xr3:uid="{00000000-0010-0000-0400-000012000000}" name="Column18" totalsRowFunction="count" headerRowDxfId="187" dataDxfId="186" totalsRowDxfId="185" dataCellStyle="Normal 11 2"/>
    <tableColumn id="19" xr3:uid="{00000000-0010-0000-0400-000013000000}" name="Column19" totalsRowFunction="sum" headerRowDxfId="184" dataDxfId="183" totalsRowDxfId="182" dataCellStyle="Normal 11 2"/>
    <tableColumn id="20" xr3:uid="{00000000-0010-0000-0400-000014000000}" name="Column20" totalsRowFunction="custom" headerRowDxfId="181" dataDxfId="180" totalsRowDxfId="179" dataCellStyle="Normal 11 2">
      <totalsRowFormula>IFERROR(SUBTOTAL(101,AA26:AA48),"")</totalsRowFormula>
    </tableColumn>
    <tableColumn id="21" xr3:uid="{00000000-0010-0000-0400-000015000000}" name="Column21" totalsRowFunction="count" headerRowDxfId="178" dataDxfId="177" totalsRowDxfId="176" dataCellStyle="Normal 11 2"/>
    <tableColumn id="22" xr3:uid="{00000000-0010-0000-0400-000016000000}" name="Column22" totalsRowFunction="sum" headerRowDxfId="175" dataDxfId="174" totalsRowDxfId="173" dataCellStyle="Normal 11 2"/>
    <tableColumn id="23" xr3:uid="{00000000-0010-0000-0400-000017000000}" name="Column23" totalsRowFunction="custom" headerRowDxfId="172" dataDxfId="171" totalsRowDxfId="170" dataCellStyle="Normal 11 2">
      <totalsRowFormula>IFERROR(SUBTOTAL(101,AD26:AD48),"")</totalsRowFormula>
    </tableColumn>
    <tableColumn id="24" xr3:uid="{00000000-0010-0000-0400-000018000000}" name="Column24" totalsRowFunction="count" headerRowDxfId="169" dataDxfId="168" totalsRowDxfId="167" dataCellStyle="Normal 11 2"/>
    <tableColumn id="25" xr3:uid="{00000000-0010-0000-0400-000019000000}" name="Column25" totalsRowFunction="sum" headerRowDxfId="166" dataDxfId="165" totalsRowDxfId="164" dataCellStyle="Normal 11 2"/>
    <tableColumn id="26" xr3:uid="{00000000-0010-0000-0400-00001A000000}" name="Column26" totalsRowFunction="custom" headerRowDxfId="163" dataDxfId="162" totalsRowDxfId="161" dataCellStyle="Normal 11 2">
      <totalsRowFormula>IFERROR(SUBTOTAL(101,AG26:AG48),"")</totalsRowFormula>
    </tableColumn>
    <tableColumn id="27" xr3:uid="{00000000-0010-0000-0400-00001B000000}" name="Column27" totalsRowFunction="count" headerRowDxfId="160" dataDxfId="159" totalsRowDxfId="158" dataCellStyle="Normal 11 2"/>
    <tableColumn id="28" xr3:uid="{00000000-0010-0000-0400-00001C000000}" name="Column28" totalsRowFunction="sum" headerRowDxfId="157" dataDxfId="156" totalsRowDxfId="155" dataCellStyle="Normal 11 2"/>
    <tableColumn id="29" xr3:uid="{00000000-0010-0000-0400-00001D000000}" name="Column29" totalsRowFunction="custom" headerRowDxfId="154" dataDxfId="153" totalsRowDxfId="152" dataCellStyle="Normal 11 2">
      <totalsRowFormula>IFERROR(SUBTOTAL(101,AJ26:AJ48),"")</totalsRowFormula>
    </tableColumn>
    <tableColumn id="30" xr3:uid="{00000000-0010-0000-0400-00001E000000}" name="Column30" totalsRowFunction="count" headerRowDxfId="151" dataDxfId="150" totalsRowDxfId="149" dataCellStyle="Normal 11 2"/>
    <tableColumn id="31" xr3:uid="{00000000-0010-0000-0400-00001F000000}" name="Column31" totalsRowFunction="sum" headerRowDxfId="148" dataDxfId="147" totalsRowDxfId="146" dataCellStyle="Normal 11 2"/>
    <tableColumn id="32" xr3:uid="{00000000-0010-0000-0400-000020000000}" name="Column32" totalsRowFunction="custom" headerRowDxfId="145" dataDxfId="144" totalsRowDxfId="143" dataCellStyle="Normal 11 2">
      <totalsRowFormula>IFERROR(SUBTOTAL(101,AM26:AM48),"")</totalsRowFormula>
    </tableColumn>
    <tableColumn id="33" xr3:uid="{00000000-0010-0000-0400-000021000000}" name="Column33" totalsRowFunction="count" headerRowDxfId="142" dataDxfId="141" totalsRowDxfId="140" dataCellStyle="Normal 11 2"/>
    <tableColumn id="34" xr3:uid="{00000000-0010-0000-0400-000022000000}" name="Column34" totalsRowFunction="sum" headerRowDxfId="139" dataDxfId="138" totalsRowDxfId="137" dataCellStyle="Normal 11 2"/>
    <tableColumn id="35" xr3:uid="{00000000-0010-0000-0400-000023000000}" name="Column35" totalsRowFunction="custom" headerRowDxfId="136" dataDxfId="135" totalsRowDxfId="134" dataCellStyle="Normal 11 2">
      <totalsRowFormula>IFERROR(SUBTOTAL(101,AP26:AP48),"")</totalsRowFormula>
    </tableColumn>
    <tableColumn id="36" xr3:uid="{00000000-0010-0000-0400-000024000000}" name="Column36" totalsRowFunction="count" headerRowDxfId="133" dataDxfId="132" totalsRowDxfId="131" dataCellStyle="Normal 11 2"/>
    <tableColumn id="37" xr3:uid="{00000000-0010-0000-0400-000025000000}" name="Column37" totalsRowFunction="sum" headerRowDxfId="130" dataDxfId="129" totalsRowDxfId="128" dataCellStyle="Normal 11 2"/>
    <tableColumn id="38" xr3:uid="{00000000-0010-0000-0400-000026000000}" name="Column38" totalsRowFunction="custom" headerRowDxfId="127" dataDxfId="126" totalsRowDxfId="125" dataCellStyle="Normal 11 2">
      <totalsRowFormula>IFERROR(SUBTOTAL(101,AS26:AS48),"")</totalsRowFormula>
    </tableColumn>
    <tableColumn id="39" xr3:uid="{00000000-0010-0000-0400-000027000000}" name="Column39" totalsRowFunction="count" headerRowDxfId="124" dataDxfId="123" totalsRowDxfId="122" dataCellStyle="Normal 11 2"/>
    <tableColumn id="40" xr3:uid="{00000000-0010-0000-0400-000028000000}" name="Column40" totalsRowFunction="sum" headerRowDxfId="121" dataDxfId="120" totalsRowDxfId="119" dataCellStyle="Normal 11 2"/>
    <tableColumn id="41" xr3:uid="{00000000-0010-0000-0400-000029000000}" name="Column41" totalsRowFunction="custom" headerRowDxfId="118" dataDxfId="117" totalsRowDxfId="116" dataCellStyle="Normal 11 2">
      <totalsRowFormula>IFERROR(SUBTOTAL(101,AV26:AV48),"")</totalsRowFormula>
    </tableColumn>
    <tableColumn id="42" xr3:uid="{00000000-0010-0000-0400-00002A000000}" name="Column42" totalsRowFunction="count" headerRowDxfId="115" dataDxfId="114" totalsRowDxfId="113" dataCellStyle="Normal 11 2"/>
    <tableColumn id="43" xr3:uid="{00000000-0010-0000-0400-00002B000000}" name="Column43" totalsRowFunction="sum" headerRowDxfId="112" dataDxfId="111" totalsRowDxfId="110" dataCellStyle="Normal 11 2"/>
    <tableColumn id="44" xr3:uid="{00000000-0010-0000-0400-00002C000000}" name="Column44" totalsRowFunction="custom" headerRowDxfId="109" dataDxfId="108" totalsRowDxfId="107" dataCellStyle="Normal 11 2">
      <totalsRowFormula>IFERROR(SUBTOTAL(101,AY26:AY48),"")</totalsRowFormula>
    </tableColumn>
    <tableColumn id="45" xr3:uid="{00000000-0010-0000-0400-00002D000000}" name="Column45" totalsRowFunction="count" headerRowDxfId="106" dataDxfId="105" totalsRowDxfId="104" dataCellStyle="Normal 11 2"/>
    <tableColumn id="46" xr3:uid="{00000000-0010-0000-0400-00002E000000}" name="Column46" totalsRowFunction="sum" headerRowDxfId="103" dataDxfId="102" totalsRowDxfId="101" dataCellStyle="Normal 11 2"/>
    <tableColumn id="47" xr3:uid="{00000000-0010-0000-0400-00002F000000}" name="Column47" totalsRowFunction="custom" headerRowDxfId="100" dataDxfId="99" totalsRowDxfId="98" dataCellStyle="Normal 11 2">
      <totalsRowFormula>IFERROR(SUBTOTAL(101,BB26:BB48),"")</totalsRowFormula>
    </tableColumn>
    <tableColumn id="48" xr3:uid="{00000000-0010-0000-0400-000030000000}" name="Column48" totalsRowFunction="count" headerRowDxfId="97" dataDxfId="96" totalsRowDxfId="95" dataCellStyle="Normal 3 2 4 2"/>
  </tableColumns>
  <tableStyleInfo name="TableStyleLight8"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aarbur.com/" TargetMode="External"/><Relationship Id="rId1" Type="http://schemas.openxmlformats.org/officeDocument/2006/relationships/hyperlink" Target="https://www.indiamart.com/aarbur/aboutus.html" TargetMode="Externa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5.bin"/><Relationship Id="rId1" Type="http://schemas.openxmlformats.org/officeDocument/2006/relationships/hyperlink" Target="https://economictimes.indiatimes.com/company/aarbur-point-maintenance-private-limited/U74900WB2016PTC209923" TargetMode="Externa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9.bin"/><Relationship Id="rId4"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xml"/><Relationship Id="rId1" Type="http://schemas.openxmlformats.org/officeDocument/2006/relationships/printerSettings" Target="../printerSettings/printerSettings20.bin"/><Relationship Id="rId4" Type="http://schemas.openxmlformats.org/officeDocument/2006/relationships/comments" Target="../comments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4.xml"/><Relationship Id="rId1" Type="http://schemas.openxmlformats.org/officeDocument/2006/relationships/printerSettings" Target="../printerSettings/printerSettings21.bin"/><Relationship Id="rId4" Type="http://schemas.openxmlformats.org/officeDocument/2006/relationships/comments" Target="../comments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6.xml"/><Relationship Id="rId1" Type="http://schemas.openxmlformats.org/officeDocument/2006/relationships/printerSettings" Target="../printerSettings/printerSettings26.bin"/><Relationship Id="rId4" Type="http://schemas.openxmlformats.org/officeDocument/2006/relationships/comments" Target="../comments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7.xml"/><Relationship Id="rId1" Type="http://schemas.openxmlformats.org/officeDocument/2006/relationships/printerSettings" Target="../printerSettings/printerSettings31.bin"/><Relationship Id="rId4" Type="http://schemas.openxmlformats.org/officeDocument/2006/relationships/comments" Target="../comments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6.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41.bin"/><Relationship Id="rId4" Type="http://schemas.openxmlformats.org/officeDocument/2006/relationships/comments" Target="../comments7.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42.bin"/><Relationship Id="rId4" Type="http://schemas.openxmlformats.org/officeDocument/2006/relationships/comments" Target="../comments8.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3.xml"/><Relationship Id="rId1" Type="http://schemas.openxmlformats.org/officeDocument/2006/relationships/printerSettings" Target="../printerSettings/printerSettings55.bin"/><Relationship Id="rId4" Type="http://schemas.openxmlformats.org/officeDocument/2006/relationships/comments" Target="../comments9.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56.bin"/><Relationship Id="rId4" Type="http://schemas.openxmlformats.org/officeDocument/2006/relationships/comments" Target="../comments10.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1.vml"/><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67.bin"/><Relationship Id="rId4" Type="http://schemas.openxmlformats.org/officeDocument/2006/relationships/comments" Target="../comments12.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3.vml"/><Relationship Id="rId1" Type="http://schemas.openxmlformats.org/officeDocument/2006/relationships/printerSettings" Target="../printerSettings/printerSettings68.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4.vml"/><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D85"/>
  <sheetViews>
    <sheetView zoomScale="80" zoomScaleNormal="80" workbookViewId="0">
      <selection activeCell="D7" sqref="D7"/>
    </sheetView>
  </sheetViews>
  <sheetFormatPr defaultColWidth="9.140625" defaultRowHeight="12.75" x14ac:dyDescent="0.2"/>
  <cols>
    <col min="1" max="1" width="9.140625" style="166"/>
    <col min="2" max="2" width="68.28515625" style="128" customWidth="1"/>
    <col min="3" max="3" width="41.7109375" style="128" bestFit="1" customWidth="1"/>
    <col min="4" max="4" width="44.5703125" style="128" bestFit="1" customWidth="1"/>
    <col min="5" max="16384" width="9.140625" style="128"/>
  </cols>
  <sheetData>
    <row r="1" spans="1:4" x14ac:dyDescent="0.2">
      <c r="A1" s="166" t="s">
        <v>1073</v>
      </c>
      <c r="B1" s="128" t="s">
        <v>20</v>
      </c>
      <c r="C1" s="128">
        <f>Financials_Consolidated!D7</f>
        <v>43555</v>
      </c>
      <c r="D1" s="128">
        <f>Financials_Consolidated!E7</f>
        <v>43190</v>
      </c>
    </row>
    <row r="2" spans="1:4" x14ac:dyDescent="0.2">
      <c r="B2" s="128" t="str">
        <f>Financials_Consolidated!A11</f>
        <v>Sales / Turnover</v>
      </c>
      <c r="C2" s="128">
        <f>Financials_Consolidated!D11</f>
        <v>77950161.870000005</v>
      </c>
      <c r="D2" s="128">
        <f>Financials_Consolidated!E11</f>
        <v>0</v>
      </c>
    </row>
    <row r="3" spans="1:4" x14ac:dyDescent="0.2">
      <c r="A3" s="166">
        <f>A2</f>
        <v>0</v>
      </c>
      <c r="B3" s="128" t="str">
        <f>Financials_Consolidated!A14</f>
        <v xml:space="preserve">Exception Income / Non operative income - Not to be considered </v>
      </c>
      <c r="C3" s="128">
        <f>Financials_Consolidated!D14</f>
        <v>3630203.5700000003</v>
      </c>
      <c r="D3" s="128">
        <f>Financials_Consolidated!E14</f>
        <v>0</v>
      </c>
    </row>
    <row r="4" spans="1:4" x14ac:dyDescent="0.2">
      <c r="A4" s="166">
        <f t="shared" ref="A4:A67" si="0">A3</f>
        <v>0</v>
      </c>
      <c r="B4" s="128" t="str">
        <f>Financials_Consolidated!A15</f>
        <v>Other Operational Income</v>
      </c>
      <c r="C4" s="128">
        <f>Financials_Consolidated!D15</f>
        <v>3681977.02</v>
      </c>
      <c r="D4" s="128">
        <f>Financials_Consolidated!E15</f>
        <v>0</v>
      </c>
    </row>
    <row r="5" spans="1:4" x14ac:dyDescent="0.2">
      <c r="A5" s="166">
        <f t="shared" si="0"/>
        <v>0</v>
      </c>
      <c r="B5" s="128" t="str">
        <f>Financials_Consolidated!A16</f>
        <v>Total Income</v>
      </c>
      <c r="C5" s="128">
        <f>Financials_Consolidated!D16</f>
        <v>81632138.890000001</v>
      </c>
      <c r="D5" s="128">
        <f>Financials_Consolidated!E16</f>
        <v>0</v>
      </c>
    </row>
    <row r="6" spans="1:4" x14ac:dyDescent="0.2">
      <c r="A6" s="166">
        <f t="shared" si="0"/>
        <v>0</v>
      </c>
      <c r="B6" s="128" t="str">
        <f>Financials_Consolidated!A17</f>
        <v>Cost of Goods sold</v>
      </c>
      <c r="C6" s="128">
        <f>Financials_Consolidated!D17</f>
        <v>36394424.450000003</v>
      </c>
      <c r="D6" s="128">
        <f>Financials_Consolidated!E17</f>
        <v>0</v>
      </c>
    </row>
    <row r="7" spans="1:4" x14ac:dyDescent="0.2">
      <c r="A7" s="166">
        <f t="shared" si="0"/>
        <v>0</v>
      </c>
      <c r="B7" s="128" t="str">
        <f>Financials_Consolidated!A20</f>
        <v>Gross Profit</v>
      </c>
      <c r="C7" s="128">
        <f>Financials_Consolidated!D20</f>
        <v>14500268.899999999</v>
      </c>
      <c r="D7" s="128">
        <f>Financials_Consolidated!E20</f>
        <v>0</v>
      </c>
    </row>
    <row r="8" spans="1:4" x14ac:dyDescent="0.2">
      <c r="A8" s="166">
        <f t="shared" si="0"/>
        <v>0</v>
      </c>
      <c r="B8" s="128" t="str">
        <f>Financials_Consolidated!A21</f>
        <v>Gross Profit Margins (%)</v>
      </c>
      <c r="C8" s="128">
        <f>Financials_Consolidated!D21</f>
        <v>0.18601974071821126</v>
      </c>
      <c r="D8" s="128" t="e">
        <f>Financials_Consolidated!E21</f>
        <v>#DIV/0!</v>
      </c>
    </row>
    <row r="9" spans="1:4" x14ac:dyDescent="0.2">
      <c r="A9" s="166">
        <f t="shared" si="0"/>
        <v>0</v>
      </c>
      <c r="B9" s="128" t="str">
        <f>Financials_Consolidated!A22</f>
        <v>Interest to Partners / Directors</v>
      </c>
      <c r="C9" s="128">
        <f>Financials_Consolidated!D22</f>
        <v>0</v>
      </c>
      <c r="D9" s="128">
        <f>Financials_Consolidated!E22</f>
        <v>0</v>
      </c>
    </row>
    <row r="10" spans="1:4" x14ac:dyDescent="0.2">
      <c r="A10" s="166">
        <f t="shared" si="0"/>
        <v>0</v>
      </c>
      <c r="B10" s="128" t="str">
        <f>Financials_Consolidated!A23</f>
        <v>Remuneration to Partners / Directors</v>
      </c>
      <c r="C10" s="128">
        <f>Financials_Consolidated!D23</f>
        <v>0</v>
      </c>
      <c r="D10" s="128">
        <f>Financials_Consolidated!E23</f>
        <v>0</v>
      </c>
    </row>
    <row r="11" spans="1:4" x14ac:dyDescent="0.2">
      <c r="A11" s="166">
        <f t="shared" si="0"/>
        <v>0</v>
      </c>
      <c r="B11" s="128" t="str">
        <f>Financials_Consolidated!A24</f>
        <v>Other Operating / Admn exp excl Interest, Depreciation</v>
      </c>
      <c r="C11" s="128">
        <f>Financials_Consolidated!D24</f>
        <v>14588842.049999999</v>
      </c>
      <c r="D11" s="128">
        <f>Financials_Consolidated!E24</f>
        <v>0</v>
      </c>
    </row>
    <row r="12" spans="1:4" x14ac:dyDescent="0.2">
      <c r="A12" s="166">
        <f t="shared" si="0"/>
        <v>0</v>
      </c>
      <c r="B12" s="128" t="str">
        <f>Financials_Consolidated!A25</f>
        <v>EBIDTA</v>
      </c>
      <c r="C12" s="128">
        <f>Financials_Consolidated!D25</f>
        <v>5334427.26</v>
      </c>
      <c r="D12" s="128">
        <f>Financials_Consolidated!E25</f>
        <v>0</v>
      </c>
    </row>
    <row r="13" spans="1:4" x14ac:dyDescent="0.2">
      <c r="A13" s="166">
        <f t="shared" si="0"/>
        <v>0</v>
      </c>
      <c r="B13" s="128" t="str">
        <f>Financials_Consolidated!A26</f>
        <v>EBIDTA Margin</v>
      </c>
      <c r="C13" s="128">
        <f>Financials_Consolidated!D26</f>
        <v>6.8433818891824705E-2</v>
      </c>
      <c r="D13" s="128" t="e">
        <f>Financials_Consolidated!E26</f>
        <v>#DIV/0!</v>
      </c>
    </row>
    <row r="14" spans="1:4" x14ac:dyDescent="0.2">
      <c r="A14" s="166">
        <f t="shared" si="0"/>
        <v>0</v>
      </c>
      <c r="B14" s="128" t="str">
        <f>Financials_Consolidated!A27</f>
        <v>Depreciation</v>
      </c>
      <c r="C14" s="128">
        <f>Financials_Consolidated!D27</f>
        <v>2287718</v>
      </c>
      <c r="D14" s="128">
        <f>Financials_Consolidated!E27</f>
        <v>0</v>
      </c>
    </row>
    <row r="15" spans="1:4" x14ac:dyDescent="0.2">
      <c r="A15" s="166">
        <f t="shared" si="0"/>
        <v>0</v>
      </c>
      <c r="B15" s="128" t="str">
        <f>Financials_Consolidated!A28</f>
        <v>Amortisation</v>
      </c>
      <c r="C15" s="128">
        <f>Financials_Consolidated!D28</f>
        <v>0</v>
      </c>
      <c r="D15" s="128">
        <f>Financials_Consolidated!E28</f>
        <v>0</v>
      </c>
    </row>
    <row r="16" spans="1:4" x14ac:dyDescent="0.2">
      <c r="A16" s="166">
        <f t="shared" si="0"/>
        <v>0</v>
      </c>
      <c r="B16" s="128" t="str">
        <f>Financials_Consolidated!A29</f>
        <v>EBIT</v>
      </c>
      <c r="C16" s="128">
        <f>Financials_Consolidated!D29</f>
        <v>3046709.26</v>
      </c>
      <c r="D16" s="128">
        <f>Financials_Consolidated!E29</f>
        <v>0</v>
      </c>
    </row>
    <row r="17" spans="1:4" x14ac:dyDescent="0.2">
      <c r="A17" s="166">
        <f t="shared" si="0"/>
        <v>0</v>
      </c>
      <c r="B17" s="128" t="str">
        <f>Financials_Consolidated!A30</f>
        <v>EBIDT Margin</v>
      </c>
      <c r="C17" s="128">
        <f>Financials_Consolidated!D30</f>
        <v>3.908534872680694E-2</v>
      </c>
      <c r="D17" s="128" t="e">
        <f>Financials_Consolidated!E30</f>
        <v>#DIV/0!</v>
      </c>
    </row>
    <row r="18" spans="1:4" x14ac:dyDescent="0.2">
      <c r="A18" s="166">
        <f t="shared" si="0"/>
        <v>0</v>
      </c>
      <c r="B18" s="128" t="str">
        <f>Financials_Consolidated!A31</f>
        <v>Interest on Loans</v>
      </c>
      <c r="C18" s="128">
        <f>Financials_Consolidated!D31</f>
        <v>5247141.5999999996</v>
      </c>
      <c r="D18" s="128">
        <f>Financials_Consolidated!E31</f>
        <v>0</v>
      </c>
    </row>
    <row r="19" spans="1:4" x14ac:dyDescent="0.2">
      <c r="A19" s="166">
        <f t="shared" si="0"/>
        <v>0</v>
      </c>
      <c r="B19" s="128" t="str">
        <f>Financials_Consolidated!A32</f>
        <v>Profit before Taxation (PBT)</v>
      </c>
      <c r="C19" s="128">
        <f>Financials_Consolidated!D32</f>
        <v>-2200432.34</v>
      </c>
      <c r="D19" s="128">
        <f>Financials_Consolidated!E32</f>
        <v>0</v>
      </c>
    </row>
    <row r="20" spans="1:4" x14ac:dyDescent="0.2">
      <c r="A20" s="166">
        <f t="shared" si="0"/>
        <v>0</v>
      </c>
      <c r="B20" s="128" t="str">
        <f>Financials_Consolidated!A33</f>
        <v>PBT Margins</v>
      </c>
      <c r="C20" s="128">
        <f>Financials_Consolidated!D33</f>
        <v>-2.822870776932743E-2</v>
      </c>
      <c r="D20" s="128" t="e">
        <f>Financials_Consolidated!E33</f>
        <v>#DIV/0!</v>
      </c>
    </row>
    <row r="21" spans="1:4" x14ac:dyDescent="0.2">
      <c r="A21" s="166">
        <f t="shared" si="0"/>
        <v>0</v>
      </c>
      <c r="B21" s="128" t="str">
        <f>Financials_Consolidated!A35</f>
        <v>Tax</v>
      </c>
      <c r="C21" s="128">
        <f>Financials_Consolidated!D35</f>
        <v>453874</v>
      </c>
      <c r="D21" s="128">
        <f>Financials_Consolidated!E35</f>
        <v>0</v>
      </c>
    </row>
    <row r="22" spans="1:4" x14ac:dyDescent="0.2">
      <c r="A22" s="166">
        <f t="shared" si="0"/>
        <v>0</v>
      </c>
      <c r="B22" s="128" t="str">
        <f>Financials_Consolidated!A36</f>
        <v>Profit after Taxation (PAT)</v>
      </c>
      <c r="C22" s="128">
        <f>Financials_Consolidated!D36</f>
        <v>-2654306.34</v>
      </c>
      <c r="D22" s="128">
        <f>Financials_Consolidated!E36</f>
        <v>0</v>
      </c>
    </row>
    <row r="23" spans="1:4" x14ac:dyDescent="0.2">
      <c r="A23" s="166">
        <f t="shared" si="0"/>
        <v>0</v>
      </c>
      <c r="B23" s="128" t="str">
        <f>Financials_Consolidated!A37</f>
        <v>PAT Margin</v>
      </c>
      <c r="C23" s="128">
        <f>Financials_Consolidated!D37</f>
        <v>-3.4051325569107505E-2</v>
      </c>
      <c r="D23" s="128" t="e">
        <f>Financials_Consolidated!E37</f>
        <v>#DIV/0!</v>
      </c>
    </row>
    <row r="24" spans="1:4" x14ac:dyDescent="0.2">
      <c r="A24" s="166">
        <f t="shared" si="0"/>
        <v>0</v>
      </c>
      <c r="B24" s="128" t="str">
        <f>Financials_Consolidated!A40</f>
        <v>Fixed Assets</v>
      </c>
      <c r="C24" s="128">
        <f>Financials_Consolidated!D40</f>
        <v>19681024.66</v>
      </c>
      <c r="D24" s="128">
        <f>Financials_Consolidated!E40</f>
        <v>0</v>
      </c>
    </row>
    <row r="25" spans="1:4" x14ac:dyDescent="0.2">
      <c r="A25" s="166">
        <f t="shared" si="0"/>
        <v>0</v>
      </c>
      <c r="B25" s="128" t="str">
        <f>Financials_Consolidated!A41</f>
        <v>Investments</v>
      </c>
      <c r="C25" s="128">
        <f>Financials_Consolidated!D41</f>
        <v>0</v>
      </c>
      <c r="D25" s="128">
        <f>Financials_Consolidated!E41</f>
        <v>0</v>
      </c>
    </row>
    <row r="26" spans="1:4" x14ac:dyDescent="0.2">
      <c r="A26" s="166">
        <f t="shared" si="0"/>
        <v>0</v>
      </c>
      <c r="B26" s="128" t="str">
        <f>Financials_Consolidated!A42</f>
        <v>Current Assets</v>
      </c>
      <c r="C26" s="128">
        <f>Financials_Consolidated!D42</f>
        <v>0</v>
      </c>
      <c r="D26" s="128">
        <f>Financials_Consolidated!E42</f>
        <v>0</v>
      </c>
    </row>
    <row r="27" spans="1:4" x14ac:dyDescent="0.2">
      <c r="A27" s="166">
        <f t="shared" si="0"/>
        <v>0</v>
      </c>
      <c r="B27" s="128" t="str">
        <f>Financials_Consolidated!A43</f>
        <v>Closing Stock</v>
      </c>
      <c r="C27" s="128">
        <f>Financials_Consolidated!D43</f>
        <v>38665987</v>
      </c>
      <c r="D27" s="128">
        <f>Financials_Consolidated!E43</f>
        <v>0</v>
      </c>
    </row>
    <row r="28" spans="1:4" x14ac:dyDescent="0.2">
      <c r="A28" s="166">
        <f t="shared" si="0"/>
        <v>0</v>
      </c>
      <c r="B28" s="128" t="str">
        <f>Financials_Consolidated!A44</f>
        <v>Debtors (more than 180 days)</v>
      </c>
      <c r="C28" s="128">
        <f>Financials_Consolidated!D44</f>
        <v>0</v>
      </c>
      <c r="D28" s="128">
        <f>Financials_Consolidated!E44</f>
        <v>0</v>
      </c>
    </row>
    <row r="29" spans="1:4" x14ac:dyDescent="0.2">
      <c r="A29" s="166">
        <f t="shared" si="0"/>
        <v>0</v>
      </c>
      <c r="B29" s="128" t="str">
        <f>Financials_Consolidated!A45</f>
        <v>Debtors Others (net of advances received)</v>
      </c>
      <c r="C29" s="128">
        <f>Financials_Consolidated!D45</f>
        <v>9283609.5099999998</v>
      </c>
      <c r="D29" s="128">
        <f>Financials_Consolidated!E45</f>
        <v>0</v>
      </c>
    </row>
    <row r="30" spans="1:4" x14ac:dyDescent="0.2">
      <c r="A30" s="166">
        <f t="shared" si="0"/>
        <v>0</v>
      </c>
      <c r="B30" s="128" t="str">
        <f>Financials_Consolidated!A46</f>
        <v>Cash and Bank Balance</v>
      </c>
      <c r="C30" s="128">
        <f>Financials_Consolidated!D46</f>
        <v>3884944.43</v>
      </c>
      <c r="D30" s="128">
        <f>Financials_Consolidated!E46</f>
        <v>0</v>
      </c>
    </row>
    <row r="31" spans="1:4" x14ac:dyDescent="0.2">
      <c r="A31" s="166">
        <f t="shared" si="0"/>
        <v>0</v>
      </c>
      <c r="B31" s="128" t="str">
        <f>Financials_Consolidated!A47</f>
        <v>Other Current Assets</v>
      </c>
      <c r="C31" s="128">
        <f>Financials_Consolidated!D47</f>
        <v>19626290.010000002</v>
      </c>
      <c r="D31" s="128">
        <f>Financials_Consolidated!E47</f>
        <v>0</v>
      </c>
    </row>
    <row r="32" spans="1:4" x14ac:dyDescent="0.2">
      <c r="A32" s="166">
        <f t="shared" si="0"/>
        <v>0</v>
      </c>
      <c r="B32" s="128" t="str">
        <f>Financials_Consolidated!A48</f>
        <v>Total Current Assets</v>
      </c>
      <c r="C32" s="128">
        <f>Financials_Consolidated!D48</f>
        <v>71460830.950000003</v>
      </c>
      <c r="D32" s="128">
        <f>Financials_Consolidated!E48</f>
        <v>0</v>
      </c>
    </row>
    <row r="33" spans="1:4" x14ac:dyDescent="0.2">
      <c r="A33" s="166">
        <f t="shared" si="0"/>
        <v>0</v>
      </c>
      <c r="B33" s="128" t="str">
        <f>Financials_Consolidated!A49</f>
        <v>Loans &amp; Advances</v>
      </c>
      <c r="C33" s="128">
        <f>Financials_Consolidated!D49</f>
        <v>5517831.4399999995</v>
      </c>
      <c r="D33" s="128">
        <f>Financials_Consolidated!E49</f>
        <v>0</v>
      </c>
    </row>
    <row r="34" spans="1:4" x14ac:dyDescent="0.2">
      <c r="A34" s="166">
        <f t="shared" si="0"/>
        <v>0</v>
      </c>
      <c r="B34" s="128" t="str">
        <f>Financials_Consolidated!A50</f>
        <v>Miscellaneous Assets</v>
      </c>
      <c r="C34" s="128">
        <f>Financials_Consolidated!D50</f>
        <v>0</v>
      </c>
      <c r="D34" s="128">
        <f>Financials_Consolidated!E50</f>
        <v>0</v>
      </c>
    </row>
    <row r="35" spans="1:4" x14ac:dyDescent="0.2">
      <c r="A35" s="166">
        <f t="shared" si="0"/>
        <v>0</v>
      </c>
      <c r="B35" s="128" t="str">
        <f>Financials_Consolidated!A51</f>
        <v>Total Assets</v>
      </c>
      <c r="C35" s="128">
        <f>Financials_Consolidated!D51</f>
        <v>96659687.049999997</v>
      </c>
      <c r="D35" s="128">
        <f>Financials_Consolidated!E51</f>
        <v>0</v>
      </c>
    </row>
    <row r="36" spans="1:4" x14ac:dyDescent="0.2">
      <c r="A36" s="166">
        <f t="shared" si="0"/>
        <v>0</v>
      </c>
      <c r="B36" s="128" t="str">
        <f>Financials_Consolidated!A54</f>
        <v>Paid up Capital</v>
      </c>
      <c r="C36" s="128">
        <f>Financials_Consolidated!D54</f>
        <v>14223023.390000001</v>
      </c>
      <c r="D36" s="128">
        <f>Financials_Consolidated!E54</f>
        <v>0</v>
      </c>
    </row>
    <row r="37" spans="1:4" x14ac:dyDescent="0.2">
      <c r="A37" s="166">
        <f t="shared" si="0"/>
        <v>0</v>
      </c>
      <c r="B37" s="128" t="str">
        <f>Financials_Consolidated!A55</f>
        <v>Reserves &amp; Surplus</v>
      </c>
      <c r="C37" s="128">
        <f>Financials_Consolidated!D55</f>
        <v>0</v>
      </c>
      <c r="D37" s="128">
        <f>Financials_Consolidated!E55</f>
        <v>0</v>
      </c>
    </row>
    <row r="38" spans="1:4" x14ac:dyDescent="0.2">
      <c r="A38" s="166">
        <f t="shared" si="0"/>
        <v>0</v>
      </c>
      <c r="B38" s="128" t="str">
        <f>Financials_Consolidated!A56</f>
        <v>Unsecured loans from partners / directors</v>
      </c>
      <c r="C38" s="128">
        <f>Financials_Consolidated!D56</f>
        <v>0</v>
      </c>
      <c r="D38" s="128">
        <f>Financials_Consolidated!E56</f>
        <v>0</v>
      </c>
    </row>
    <row r="39" spans="1:4" x14ac:dyDescent="0.2">
      <c r="A39" s="166">
        <f t="shared" si="0"/>
        <v>0</v>
      </c>
      <c r="B39" s="128" t="str">
        <f>Financials_Consolidated!A57</f>
        <v>Loans given (related parties)</v>
      </c>
      <c r="C39" s="128">
        <f>Financials_Consolidated!D57</f>
        <v>0</v>
      </c>
      <c r="D39" s="128">
        <f>Financials_Consolidated!E57</f>
        <v>0</v>
      </c>
    </row>
    <row r="40" spans="1:4" x14ac:dyDescent="0.2">
      <c r="A40" s="166">
        <f t="shared" si="0"/>
        <v>0</v>
      </c>
      <c r="B40" s="128" t="str">
        <f>Financials_Consolidated!A58</f>
        <v>Networth</v>
      </c>
      <c r="C40" s="128">
        <f>Financials_Consolidated!D58</f>
        <v>14223023.390000001</v>
      </c>
      <c r="D40" s="128">
        <f>Financials_Consolidated!E58</f>
        <v>0</v>
      </c>
    </row>
    <row r="41" spans="1:4" x14ac:dyDescent="0.2">
      <c r="A41" s="166">
        <f t="shared" si="0"/>
        <v>0</v>
      </c>
      <c r="B41" s="128" t="str">
        <f>Financials_Consolidated!A59</f>
        <v>Secured Loans (Other than Bank Overdraft)</v>
      </c>
      <c r="C41" s="128">
        <f>Financials_Consolidated!D59</f>
        <v>45224866.760000005</v>
      </c>
      <c r="D41" s="128">
        <f>Financials_Consolidated!E59</f>
        <v>0</v>
      </c>
    </row>
    <row r="42" spans="1:4" x14ac:dyDescent="0.2">
      <c r="A42" s="166">
        <f t="shared" si="0"/>
        <v>0</v>
      </c>
      <c r="B42" s="128" t="str">
        <f>Financials_Consolidated!A60</f>
        <v>Unsecured Loans</v>
      </c>
      <c r="C42" s="128">
        <f>Financials_Consolidated!D60</f>
        <v>14730757</v>
      </c>
      <c r="D42" s="128">
        <f>Financials_Consolidated!E60</f>
        <v>0</v>
      </c>
    </row>
    <row r="43" spans="1:4" x14ac:dyDescent="0.2">
      <c r="A43" s="166">
        <f t="shared" si="0"/>
        <v>0</v>
      </c>
      <c r="B43" s="128" t="str">
        <f>Financials_Consolidated!A61</f>
        <v>Other long term Debt</v>
      </c>
      <c r="C43" s="128">
        <f>Financials_Consolidated!D61</f>
        <v>0</v>
      </c>
      <c r="D43" s="128">
        <f>Financials_Consolidated!E61</f>
        <v>0</v>
      </c>
    </row>
    <row r="44" spans="1:4" x14ac:dyDescent="0.2">
      <c r="A44" s="166">
        <f t="shared" si="0"/>
        <v>0</v>
      </c>
      <c r="B44" s="128" t="str">
        <f>Financials_Consolidated!A62</f>
        <v>Total Long term Debt</v>
      </c>
      <c r="C44" s="128">
        <f>Financials_Consolidated!D62</f>
        <v>59955623.760000005</v>
      </c>
      <c r="D44" s="128">
        <f>Financials_Consolidated!E62</f>
        <v>0</v>
      </c>
    </row>
    <row r="45" spans="1:4" x14ac:dyDescent="0.2">
      <c r="A45" s="166">
        <f t="shared" si="0"/>
        <v>0</v>
      </c>
      <c r="B45" s="128" t="str">
        <f>Financials_Consolidated!A63</f>
        <v>Current Liabilities</v>
      </c>
      <c r="C45" s="128">
        <f>Financials_Consolidated!D63</f>
        <v>0</v>
      </c>
      <c r="D45" s="128">
        <f>Financials_Consolidated!E63</f>
        <v>0</v>
      </c>
    </row>
    <row r="46" spans="1:4" x14ac:dyDescent="0.2">
      <c r="A46" s="166">
        <f t="shared" si="0"/>
        <v>0</v>
      </c>
      <c r="B46" s="128" t="str">
        <f>Financials_Consolidated!A64</f>
        <v>Sundry Creditors  (net of advances paid)</v>
      </c>
      <c r="C46" s="128">
        <f>Financials_Consolidated!D64</f>
        <v>10782112.880000001</v>
      </c>
      <c r="D46" s="128">
        <f>Financials_Consolidated!E64</f>
        <v>0</v>
      </c>
    </row>
    <row r="47" spans="1:4" x14ac:dyDescent="0.2">
      <c r="A47" s="166">
        <f t="shared" si="0"/>
        <v>0</v>
      </c>
      <c r="B47" s="128" t="str">
        <f>Financials_Consolidated!A65</f>
        <v>Bank Overdraft</v>
      </c>
      <c r="C47" s="128">
        <f>Financials_Consolidated!D65</f>
        <v>9194641.8300000001</v>
      </c>
      <c r="D47" s="128">
        <f>Financials_Consolidated!E65</f>
        <v>0</v>
      </c>
    </row>
    <row r="48" spans="1:4" x14ac:dyDescent="0.2">
      <c r="A48" s="166">
        <f t="shared" si="0"/>
        <v>0</v>
      </c>
      <c r="B48" s="128" t="str">
        <f>Financials_Consolidated!A66</f>
        <v>Other Current Liabilities</v>
      </c>
      <c r="C48" s="128">
        <f>Financials_Consolidated!D66</f>
        <v>2504285.19</v>
      </c>
      <c r="D48" s="128">
        <f>Financials_Consolidated!E66</f>
        <v>0</v>
      </c>
    </row>
    <row r="49" spans="1:4" x14ac:dyDescent="0.2">
      <c r="A49" s="166">
        <f t="shared" si="0"/>
        <v>0</v>
      </c>
      <c r="B49" s="128" t="str">
        <f>Financials_Consolidated!A67</f>
        <v>Total Current Liabilities</v>
      </c>
      <c r="C49" s="128">
        <f>Financials_Consolidated!D67</f>
        <v>22481039.900000002</v>
      </c>
      <c r="D49" s="128">
        <f>Financials_Consolidated!E67</f>
        <v>0</v>
      </c>
    </row>
    <row r="50" spans="1:4" x14ac:dyDescent="0.2">
      <c r="A50" s="166">
        <f t="shared" si="0"/>
        <v>0</v>
      </c>
      <c r="B50" s="128" t="str">
        <f>Financials_Consolidated!A68</f>
        <v>Miscellaneous Liabilities</v>
      </c>
      <c r="C50" s="128">
        <f>Financials_Consolidated!D68</f>
        <v>0</v>
      </c>
      <c r="D50" s="128">
        <f>Financials_Consolidated!E68</f>
        <v>0</v>
      </c>
    </row>
    <row r="51" spans="1:4" x14ac:dyDescent="0.2">
      <c r="A51" s="166">
        <f t="shared" si="0"/>
        <v>0</v>
      </c>
      <c r="B51" s="128" t="str">
        <f>Financials_Consolidated!A69</f>
        <v>Total Liabilities</v>
      </c>
      <c r="C51" s="128">
        <f>Financials_Consolidated!D69</f>
        <v>96659687.050000012</v>
      </c>
      <c r="D51" s="128">
        <f>Financials_Consolidated!E69</f>
        <v>0</v>
      </c>
    </row>
    <row r="52" spans="1:4" x14ac:dyDescent="0.2">
      <c r="A52" s="166">
        <f t="shared" si="0"/>
        <v>0</v>
      </c>
      <c r="B52" s="128" t="str">
        <f>Financials_Consolidated!A70</f>
        <v>Contingent Liabilities</v>
      </c>
      <c r="C52" s="128">
        <f>Financials_Consolidated!D70</f>
        <v>0</v>
      </c>
      <c r="D52" s="128">
        <f>Financials_Consolidated!E70</f>
        <v>0</v>
      </c>
    </row>
    <row r="53" spans="1:4" x14ac:dyDescent="0.2">
      <c r="A53" s="166">
        <f t="shared" si="0"/>
        <v>0</v>
      </c>
      <c r="B53" s="128" t="e">
        <f>Financials_Consolidated!#REF!</f>
        <v>#REF!</v>
      </c>
      <c r="C53" s="128" t="e">
        <f>Financials_Consolidated!#REF!</f>
        <v>#REF!</v>
      </c>
      <c r="D53" s="128" t="e">
        <f>Financials_Consolidated!#REF!</f>
        <v>#REF!</v>
      </c>
    </row>
    <row r="54" spans="1:4" x14ac:dyDescent="0.2">
      <c r="A54" s="166">
        <f t="shared" si="0"/>
        <v>0</v>
      </c>
      <c r="B54" s="128" t="str">
        <f>Financials_Consolidated!A73</f>
        <v>Current Ratio</v>
      </c>
      <c r="C54" s="128">
        <f>Financials_Consolidated!D73</f>
        <v>3.1787155428695271</v>
      </c>
      <c r="D54" s="128" t="e">
        <f>Financials_Consolidated!E73</f>
        <v>#DIV/0!</v>
      </c>
    </row>
    <row r="55" spans="1:4" x14ac:dyDescent="0.2">
      <c r="A55" s="166">
        <f t="shared" si="0"/>
        <v>0</v>
      </c>
      <c r="B55" s="128" t="str">
        <f>Financials_Consolidated!A74</f>
        <v>Gearing</v>
      </c>
      <c r="C55" s="128">
        <f>Financials_Consolidated!D74</f>
        <v>4.2153923336830008</v>
      </c>
      <c r="D55" s="128" t="e">
        <f>Financials_Consolidated!E74</f>
        <v>#DIV/0!</v>
      </c>
    </row>
    <row r="56" spans="1:4" x14ac:dyDescent="0.2">
      <c r="A56" s="166">
        <f t="shared" si="0"/>
        <v>0</v>
      </c>
      <c r="B56" s="128" t="str">
        <f>Financials_Consolidated!A75</f>
        <v>Leveraging</v>
      </c>
      <c r="C56" s="128">
        <f>Financials_Consolidated!D75</f>
        <v>5.7960014126082378</v>
      </c>
      <c r="D56" s="128" t="e">
        <f>Financials_Consolidated!E75</f>
        <v>#DIV/0!</v>
      </c>
    </row>
    <row r="57" spans="1:4" x14ac:dyDescent="0.2">
      <c r="A57" s="166">
        <f t="shared" si="0"/>
        <v>0</v>
      </c>
      <c r="B57" s="128" t="str">
        <f>Financials_Consolidated!A76</f>
        <v>Gearing (excluding Debtors &gt; 180 days adjustment)</v>
      </c>
      <c r="C57" s="128">
        <f>Financials_Consolidated!D76</f>
        <v>4.2153923336830008</v>
      </c>
      <c r="D57" s="128" t="e">
        <f>Financials_Consolidated!E76</f>
        <v>#DIV/0!</v>
      </c>
    </row>
    <row r="58" spans="1:4" x14ac:dyDescent="0.2">
      <c r="A58" s="166">
        <f t="shared" si="0"/>
        <v>0</v>
      </c>
      <c r="B58" s="128" t="str">
        <f>Financials_Consolidated!A79</f>
        <v>NFD/ Equity</v>
      </c>
      <c r="C58" s="128">
        <f>Financials_Consolidated!D79</f>
        <v>4.5887094023825545</v>
      </c>
      <c r="D58" s="128" t="e">
        <f>Financials_Consolidated!E79</f>
        <v>#DIV/0!</v>
      </c>
    </row>
    <row r="59" spans="1:4" x14ac:dyDescent="0.2">
      <c r="A59" s="166">
        <f t="shared" si="0"/>
        <v>0</v>
      </c>
      <c r="B59" s="128" t="str">
        <f>Financials_Consolidated!A80</f>
        <v>NFD/ EBITDA</v>
      </c>
      <c r="C59" s="128">
        <f>Financials_Consolidated!D80</f>
        <v>12.234738235047187</v>
      </c>
      <c r="D59" s="128" t="e">
        <f>Financials_Consolidated!E80</f>
        <v>#DIV/0!</v>
      </c>
    </row>
    <row r="60" spans="1:4" x14ac:dyDescent="0.2">
      <c r="A60" s="166">
        <f t="shared" si="0"/>
        <v>0</v>
      </c>
      <c r="B60" s="128" t="str">
        <f>Financials_Consolidated!A81</f>
        <v>ICOR</v>
      </c>
      <c r="C60" s="128">
        <f>Financials_Consolidated!D81</f>
        <v>0.58064170785861768</v>
      </c>
      <c r="D60" s="128" t="e">
        <f>Financials_Consolidated!E81</f>
        <v>#DIV/0!</v>
      </c>
    </row>
    <row r="61" spans="1:4" x14ac:dyDescent="0.2">
      <c r="A61" s="166">
        <f t="shared" si="0"/>
        <v>0</v>
      </c>
      <c r="B61" s="128" t="str">
        <f>Financials_Consolidated!A82</f>
        <v>Solvency Ratio</v>
      </c>
      <c r="C61" s="128">
        <f>Financials_Consolidated!D82</f>
        <v>-4.4469089810809043E-3</v>
      </c>
      <c r="D61" s="128" t="e">
        <f>Financials_Consolidated!E82</f>
        <v>#DIV/0!</v>
      </c>
    </row>
    <row r="62" spans="1:4" x14ac:dyDescent="0.2">
      <c r="A62" s="166">
        <f t="shared" si="0"/>
        <v>0</v>
      </c>
      <c r="B62" s="128" t="str">
        <f>Financials_Consolidated!A83</f>
        <v>Networth / Total Assets</v>
      </c>
      <c r="C62" s="128">
        <f>Financials_Consolidated!D83</f>
        <v>0.14714534904962742</v>
      </c>
      <c r="D62" s="128" t="e">
        <f>Financials_Consolidated!E83</f>
        <v>#DIV/0!</v>
      </c>
    </row>
    <row r="63" spans="1:4" x14ac:dyDescent="0.2">
      <c r="A63" s="166">
        <f t="shared" si="0"/>
        <v>0</v>
      </c>
      <c r="B63" s="128" t="str">
        <f>Financials_Consolidated!A84</f>
        <v>Stock Turn period (days)</v>
      </c>
      <c r="C63" s="128">
        <f>Financials_Consolidated!D84</f>
        <v>222.42882681729446</v>
      </c>
      <c r="D63" s="128" t="e">
        <f>Financials_Consolidated!E84</f>
        <v>#DIV/0!</v>
      </c>
    </row>
    <row r="64" spans="1:4" x14ac:dyDescent="0.2">
      <c r="A64" s="166">
        <f t="shared" si="0"/>
        <v>0</v>
      </c>
      <c r="B64" s="128" t="str">
        <f>Financials_Consolidated!A90</f>
        <v>Existing limits with other Banks</v>
      </c>
      <c r="C64" s="128">
        <f>Financials_Consolidated!D90</f>
        <v>0</v>
      </c>
      <c r="D64" s="128">
        <f>Financials_Consolidated!E90</f>
        <v>0</v>
      </c>
    </row>
    <row r="65" spans="1:3" x14ac:dyDescent="0.2">
      <c r="A65" s="166">
        <f t="shared" si="0"/>
        <v>0</v>
      </c>
      <c r="B65" s="128" t="str">
        <f>'Borrower Details'!I12</f>
        <v>LOS Id</v>
      </c>
      <c r="C65" s="128">
        <f>'Borrower Details'!J12</f>
        <v>1227516</v>
      </c>
    </row>
    <row r="66" spans="1:3" x14ac:dyDescent="0.2">
      <c r="A66" s="166">
        <f t="shared" si="0"/>
        <v>0</v>
      </c>
      <c r="B66" s="128" t="str">
        <f>'Borrower Details'!A12</f>
        <v>Constitution of entity</v>
      </c>
      <c r="C66" s="128" t="str">
        <f>'Borrower Details'!B12</f>
        <v>Partnership</v>
      </c>
    </row>
    <row r="67" spans="1:3" x14ac:dyDescent="0.2">
      <c r="A67" s="166">
        <f t="shared" si="0"/>
        <v>0</v>
      </c>
      <c r="B67" s="128" t="e">
        <f>'Borrower Details'!#REF!</f>
        <v>#REF!</v>
      </c>
      <c r="C67" s="128" t="e">
        <f>'Borrower Details'!#REF!</f>
        <v>#REF!</v>
      </c>
    </row>
    <row r="68" spans="1:3" x14ac:dyDescent="0.2">
      <c r="A68" s="166">
        <f t="shared" ref="A68:A85" si="1">A67</f>
        <v>0</v>
      </c>
      <c r="B68" s="128" t="str">
        <f>'Borrower Details'!A16</f>
        <v>Business / Industry type</v>
      </c>
      <c r="C68" s="128" t="str">
        <f>'Borrower Details'!B16</f>
        <v>Jute</v>
      </c>
    </row>
    <row r="69" spans="1:3" x14ac:dyDescent="0.2">
      <c r="A69" s="166">
        <f t="shared" si="1"/>
        <v>0</v>
      </c>
      <c r="B69" s="128" t="str">
        <f>'Borrower Details'!D16</f>
        <v>Business category</v>
      </c>
      <c r="C69" s="128">
        <f>'Borrower Details'!E16</f>
        <v>0</v>
      </c>
    </row>
    <row r="70" spans="1:3" x14ac:dyDescent="0.2">
      <c r="A70" s="166">
        <f t="shared" si="1"/>
        <v>0</v>
      </c>
      <c r="B70" s="128" t="str">
        <f>'Facility &amp; Collateral Details'!E73</f>
        <v>(b) MLV</v>
      </c>
      <c r="C70" s="129">
        <f>'Facility &amp; Collateral Details'!F73</f>
        <v>0</v>
      </c>
    </row>
    <row r="71" spans="1:3" s="166" customFormat="1" x14ac:dyDescent="0.2">
      <c r="A71" s="166">
        <f t="shared" si="1"/>
        <v>0</v>
      </c>
      <c r="B71" s="166" t="s">
        <v>48</v>
      </c>
      <c r="C71" s="173" t="str">
        <f>'Borrower Details'!F12</f>
        <v>NA</v>
      </c>
    </row>
    <row r="72" spans="1:3" x14ac:dyDescent="0.2">
      <c r="A72" s="166">
        <f t="shared" si="1"/>
        <v>0</v>
      </c>
      <c r="B72" s="128" t="str">
        <f>'Facility &amp; Collateral Details'!C78</f>
        <v>Area of property_P5</v>
      </c>
      <c r="C72" s="128">
        <f>'Facility &amp; Collateral Details'!D78</f>
        <v>0</v>
      </c>
    </row>
    <row r="73" spans="1:3" x14ac:dyDescent="0.2">
      <c r="A73" s="166">
        <f t="shared" si="1"/>
        <v>0</v>
      </c>
      <c r="B73" s="128" t="str">
        <f>'Facility &amp; Collateral Details'!E77</f>
        <v>Market Value_P5</v>
      </c>
      <c r="C73" s="128">
        <f>'Facility &amp; Collateral Details'!F77</f>
        <v>0</v>
      </c>
    </row>
    <row r="74" spans="1:3" x14ac:dyDescent="0.2">
      <c r="A74" s="166">
        <f t="shared" si="1"/>
        <v>0</v>
      </c>
      <c r="B74" s="128" t="str">
        <f>'Facility &amp; Collateral Details'!A78</f>
        <v>Date of Valuation_P5</v>
      </c>
      <c r="C74" s="128">
        <f>'Facility &amp; Collateral Details'!B78</f>
        <v>0</v>
      </c>
    </row>
    <row r="75" spans="1:3" x14ac:dyDescent="0.2">
      <c r="A75" s="166">
        <f t="shared" si="1"/>
        <v>0</v>
      </c>
      <c r="B75" s="128" t="str">
        <f>'Facility &amp; Collateral Details'!E78</f>
        <v>MLV_P5</v>
      </c>
      <c r="C75" s="128">
        <f>'Facility &amp; Collateral Details'!F78</f>
        <v>0</v>
      </c>
    </row>
    <row r="76" spans="1:3" x14ac:dyDescent="0.2">
      <c r="A76" s="166">
        <f t="shared" si="1"/>
        <v>0</v>
      </c>
      <c r="B76" s="128" t="str">
        <f>'Facility &amp; Collateral Details'!A87</f>
        <v>Borrower Name (Loan 2)</v>
      </c>
      <c r="C76" s="128">
        <f>'Facility &amp; Collateral Details'!B87</f>
        <v>0</v>
      </c>
    </row>
    <row r="77" spans="1:3" x14ac:dyDescent="0.2">
      <c r="A77" s="166">
        <f t="shared" si="1"/>
        <v>0</v>
      </c>
      <c r="B77" s="128" t="str">
        <f>'Facility &amp; Collateral Details'!A88</f>
        <v>Loan Amount</v>
      </c>
      <c r="C77" s="128">
        <f>'Facility &amp; Collateral Details'!B88</f>
        <v>0</v>
      </c>
    </row>
    <row r="78" spans="1:3" x14ac:dyDescent="0.2">
      <c r="A78" s="166">
        <f t="shared" si="1"/>
        <v>0</v>
      </c>
      <c r="B78" s="128" t="str">
        <f>'Facility &amp; Collateral Details'!A89</f>
        <v>Borrower Name (Loan 3)</v>
      </c>
      <c r="C78" s="128">
        <f>'Facility &amp; Collateral Details'!B89</f>
        <v>0</v>
      </c>
    </row>
    <row r="79" spans="1:3" x14ac:dyDescent="0.2">
      <c r="A79" s="166">
        <f t="shared" si="1"/>
        <v>0</v>
      </c>
      <c r="B79" s="128" t="str">
        <f>'Industry Margins'!B17</f>
        <v>CMIE %</v>
      </c>
      <c r="C79" s="128">
        <f>'Industry Margins'!C17</f>
        <v>0</v>
      </c>
    </row>
    <row r="80" spans="1:3" x14ac:dyDescent="0.2">
      <c r="A80" s="166">
        <f t="shared" si="1"/>
        <v>0</v>
      </c>
      <c r="B80" s="130" t="str">
        <f>Banking!B29</f>
        <v>BTO Annualised</v>
      </c>
      <c r="C80" s="129">
        <f>Banking!H29</f>
        <v>2.6744137001018404</v>
      </c>
    </row>
    <row r="81" spans="1:3" x14ac:dyDescent="0.2">
      <c r="A81" s="166">
        <f t="shared" si="1"/>
        <v>0</v>
      </c>
      <c r="B81" s="128" t="str">
        <f>Banking!D18</f>
        <v># of IW Bounces</v>
      </c>
      <c r="C81" s="128">
        <f>Banking!D26</f>
        <v>0</v>
      </c>
    </row>
    <row r="82" spans="1:3" x14ac:dyDescent="0.2">
      <c r="A82" s="166">
        <f t="shared" si="1"/>
        <v>0</v>
      </c>
      <c r="B82" s="128" t="str">
        <f>Banking!E18</f>
        <v># of Debits</v>
      </c>
      <c r="C82" s="128">
        <f>Banking!E26</f>
        <v>1270</v>
      </c>
    </row>
    <row r="83" spans="1:3" x14ac:dyDescent="0.2">
      <c r="A83" s="166">
        <f t="shared" si="1"/>
        <v>0</v>
      </c>
      <c r="B83" s="128" t="str">
        <f>'Facility &amp; Collateral Details'!E42</f>
        <v>Specify relationship with Borrower</v>
      </c>
      <c r="C83" s="128">
        <f>'Facility &amp; Collateral Details'!F42</f>
        <v>0</v>
      </c>
    </row>
    <row r="84" spans="1:3" x14ac:dyDescent="0.2">
      <c r="A84" s="166">
        <f t="shared" si="1"/>
        <v>0</v>
      </c>
      <c r="B84" s="128" t="str">
        <f>'Facility &amp; Collateral Details'!E47</f>
        <v>Market Value_P2</v>
      </c>
      <c r="C84" s="128">
        <f>'Facility &amp; Collateral Details'!F47</f>
        <v>0</v>
      </c>
    </row>
    <row r="85" spans="1:3" x14ac:dyDescent="0.2">
      <c r="A85" s="166">
        <f t="shared" si="1"/>
        <v>0</v>
      </c>
      <c r="B85" s="128" t="str">
        <f>'Facility &amp; Collateral Details'!E53</f>
        <v>(b) MLV</v>
      </c>
      <c r="C85" s="128">
        <f>'Facility &amp; Collateral Details'!F53</f>
        <v>0</v>
      </c>
    </row>
  </sheetData>
  <sheetProtection algorithmName="SHA-512" hashValue="0yIe5QyjH8uyiibrspZ/ziE9NNAl0Y8hKVmLcWHeFsIxzp4A1x13EyfOEqg8ITlOSniTYjDC3aH59RqgSQOIKA==" saltValue="BwCh3yCnvpQp1hTe8tqX9Q==" spinCount="100000" sheet="1" objects="1" scenarios="1"/>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B76:C85"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29"/>
  <sheetViews>
    <sheetView zoomScale="80" zoomScaleNormal="80" workbookViewId="0">
      <selection activeCell="B30" sqref="B30"/>
    </sheetView>
  </sheetViews>
  <sheetFormatPr defaultColWidth="9.140625" defaultRowHeight="15" x14ac:dyDescent="0.25"/>
  <cols>
    <col min="1" max="1" width="5.140625" style="46" customWidth="1"/>
    <col min="2" max="2" width="33.140625" style="44" customWidth="1"/>
    <col min="3" max="3" width="34.28515625" style="44" bestFit="1" customWidth="1"/>
    <col min="4" max="4" width="26.28515625" style="44" customWidth="1"/>
    <col min="5" max="5" width="17.28515625" style="44" customWidth="1"/>
    <col min="6" max="6" width="9.140625" style="44"/>
    <col min="7" max="7" width="17.85546875" style="44" customWidth="1"/>
    <col min="8" max="16384" width="9.140625" style="44"/>
  </cols>
  <sheetData>
    <row r="1" spans="1:7" ht="47.25" x14ac:dyDescent="0.25">
      <c r="A1" s="42" t="s">
        <v>476</v>
      </c>
      <c r="B1" s="40" t="s">
        <v>453</v>
      </c>
      <c r="C1" s="41" t="s">
        <v>456</v>
      </c>
      <c r="D1" s="43" t="s">
        <v>454</v>
      </c>
      <c r="E1" s="43" t="s">
        <v>691</v>
      </c>
      <c r="G1" s="117" t="s">
        <v>692</v>
      </c>
    </row>
    <row r="2" spans="1:7" ht="15.75" x14ac:dyDescent="0.25">
      <c r="A2" s="93" t="s">
        <v>686</v>
      </c>
      <c r="B2" s="175" t="s">
        <v>518</v>
      </c>
      <c r="C2" s="39" t="s">
        <v>519</v>
      </c>
      <c r="D2" s="45" t="s">
        <v>455</v>
      </c>
    </row>
    <row r="3" spans="1:7" ht="15.75" x14ac:dyDescent="0.25">
      <c r="A3" s="93">
        <f>A2+1</f>
        <v>2</v>
      </c>
      <c r="B3" s="38" t="s">
        <v>607</v>
      </c>
      <c r="C3" s="39" t="s">
        <v>608</v>
      </c>
      <c r="D3" s="45" t="s">
        <v>455</v>
      </c>
    </row>
    <row r="4" spans="1:7" ht="15.75" x14ac:dyDescent="0.25">
      <c r="A4" s="93">
        <f t="shared" ref="A4:A29" si="0">A3+1</f>
        <v>3</v>
      </c>
      <c r="B4" s="38" t="s">
        <v>520</v>
      </c>
      <c r="C4" s="39" t="s">
        <v>521</v>
      </c>
      <c r="D4" s="45" t="s">
        <v>455</v>
      </c>
    </row>
    <row r="5" spans="1:7" ht="15.75" x14ac:dyDescent="0.25">
      <c r="A5" s="93">
        <f t="shared" si="0"/>
        <v>4</v>
      </c>
      <c r="B5" s="38" t="s">
        <v>457</v>
      </c>
      <c r="C5" s="39" t="s">
        <v>466</v>
      </c>
      <c r="D5" s="45" t="s">
        <v>455</v>
      </c>
    </row>
    <row r="6" spans="1:7" ht="15.75" x14ac:dyDescent="0.25">
      <c r="A6" s="93">
        <f t="shared" si="0"/>
        <v>5</v>
      </c>
      <c r="B6" s="38" t="s">
        <v>458</v>
      </c>
      <c r="C6" s="39" t="s">
        <v>458</v>
      </c>
      <c r="D6" s="45" t="s">
        <v>455</v>
      </c>
    </row>
    <row r="7" spans="1:7" ht="15.75" x14ac:dyDescent="0.25">
      <c r="A7" s="93">
        <f t="shared" si="0"/>
        <v>6</v>
      </c>
      <c r="B7" s="38" t="s">
        <v>1079</v>
      </c>
      <c r="C7" s="125" t="s">
        <v>1080</v>
      </c>
      <c r="D7" s="45" t="s">
        <v>455</v>
      </c>
    </row>
    <row r="8" spans="1:7" ht="15.75" x14ac:dyDescent="0.25">
      <c r="A8" s="93">
        <f t="shared" si="0"/>
        <v>7</v>
      </c>
      <c r="B8" s="38" t="s">
        <v>687</v>
      </c>
      <c r="C8" s="39" t="s">
        <v>467</v>
      </c>
      <c r="D8" s="45" t="s">
        <v>455</v>
      </c>
    </row>
    <row r="9" spans="1:7" ht="15.75" x14ac:dyDescent="0.25">
      <c r="A9" s="93">
        <f t="shared" si="0"/>
        <v>8</v>
      </c>
      <c r="B9" s="38" t="s">
        <v>688</v>
      </c>
      <c r="C9" s="39" t="s">
        <v>467</v>
      </c>
      <c r="D9" s="45" t="s">
        <v>455</v>
      </c>
    </row>
    <row r="10" spans="1:7" ht="15.75" x14ac:dyDescent="0.25">
      <c r="A10" s="93">
        <f t="shared" si="0"/>
        <v>9</v>
      </c>
      <c r="B10" s="38" t="s">
        <v>698</v>
      </c>
      <c r="C10" s="39" t="s">
        <v>467</v>
      </c>
      <c r="D10" s="45" t="s">
        <v>455</v>
      </c>
    </row>
    <row r="11" spans="1:7" ht="15.75" x14ac:dyDescent="0.25">
      <c r="A11" s="93">
        <f t="shared" si="0"/>
        <v>10</v>
      </c>
      <c r="B11" s="38" t="s">
        <v>689</v>
      </c>
      <c r="C11" s="39" t="s">
        <v>467</v>
      </c>
      <c r="D11" s="45" t="s">
        <v>455</v>
      </c>
    </row>
    <row r="12" spans="1:7" ht="15.75" x14ac:dyDescent="0.25">
      <c r="A12" s="93">
        <f t="shared" si="0"/>
        <v>11</v>
      </c>
      <c r="B12" s="38" t="s">
        <v>522</v>
      </c>
      <c r="C12" s="39" t="s">
        <v>523</v>
      </c>
      <c r="D12" s="45" t="s">
        <v>455</v>
      </c>
    </row>
    <row r="13" spans="1:7" ht="15.75" x14ac:dyDescent="0.25">
      <c r="A13" s="93">
        <f t="shared" si="0"/>
        <v>12</v>
      </c>
      <c r="B13" s="38" t="s">
        <v>459</v>
      </c>
      <c r="C13" s="39" t="s">
        <v>468</v>
      </c>
      <c r="D13" s="45" t="s">
        <v>455</v>
      </c>
    </row>
    <row r="14" spans="1:7" ht="15.75" x14ac:dyDescent="0.25">
      <c r="A14" s="93">
        <f t="shared" si="0"/>
        <v>13</v>
      </c>
      <c r="B14" s="38" t="s">
        <v>460</v>
      </c>
      <c r="C14" s="39" t="s">
        <v>468</v>
      </c>
      <c r="D14" s="45" t="s">
        <v>455</v>
      </c>
    </row>
    <row r="15" spans="1:7" ht="15.75" x14ac:dyDescent="0.25">
      <c r="A15" s="93">
        <f t="shared" si="0"/>
        <v>14</v>
      </c>
      <c r="B15" s="38" t="s">
        <v>28</v>
      </c>
      <c r="C15" s="39" t="s">
        <v>468</v>
      </c>
      <c r="D15" s="45" t="s">
        <v>455</v>
      </c>
    </row>
    <row r="16" spans="1:7" ht="15.75" x14ac:dyDescent="0.25">
      <c r="A16" s="93">
        <f t="shared" si="0"/>
        <v>15</v>
      </c>
      <c r="B16" s="38" t="s">
        <v>403</v>
      </c>
      <c r="C16" s="39" t="s">
        <v>468</v>
      </c>
      <c r="D16" s="45" t="s">
        <v>455</v>
      </c>
    </row>
    <row r="17" spans="1:4" ht="15.75" x14ac:dyDescent="0.25">
      <c r="A17" s="93">
        <f t="shared" si="0"/>
        <v>16</v>
      </c>
      <c r="B17" s="38" t="s">
        <v>233</v>
      </c>
      <c r="C17" s="39" t="s">
        <v>468</v>
      </c>
      <c r="D17" s="45" t="s">
        <v>455</v>
      </c>
    </row>
    <row r="18" spans="1:4" ht="15.75" x14ac:dyDescent="0.25">
      <c r="A18" s="93">
        <f t="shared" si="0"/>
        <v>17</v>
      </c>
      <c r="B18" s="38" t="s">
        <v>461</v>
      </c>
      <c r="C18" s="39" t="s">
        <v>468</v>
      </c>
      <c r="D18" s="45" t="s">
        <v>455</v>
      </c>
    </row>
    <row r="19" spans="1:4" ht="15.75" x14ac:dyDescent="0.25">
      <c r="A19" s="93">
        <f t="shared" si="0"/>
        <v>18</v>
      </c>
      <c r="B19" s="38" t="s">
        <v>462</v>
      </c>
      <c r="C19" s="39" t="s">
        <v>469</v>
      </c>
      <c r="D19" s="45" t="s">
        <v>455</v>
      </c>
    </row>
    <row r="20" spans="1:4" ht="15.75" x14ac:dyDescent="0.25">
      <c r="A20" s="93">
        <f t="shared" si="0"/>
        <v>19</v>
      </c>
      <c r="B20" s="38" t="s">
        <v>1084</v>
      </c>
      <c r="C20" s="39" t="s">
        <v>470</v>
      </c>
      <c r="D20" s="45" t="s">
        <v>455</v>
      </c>
    </row>
    <row r="21" spans="1:4" ht="15.75" x14ac:dyDescent="0.25">
      <c r="A21" s="93">
        <f t="shared" si="0"/>
        <v>20</v>
      </c>
      <c r="B21" s="38" t="s">
        <v>1089</v>
      </c>
      <c r="C21" s="39" t="s">
        <v>471</v>
      </c>
      <c r="D21" s="45" t="s">
        <v>455</v>
      </c>
    </row>
    <row r="22" spans="1:4" ht="15.75" x14ac:dyDescent="0.25">
      <c r="A22" s="93">
        <f t="shared" si="0"/>
        <v>21</v>
      </c>
      <c r="B22" s="38" t="s">
        <v>677</v>
      </c>
      <c r="C22" s="39" t="s">
        <v>471</v>
      </c>
      <c r="D22" s="45" t="s">
        <v>455</v>
      </c>
    </row>
    <row r="23" spans="1:4" ht="15.75" x14ac:dyDescent="0.25">
      <c r="A23" s="93">
        <f t="shared" si="0"/>
        <v>22</v>
      </c>
      <c r="B23" s="38" t="s">
        <v>1076</v>
      </c>
      <c r="C23" s="39" t="s">
        <v>472</v>
      </c>
      <c r="D23" s="45" t="s">
        <v>455</v>
      </c>
    </row>
    <row r="24" spans="1:4" ht="15.75" x14ac:dyDescent="0.25">
      <c r="A24" s="93">
        <f t="shared" si="0"/>
        <v>23</v>
      </c>
      <c r="B24" s="38" t="s">
        <v>1081</v>
      </c>
      <c r="C24" s="39" t="s">
        <v>473</v>
      </c>
      <c r="D24" s="45" t="s">
        <v>455</v>
      </c>
    </row>
    <row r="25" spans="1:4" ht="15.75" x14ac:dyDescent="0.25">
      <c r="A25" s="93">
        <f t="shared" si="0"/>
        <v>24</v>
      </c>
      <c r="B25" s="38" t="s">
        <v>464</v>
      </c>
      <c r="C25" s="39" t="s">
        <v>474</v>
      </c>
      <c r="D25" s="45" t="s">
        <v>455</v>
      </c>
    </row>
    <row r="26" spans="1:4" ht="15.75" x14ac:dyDescent="0.25">
      <c r="A26" s="93">
        <f t="shared" si="0"/>
        <v>25</v>
      </c>
      <c r="B26" s="38" t="s">
        <v>465</v>
      </c>
      <c r="C26" s="39" t="s">
        <v>475</v>
      </c>
      <c r="D26" s="45" t="s">
        <v>455</v>
      </c>
    </row>
    <row r="27" spans="1:4" ht="15.75" x14ac:dyDescent="0.25">
      <c r="A27" s="93">
        <f t="shared" si="0"/>
        <v>26</v>
      </c>
      <c r="B27" s="38" t="s">
        <v>1083</v>
      </c>
      <c r="C27" s="125" t="s">
        <v>713</v>
      </c>
      <c r="D27" s="45" t="s">
        <v>455</v>
      </c>
    </row>
    <row r="28" spans="1:4" ht="15.75" x14ac:dyDescent="0.25">
      <c r="A28" s="93">
        <f t="shared" si="0"/>
        <v>27</v>
      </c>
      <c r="B28" s="38" t="s">
        <v>1082</v>
      </c>
      <c r="C28" s="125" t="s">
        <v>1074</v>
      </c>
      <c r="D28" s="45" t="s">
        <v>455</v>
      </c>
    </row>
    <row r="29" spans="1:4" ht="15.75" x14ac:dyDescent="0.25">
      <c r="A29" s="93">
        <f t="shared" si="0"/>
        <v>28</v>
      </c>
      <c r="B29" s="38" t="s">
        <v>1075</v>
      </c>
      <c r="C29" s="125" t="s">
        <v>1074</v>
      </c>
      <c r="D29" s="45" t="s">
        <v>455</v>
      </c>
    </row>
  </sheetData>
  <conditionalFormatting sqref="B2 B4:B8 B11:B27">
    <cfRule type="expression" dxfId="380" priority="39" stopIfTrue="1">
      <formula>D2="N"</formula>
    </cfRule>
    <cfRule type="expression" dxfId="379" priority="40" stopIfTrue="1">
      <formula>D2="Y"</formula>
    </cfRule>
  </conditionalFormatting>
  <conditionalFormatting sqref="C4:C5 C15:C27">
    <cfRule type="expression" dxfId="378" priority="61" stopIfTrue="1">
      <formula>D4="N"</formula>
    </cfRule>
    <cfRule type="expression" dxfId="377" priority="62" stopIfTrue="1">
      <formula>D4="Y"</formula>
    </cfRule>
  </conditionalFormatting>
  <conditionalFormatting sqref="C2">
    <cfRule type="expression" dxfId="376" priority="31" stopIfTrue="1">
      <formula>D2="N"</formula>
    </cfRule>
    <cfRule type="expression" dxfId="375" priority="32" stopIfTrue="1">
      <formula>D2="Y"</formula>
    </cfRule>
  </conditionalFormatting>
  <conditionalFormatting sqref="C12:C14 C6:C8">
    <cfRule type="expression" dxfId="374" priority="19" stopIfTrue="1">
      <formula>D6="N"</formula>
    </cfRule>
    <cfRule type="expression" dxfId="373" priority="20" stopIfTrue="1">
      <formula>D6="Y"</formula>
    </cfRule>
  </conditionalFormatting>
  <conditionalFormatting sqref="B3">
    <cfRule type="expression" dxfId="372" priority="11" stopIfTrue="1">
      <formula>D3="N"</formula>
    </cfRule>
    <cfRule type="expression" dxfId="371" priority="12" stopIfTrue="1">
      <formula>D3="Y"</formula>
    </cfRule>
  </conditionalFormatting>
  <conditionalFormatting sqref="C3">
    <cfRule type="expression" dxfId="370" priority="9" stopIfTrue="1">
      <formula>D3="N"</formula>
    </cfRule>
    <cfRule type="expression" dxfId="369" priority="10" stopIfTrue="1">
      <formula>D3="Y"</formula>
    </cfRule>
  </conditionalFormatting>
  <conditionalFormatting sqref="B9:B10">
    <cfRule type="expression" dxfId="368" priority="7" stopIfTrue="1">
      <formula>D9="N"</formula>
    </cfRule>
    <cfRule type="expression" dxfId="367" priority="8" stopIfTrue="1">
      <formula>D9="Y"</formula>
    </cfRule>
  </conditionalFormatting>
  <conditionalFormatting sqref="C9:C11">
    <cfRule type="expression" dxfId="366" priority="5" stopIfTrue="1">
      <formula>D9="N"</formula>
    </cfRule>
    <cfRule type="expression" dxfId="365" priority="6" stopIfTrue="1">
      <formula>D9="Y"</formula>
    </cfRule>
  </conditionalFormatting>
  <conditionalFormatting sqref="B28:B29">
    <cfRule type="expression" dxfId="364" priority="1" stopIfTrue="1">
      <formula>D28="N"</formula>
    </cfRule>
    <cfRule type="expression" dxfId="363" priority="2" stopIfTrue="1">
      <formula>D28="Y"</formula>
    </cfRule>
  </conditionalFormatting>
  <conditionalFormatting sqref="C28:C29">
    <cfRule type="expression" dxfId="362" priority="3" stopIfTrue="1">
      <formula>D28="N"</formula>
    </cfRule>
    <cfRule type="expression" dxfId="361" priority="4" stopIfTrue="1">
      <formula>D28="Y"</formula>
    </cfRule>
  </conditionalFormatting>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D81"/>
  <sheetViews>
    <sheetView topLeftCell="A62" zoomScaleNormal="100" workbookViewId="0">
      <selection activeCell="A82" sqref="A82"/>
    </sheetView>
  </sheetViews>
  <sheetFormatPr defaultColWidth="9.140625" defaultRowHeight="12.75" x14ac:dyDescent="0.2"/>
  <cols>
    <col min="1" max="1" width="6.28515625" style="106" customWidth="1"/>
    <col min="2" max="2" width="7.7109375" style="104" customWidth="1"/>
    <col min="3" max="3" width="79.140625" style="104" customWidth="1"/>
    <col min="4" max="4" width="15.5703125" style="104" customWidth="1"/>
    <col min="5" max="5" width="6" style="96" customWidth="1"/>
    <col min="6" max="16384" width="9.140625" style="96"/>
  </cols>
  <sheetData>
    <row r="1" spans="1:4" ht="12.75" customHeight="1" x14ac:dyDescent="0.2">
      <c r="A1" s="1671" t="str">
        <f>'Borrower Details'!A2</f>
        <v>Mortgage-Magnus-Unsecured</v>
      </c>
      <c r="B1" s="1672"/>
      <c r="C1" s="1672"/>
      <c r="D1" s="1677" t="s">
        <v>3</v>
      </c>
    </row>
    <row r="2" spans="1:4" ht="12.75" customHeight="1" x14ac:dyDescent="0.2">
      <c r="A2" s="1673"/>
      <c r="B2" s="1674"/>
      <c r="C2" s="1674"/>
      <c r="D2" s="1678"/>
    </row>
    <row r="3" spans="1:4" ht="12.75" customHeight="1" x14ac:dyDescent="0.2">
      <c r="A3" s="1675"/>
      <c r="B3" s="1676"/>
      <c r="C3" s="1676"/>
      <c r="D3" s="1679"/>
    </row>
    <row r="4" spans="1:4" ht="15.75" x14ac:dyDescent="0.2">
      <c r="A4" s="1680" t="s">
        <v>690</v>
      </c>
      <c r="B4" s="1680"/>
      <c r="C4" s="1680"/>
      <c r="D4" s="1680"/>
    </row>
    <row r="5" spans="1:4" x14ac:dyDescent="0.2">
      <c r="A5" s="97" t="s">
        <v>531</v>
      </c>
      <c r="B5" s="1681" t="s">
        <v>20</v>
      </c>
      <c r="C5" s="1681"/>
      <c r="D5" s="110" t="s">
        <v>492</v>
      </c>
    </row>
    <row r="6" spans="1:4" x14ac:dyDescent="0.2">
      <c r="A6" s="98" t="s">
        <v>532</v>
      </c>
      <c r="B6" s="1659" t="s">
        <v>533</v>
      </c>
      <c r="C6" s="1659"/>
      <c r="D6" s="1659"/>
    </row>
    <row r="7" spans="1:4" x14ac:dyDescent="0.2">
      <c r="A7" s="99">
        <v>1</v>
      </c>
      <c r="B7" s="1658" t="s">
        <v>534</v>
      </c>
      <c r="C7" s="1658"/>
      <c r="D7" s="108" t="s">
        <v>196</v>
      </c>
    </row>
    <row r="8" spans="1:4" x14ac:dyDescent="0.2">
      <c r="A8" s="99">
        <v>2</v>
      </c>
      <c r="B8" s="1661" t="s">
        <v>535</v>
      </c>
      <c r="C8" s="1661"/>
      <c r="D8" s="109" t="s">
        <v>196</v>
      </c>
    </row>
    <row r="9" spans="1:4" x14ac:dyDescent="0.2">
      <c r="A9" s="99">
        <v>3</v>
      </c>
      <c r="B9" s="1661" t="s">
        <v>536</v>
      </c>
      <c r="C9" s="1661"/>
      <c r="D9" s="109" t="s">
        <v>196</v>
      </c>
    </row>
    <row r="10" spans="1:4" x14ac:dyDescent="0.2">
      <c r="A10" s="99">
        <v>4</v>
      </c>
      <c r="B10" s="1661" t="s">
        <v>537</v>
      </c>
      <c r="C10" s="1661"/>
      <c r="D10" s="109" t="s">
        <v>196</v>
      </c>
    </row>
    <row r="11" spans="1:4" x14ac:dyDescent="0.2">
      <c r="A11" s="99">
        <v>5</v>
      </c>
      <c r="B11" s="1668" t="s">
        <v>538</v>
      </c>
      <c r="C11" s="1661"/>
      <c r="D11" s="109" t="s">
        <v>196</v>
      </c>
    </row>
    <row r="12" spans="1:4" x14ac:dyDescent="0.2">
      <c r="A12" s="99">
        <v>6</v>
      </c>
      <c r="B12" s="1661" t="s">
        <v>539</v>
      </c>
      <c r="C12" s="1661"/>
      <c r="D12" s="109" t="s">
        <v>196</v>
      </c>
    </row>
    <row r="13" spans="1:4" x14ac:dyDescent="0.2">
      <c r="A13" s="99">
        <v>7</v>
      </c>
      <c r="B13" s="1653" t="s">
        <v>540</v>
      </c>
      <c r="C13" s="1654"/>
      <c r="D13" s="109" t="s">
        <v>541</v>
      </c>
    </row>
    <row r="14" spans="1:4" x14ac:dyDescent="0.2">
      <c r="A14" s="99">
        <v>8</v>
      </c>
      <c r="B14" s="1653" t="s">
        <v>542</v>
      </c>
      <c r="C14" s="1654"/>
      <c r="D14" s="109" t="s">
        <v>541</v>
      </c>
    </row>
    <row r="15" spans="1:4" x14ac:dyDescent="0.2">
      <c r="A15" s="99">
        <v>9</v>
      </c>
      <c r="B15" s="1661" t="s">
        <v>543</v>
      </c>
      <c r="C15" s="1661"/>
      <c r="D15" s="109" t="s">
        <v>541</v>
      </c>
    </row>
    <row r="16" spans="1:4" x14ac:dyDescent="0.2">
      <c r="A16" s="99">
        <v>10</v>
      </c>
      <c r="B16" s="1653" t="s">
        <v>544</v>
      </c>
      <c r="C16" s="1654"/>
      <c r="D16" s="109" t="s">
        <v>541</v>
      </c>
    </row>
    <row r="17" spans="1:4" x14ac:dyDescent="0.2">
      <c r="A17" s="99">
        <v>11</v>
      </c>
      <c r="B17" s="1661" t="s">
        <v>545</v>
      </c>
      <c r="C17" s="1661"/>
      <c r="D17" s="109" t="s">
        <v>196</v>
      </c>
    </row>
    <row r="18" spans="1:4" x14ac:dyDescent="0.2">
      <c r="A18" s="99">
        <v>12</v>
      </c>
      <c r="B18" s="1668" t="s">
        <v>546</v>
      </c>
      <c r="C18" s="1661"/>
      <c r="D18" s="109" t="s">
        <v>196</v>
      </c>
    </row>
    <row r="19" spans="1:4" ht="26.25" customHeight="1" x14ac:dyDescent="0.2">
      <c r="A19" s="99">
        <v>13</v>
      </c>
      <c r="B19" s="1668" t="s">
        <v>547</v>
      </c>
      <c r="C19" s="1661"/>
      <c r="D19" s="109" t="s">
        <v>541</v>
      </c>
    </row>
    <row r="20" spans="1:4" x14ac:dyDescent="0.2">
      <c r="A20" s="99">
        <v>14</v>
      </c>
      <c r="B20" s="1664" t="s">
        <v>548</v>
      </c>
      <c r="C20" s="1666"/>
      <c r="D20" s="109" t="s">
        <v>541</v>
      </c>
    </row>
    <row r="21" spans="1:4" x14ac:dyDescent="0.2">
      <c r="A21" s="99">
        <v>15</v>
      </c>
      <c r="B21" s="1669" t="s">
        <v>549</v>
      </c>
      <c r="C21" s="1670"/>
      <c r="D21" s="109" t="s">
        <v>541</v>
      </c>
    </row>
    <row r="22" spans="1:4" x14ac:dyDescent="0.2">
      <c r="A22" s="99">
        <v>16</v>
      </c>
      <c r="B22" s="1664" t="s">
        <v>550</v>
      </c>
      <c r="C22" s="1666"/>
      <c r="D22" s="109" t="s">
        <v>541</v>
      </c>
    </row>
    <row r="23" spans="1:4" x14ac:dyDescent="0.2">
      <c r="A23" s="99">
        <v>17</v>
      </c>
      <c r="B23" s="1664" t="s">
        <v>551</v>
      </c>
      <c r="C23" s="1666"/>
      <c r="D23" s="109" t="s">
        <v>541</v>
      </c>
    </row>
    <row r="24" spans="1:4" x14ac:dyDescent="0.2">
      <c r="A24" s="99">
        <v>18</v>
      </c>
      <c r="B24" s="1664" t="s">
        <v>552</v>
      </c>
      <c r="C24" s="1666"/>
      <c r="D24" s="109" t="s">
        <v>541</v>
      </c>
    </row>
    <row r="25" spans="1:4" x14ac:dyDescent="0.2">
      <c r="A25" s="98" t="s">
        <v>553</v>
      </c>
      <c r="B25" s="1659" t="s">
        <v>554</v>
      </c>
      <c r="C25" s="1659"/>
      <c r="D25" s="1659"/>
    </row>
    <row r="26" spans="1:4" ht="25.5" customHeight="1" x14ac:dyDescent="0.2">
      <c r="A26" s="99">
        <v>1</v>
      </c>
      <c r="B26" s="1667" t="s">
        <v>555</v>
      </c>
      <c r="C26" s="1667"/>
      <c r="D26" s="108" t="s">
        <v>196</v>
      </c>
    </row>
    <row r="27" spans="1:4" x14ac:dyDescent="0.2">
      <c r="A27" s="99">
        <v>2</v>
      </c>
      <c r="B27" s="1668" t="s">
        <v>556</v>
      </c>
      <c r="C27" s="1668"/>
      <c r="D27" s="109" t="s">
        <v>196</v>
      </c>
    </row>
    <row r="28" spans="1:4" x14ac:dyDescent="0.2">
      <c r="A28" s="99">
        <v>3</v>
      </c>
      <c r="B28" s="1664" t="s">
        <v>557</v>
      </c>
      <c r="C28" s="1665"/>
      <c r="D28" s="109" t="s">
        <v>196</v>
      </c>
    </row>
    <row r="29" spans="1:4" x14ac:dyDescent="0.2">
      <c r="A29" s="99">
        <v>4</v>
      </c>
      <c r="B29" s="1664" t="s">
        <v>558</v>
      </c>
      <c r="C29" s="1665"/>
      <c r="D29" s="109" t="s">
        <v>196</v>
      </c>
    </row>
    <row r="30" spans="1:4" x14ac:dyDescent="0.2">
      <c r="A30" s="99">
        <v>5</v>
      </c>
      <c r="B30" s="1664" t="s">
        <v>559</v>
      </c>
      <c r="C30" s="1665"/>
      <c r="D30" s="109" t="s">
        <v>196</v>
      </c>
    </row>
    <row r="31" spans="1:4" x14ac:dyDescent="0.2">
      <c r="A31" s="99">
        <v>6</v>
      </c>
      <c r="B31" s="1664" t="s">
        <v>560</v>
      </c>
      <c r="C31" s="1666"/>
      <c r="D31" s="109" t="s">
        <v>196</v>
      </c>
    </row>
    <row r="32" spans="1:4" x14ac:dyDescent="0.2">
      <c r="A32" s="99">
        <v>7</v>
      </c>
      <c r="B32" s="1664" t="s">
        <v>561</v>
      </c>
      <c r="C32" s="1666"/>
      <c r="D32" s="109" t="s">
        <v>196</v>
      </c>
    </row>
    <row r="33" spans="1:4" x14ac:dyDescent="0.2">
      <c r="A33" s="99">
        <v>8</v>
      </c>
      <c r="B33" s="1664" t="s">
        <v>562</v>
      </c>
      <c r="C33" s="1666"/>
      <c r="D33" s="109" t="s">
        <v>196</v>
      </c>
    </row>
    <row r="34" spans="1:4" x14ac:dyDescent="0.2">
      <c r="A34" s="99">
        <v>9</v>
      </c>
      <c r="B34" s="1664" t="s">
        <v>563</v>
      </c>
      <c r="C34" s="1666"/>
      <c r="D34" s="109" t="s">
        <v>196</v>
      </c>
    </row>
    <row r="35" spans="1:4" x14ac:dyDescent="0.2">
      <c r="A35" s="99">
        <v>10</v>
      </c>
      <c r="B35" s="1664" t="s">
        <v>564</v>
      </c>
      <c r="C35" s="1666"/>
      <c r="D35" s="109" t="s">
        <v>196</v>
      </c>
    </row>
    <row r="36" spans="1:4" x14ac:dyDescent="0.2">
      <c r="A36" s="99">
        <v>11</v>
      </c>
      <c r="B36" s="1664" t="s">
        <v>565</v>
      </c>
      <c r="C36" s="1666"/>
      <c r="D36" s="109" t="s">
        <v>196</v>
      </c>
    </row>
    <row r="37" spans="1:4" x14ac:dyDescent="0.2">
      <c r="A37" s="99">
        <v>12</v>
      </c>
      <c r="B37" s="1664" t="s">
        <v>566</v>
      </c>
      <c r="C37" s="1666"/>
      <c r="D37" s="109" t="s">
        <v>196</v>
      </c>
    </row>
    <row r="38" spans="1:4" x14ac:dyDescent="0.2">
      <c r="A38" s="98" t="s">
        <v>567</v>
      </c>
      <c r="B38" s="1659" t="s">
        <v>568</v>
      </c>
      <c r="C38" s="1659"/>
      <c r="D38" s="1659"/>
    </row>
    <row r="39" spans="1:4" x14ac:dyDescent="0.2">
      <c r="A39" s="99">
        <v>1</v>
      </c>
      <c r="B39" s="1667" t="s">
        <v>569</v>
      </c>
      <c r="C39" s="1667"/>
      <c r="D39" s="108" t="s">
        <v>196</v>
      </c>
    </row>
    <row r="40" spans="1:4" x14ac:dyDescent="0.2">
      <c r="A40" s="99">
        <v>2</v>
      </c>
      <c r="B40" s="1667" t="s">
        <v>570</v>
      </c>
      <c r="C40" s="1667"/>
      <c r="D40" s="108" t="s">
        <v>196</v>
      </c>
    </row>
    <row r="41" spans="1:4" x14ac:dyDescent="0.2">
      <c r="A41" s="99">
        <v>3</v>
      </c>
      <c r="B41" s="1664" t="s">
        <v>571</v>
      </c>
      <c r="C41" s="1665"/>
      <c r="D41" s="109" t="s">
        <v>196</v>
      </c>
    </row>
    <row r="42" spans="1:4" x14ac:dyDescent="0.2">
      <c r="A42" s="99">
        <v>4</v>
      </c>
      <c r="B42" s="1664" t="s">
        <v>572</v>
      </c>
      <c r="C42" s="1665"/>
      <c r="D42" s="109" t="s">
        <v>196</v>
      </c>
    </row>
    <row r="43" spans="1:4" x14ac:dyDescent="0.2">
      <c r="A43" s="99">
        <v>5</v>
      </c>
      <c r="B43" s="1664" t="s">
        <v>573</v>
      </c>
      <c r="C43" s="1665"/>
      <c r="D43" s="109" t="s">
        <v>196</v>
      </c>
    </row>
    <row r="44" spans="1:4" x14ac:dyDescent="0.2">
      <c r="A44" s="99">
        <v>6</v>
      </c>
      <c r="B44" s="1664" t="s">
        <v>574</v>
      </c>
      <c r="C44" s="1665"/>
      <c r="D44" s="109" t="s">
        <v>196</v>
      </c>
    </row>
    <row r="45" spans="1:4" x14ac:dyDescent="0.2">
      <c r="A45" s="99">
        <v>7</v>
      </c>
      <c r="B45" s="1664" t="s">
        <v>575</v>
      </c>
      <c r="C45" s="1665"/>
      <c r="D45" s="109" t="s">
        <v>196</v>
      </c>
    </row>
    <row r="46" spans="1:4" x14ac:dyDescent="0.2">
      <c r="A46" s="98" t="s">
        <v>576</v>
      </c>
      <c r="B46" s="1659" t="s">
        <v>577</v>
      </c>
      <c r="C46" s="1659"/>
      <c r="D46" s="1659"/>
    </row>
    <row r="47" spans="1:4" ht="15" x14ac:dyDescent="0.2">
      <c r="A47" s="100" t="s">
        <v>578</v>
      </c>
      <c r="B47" s="1660" t="s">
        <v>579</v>
      </c>
      <c r="C47" s="1660"/>
      <c r="D47" s="109"/>
    </row>
    <row r="48" spans="1:4" x14ac:dyDescent="0.2">
      <c r="A48" s="99">
        <v>1</v>
      </c>
      <c r="B48" s="1653" t="s">
        <v>580</v>
      </c>
      <c r="C48" s="1654"/>
      <c r="D48" s="109" t="s">
        <v>196</v>
      </c>
    </row>
    <row r="49" spans="1:4" x14ac:dyDescent="0.2">
      <c r="A49" s="99">
        <v>2</v>
      </c>
      <c r="B49" s="1653" t="s">
        <v>581</v>
      </c>
      <c r="C49" s="1654"/>
      <c r="D49" s="109" t="s">
        <v>196</v>
      </c>
    </row>
    <row r="50" spans="1:4" x14ac:dyDescent="0.2">
      <c r="A50" s="99">
        <v>3</v>
      </c>
      <c r="B50" s="101" t="s">
        <v>582</v>
      </c>
      <c r="C50" s="101"/>
      <c r="D50" s="109" t="s">
        <v>196</v>
      </c>
    </row>
    <row r="51" spans="1:4" x14ac:dyDescent="0.2">
      <c r="A51" s="99">
        <v>4</v>
      </c>
      <c r="B51" s="1662" t="s">
        <v>583</v>
      </c>
      <c r="C51" s="1663"/>
      <c r="D51" s="109" t="s">
        <v>196</v>
      </c>
    </row>
    <row r="52" spans="1:4" x14ac:dyDescent="0.2">
      <c r="A52" s="99">
        <v>5</v>
      </c>
      <c r="B52" s="1653" t="s">
        <v>584</v>
      </c>
      <c r="C52" s="1654"/>
      <c r="D52" s="109"/>
    </row>
    <row r="53" spans="1:4" ht="15" x14ac:dyDescent="0.2">
      <c r="A53" s="100" t="s">
        <v>585</v>
      </c>
      <c r="B53" s="1660" t="s">
        <v>586</v>
      </c>
      <c r="C53" s="1660"/>
      <c r="D53" s="109"/>
    </row>
    <row r="54" spans="1:4" x14ac:dyDescent="0.2">
      <c r="A54" s="99">
        <v>1</v>
      </c>
      <c r="B54" s="1661" t="s">
        <v>587</v>
      </c>
      <c r="C54" s="1661"/>
      <c r="D54" s="109" t="s">
        <v>196</v>
      </c>
    </row>
    <row r="55" spans="1:4" x14ac:dyDescent="0.2">
      <c r="A55" s="99">
        <v>2</v>
      </c>
      <c r="B55" s="1653" t="s">
        <v>588</v>
      </c>
      <c r="C55" s="1654"/>
      <c r="D55" s="109" t="s">
        <v>196</v>
      </c>
    </row>
    <row r="56" spans="1:4" x14ac:dyDescent="0.2">
      <c r="A56" s="99">
        <v>3</v>
      </c>
      <c r="B56" s="1653" t="s">
        <v>584</v>
      </c>
      <c r="C56" s="1654"/>
      <c r="D56" s="109"/>
    </row>
    <row r="57" spans="1:4" ht="15" x14ac:dyDescent="0.2">
      <c r="A57" s="100" t="s">
        <v>589</v>
      </c>
      <c r="B57" s="1660" t="s">
        <v>590</v>
      </c>
      <c r="C57" s="1660"/>
      <c r="D57" s="109"/>
    </row>
    <row r="58" spans="1:4" x14ac:dyDescent="0.2">
      <c r="A58" s="99">
        <v>1</v>
      </c>
      <c r="B58" s="1653" t="s">
        <v>591</v>
      </c>
      <c r="C58" s="1654"/>
      <c r="D58" s="109" t="s">
        <v>196</v>
      </c>
    </row>
    <row r="59" spans="1:4" x14ac:dyDescent="0.2">
      <c r="A59" s="98" t="s">
        <v>592</v>
      </c>
      <c r="B59" s="1659" t="s">
        <v>593</v>
      </c>
      <c r="C59" s="1659"/>
      <c r="D59" s="1659"/>
    </row>
    <row r="60" spans="1:4" x14ac:dyDescent="0.2">
      <c r="A60" s="97">
        <v>1</v>
      </c>
      <c r="B60" s="1655" t="s">
        <v>594</v>
      </c>
      <c r="C60" s="1656"/>
      <c r="D60" s="108" t="s">
        <v>196</v>
      </c>
    </row>
    <row r="61" spans="1:4" x14ac:dyDescent="0.2">
      <c r="A61" s="97">
        <v>2</v>
      </c>
      <c r="B61" s="1655" t="s">
        <v>595</v>
      </c>
      <c r="C61" s="1656"/>
      <c r="D61" s="109" t="s">
        <v>196</v>
      </c>
    </row>
    <row r="62" spans="1:4" x14ac:dyDescent="0.2">
      <c r="A62" s="97">
        <v>3</v>
      </c>
      <c r="B62" s="1655" t="s">
        <v>596</v>
      </c>
      <c r="C62" s="1656"/>
      <c r="D62" s="109" t="s">
        <v>196</v>
      </c>
    </row>
    <row r="63" spans="1:4" x14ac:dyDescent="0.2">
      <c r="A63" s="97">
        <v>4</v>
      </c>
      <c r="B63" s="111" t="s">
        <v>597</v>
      </c>
      <c r="C63" s="112"/>
      <c r="D63" s="109" t="s">
        <v>196</v>
      </c>
    </row>
    <row r="64" spans="1:4" x14ac:dyDescent="0.2">
      <c r="A64" s="98" t="s">
        <v>598</v>
      </c>
      <c r="B64" s="1657" t="s">
        <v>599</v>
      </c>
      <c r="C64" s="1657"/>
      <c r="D64" s="1657"/>
    </row>
    <row r="65" spans="1:4" x14ac:dyDescent="0.2">
      <c r="A65" s="99">
        <v>1</v>
      </c>
      <c r="B65" s="1658" t="s">
        <v>600</v>
      </c>
      <c r="C65" s="1658"/>
      <c r="D65" s="108" t="s">
        <v>196</v>
      </c>
    </row>
    <row r="66" spans="1:4" x14ac:dyDescent="0.2">
      <c r="A66" s="99">
        <v>2</v>
      </c>
      <c r="B66" s="1653" t="s">
        <v>601</v>
      </c>
      <c r="C66" s="1654"/>
      <c r="D66" s="108" t="s">
        <v>196</v>
      </c>
    </row>
    <row r="67" spans="1:4" x14ac:dyDescent="0.2">
      <c r="A67" s="99">
        <v>3</v>
      </c>
      <c r="B67" s="1653" t="s">
        <v>602</v>
      </c>
      <c r="C67" s="1654"/>
      <c r="D67" s="108" t="s">
        <v>196</v>
      </c>
    </row>
    <row r="68" spans="1:4" x14ac:dyDescent="0.2">
      <c r="A68" s="99">
        <v>4</v>
      </c>
      <c r="B68" s="1653" t="s">
        <v>603</v>
      </c>
      <c r="C68" s="1654"/>
      <c r="D68" s="108" t="s">
        <v>196</v>
      </c>
    </row>
    <row r="69" spans="1:4" x14ac:dyDescent="0.2">
      <c r="A69" s="99">
        <v>5</v>
      </c>
      <c r="B69" s="1653" t="s">
        <v>604</v>
      </c>
      <c r="C69" s="1654"/>
      <c r="D69" s="108" t="s">
        <v>196</v>
      </c>
    </row>
    <row r="70" spans="1:4" x14ac:dyDescent="0.2">
      <c r="A70" s="99">
        <v>6</v>
      </c>
      <c r="B70" s="1653" t="s">
        <v>605</v>
      </c>
      <c r="C70" s="1654"/>
      <c r="D70" s="108" t="s">
        <v>196</v>
      </c>
    </row>
    <row r="71" spans="1:4" x14ac:dyDescent="0.2">
      <c r="A71" s="102"/>
      <c r="B71" s="103"/>
      <c r="C71" s="103"/>
    </row>
    <row r="72" spans="1:4" ht="13.5" customHeight="1" x14ac:dyDescent="0.2">
      <c r="A72" s="105" t="s">
        <v>606</v>
      </c>
      <c r="C72" s="105"/>
    </row>
    <row r="81" spans="3:3" x14ac:dyDescent="0.2">
      <c r="C81" s="107"/>
    </row>
  </sheetData>
  <mergeCells count="67">
    <mergeCell ref="A1:C3"/>
    <mergeCell ref="D1:D3"/>
    <mergeCell ref="A4:D4"/>
    <mergeCell ref="B10:C10"/>
    <mergeCell ref="B5:C5"/>
    <mergeCell ref="B6:D6"/>
    <mergeCell ref="B7:C7"/>
    <mergeCell ref="B8:C8"/>
    <mergeCell ref="B9:C9"/>
    <mergeCell ref="B23:C23"/>
    <mergeCell ref="B11:C11"/>
    <mergeCell ref="B12:C12"/>
    <mergeCell ref="B14:C14"/>
    <mergeCell ref="B15:C15"/>
    <mergeCell ref="B16:C16"/>
    <mergeCell ref="B17:C17"/>
    <mergeCell ref="B18:C18"/>
    <mergeCell ref="B19:C19"/>
    <mergeCell ref="B20:C20"/>
    <mergeCell ref="B21:C21"/>
    <mergeCell ref="B22:C22"/>
    <mergeCell ref="B13:C13"/>
    <mergeCell ref="B35:C35"/>
    <mergeCell ref="B24:C24"/>
    <mergeCell ref="B25:D25"/>
    <mergeCell ref="B26:C26"/>
    <mergeCell ref="B27:C27"/>
    <mergeCell ref="B28:C28"/>
    <mergeCell ref="B29:C29"/>
    <mergeCell ref="B30:C30"/>
    <mergeCell ref="B31:C31"/>
    <mergeCell ref="B32:C32"/>
    <mergeCell ref="B33:C33"/>
    <mergeCell ref="B34:C34"/>
    <mergeCell ref="B36:C36"/>
    <mergeCell ref="B37:C37"/>
    <mergeCell ref="B38:D38"/>
    <mergeCell ref="B39:C39"/>
    <mergeCell ref="B40:C40"/>
    <mergeCell ref="B41:C41"/>
    <mergeCell ref="B42:C42"/>
    <mergeCell ref="B43:C43"/>
    <mergeCell ref="B44:C44"/>
    <mergeCell ref="B45:C45"/>
    <mergeCell ref="B46:D46"/>
    <mergeCell ref="B60:C60"/>
    <mergeCell ref="B47:C47"/>
    <mergeCell ref="B48:C48"/>
    <mergeCell ref="B49:C49"/>
    <mergeCell ref="B52:C52"/>
    <mergeCell ref="B53:C53"/>
    <mergeCell ref="B54:C54"/>
    <mergeCell ref="B55:C55"/>
    <mergeCell ref="B56:C56"/>
    <mergeCell ref="B57:C57"/>
    <mergeCell ref="B58:C58"/>
    <mergeCell ref="B59:D59"/>
    <mergeCell ref="B51:C51"/>
    <mergeCell ref="B68:C68"/>
    <mergeCell ref="B69:C69"/>
    <mergeCell ref="B70:C70"/>
    <mergeCell ref="B61:C61"/>
    <mergeCell ref="B62:C62"/>
    <mergeCell ref="B64:D64"/>
    <mergeCell ref="B65:C65"/>
    <mergeCell ref="B66:C66"/>
    <mergeCell ref="B67:C67"/>
  </mergeCells>
  <pageMargins left="0.36" right="0.19" top="0.32" bottom="0.28000000000000003" header="0.3" footer="0.17"/>
  <pageSetup paperSize="9" scale="85"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theme="3" tint="-0.499984740745262"/>
  </sheetPr>
  <dimension ref="B1:I61"/>
  <sheetViews>
    <sheetView showGridLines="0" workbookViewId="0">
      <selection activeCell="C22" sqref="C22"/>
    </sheetView>
  </sheetViews>
  <sheetFormatPr defaultColWidth="9.140625" defaultRowHeight="12.75" x14ac:dyDescent="0.2"/>
  <cols>
    <col min="1" max="1" width="9.140625" style="181"/>
    <col min="2" max="2" width="8.140625" style="181" customWidth="1"/>
    <col min="3" max="3" width="30.28515625" style="181" bestFit="1" customWidth="1"/>
    <col min="4" max="4" width="19" style="181" bestFit="1" customWidth="1"/>
    <col min="5" max="16384" width="9.140625" style="181"/>
  </cols>
  <sheetData>
    <row r="1" spans="2:4" ht="13.5" thickBot="1" x14ac:dyDescent="0.25"/>
    <row r="2" spans="2:4" ht="13.5" thickBot="1" x14ac:dyDescent="0.25">
      <c r="B2" s="1682" t="s">
        <v>2532</v>
      </c>
      <c r="C2" s="1683"/>
      <c r="D2" s="1684"/>
    </row>
    <row r="3" spans="2:4" ht="21.75" customHeight="1" thickBot="1" x14ac:dyDescent="0.25">
      <c r="B3" s="1685" t="s">
        <v>2533</v>
      </c>
      <c r="C3" s="1686"/>
      <c r="D3" s="1687"/>
    </row>
    <row r="5" spans="2:4" ht="13.5" thickBot="1" x14ac:dyDescent="0.25">
      <c r="B5" s="687" t="s">
        <v>181</v>
      </c>
      <c r="C5" s="688" t="s">
        <v>2</v>
      </c>
      <c r="D5" s="689" t="s">
        <v>2040</v>
      </c>
    </row>
    <row r="6" spans="2:4" x14ac:dyDescent="0.2">
      <c r="B6" s="684">
        <v>1</v>
      </c>
      <c r="C6" s="715" t="s">
        <v>1642</v>
      </c>
      <c r="D6" s="686" t="s">
        <v>2512</v>
      </c>
    </row>
    <row r="7" spans="2:4" x14ac:dyDescent="0.2">
      <c r="B7" s="685">
        <v>2</v>
      </c>
      <c r="C7" s="715" t="s">
        <v>2513</v>
      </c>
      <c r="D7" s="691" t="s">
        <v>2512</v>
      </c>
    </row>
    <row r="8" spans="2:4" x14ac:dyDescent="0.2">
      <c r="B8" s="685">
        <v>3</v>
      </c>
      <c r="C8" s="715" t="s">
        <v>2515</v>
      </c>
      <c r="D8" s="495" t="s">
        <v>2512</v>
      </c>
    </row>
    <row r="9" spans="2:4" x14ac:dyDescent="0.2">
      <c r="B9" s="684">
        <v>4</v>
      </c>
      <c r="C9" s="715" t="s">
        <v>2516</v>
      </c>
      <c r="D9" s="495" t="s">
        <v>2512</v>
      </c>
    </row>
    <row r="10" spans="2:4" x14ac:dyDescent="0.2">
      <c r="B10" s="685">
        <v>5</v>
      </c>
      <c r="C10" s="715" t="s">
        <v>2514</v>
      </c>
      <c r="D10" s="495" t="s">
        <v>2512</v>
      </c>
    </row>
    <row r="11" spans="2:4" x14ac:dyDescent="0.2">
      <c r="B11" s="685">
        <v>6</v>
      </c>
      <c r="C11" s="715" t="s">
        <v>2517</v>
      </c>
      <c r="D11" s="495" t="s">
        <v>2512</v>
      </c>
    </row>
    <row r="12" spans="2:4" x14ac:dyDescent="0.2">
      <c r="B12" s="684">
        <v>7</v>
      </c>
      <c r="C12" s="715" t="s">
        <v>2518</v>
      </c>
      <c r="D12" s="495" t="s">
        <v>2512</v>
      </c>
    </row>
    <row r="13" spans="2:4" x14ac:dyDescent="0.2">
      <c r="B13" s="685">
        <v>8</v>
      </c>
      <c r="C13" s="715" t="s">
        <v>2519</v>
      </c>
      <c r="D13" s="495" t="s">
        <v>2512</v>
      </c>
    </row>
    <row r="14" spans="2:4" x14ac:dyDescent="0.2">
      <c r="B14" s="685">
        <v>9</v>
      </c>
      <c r="C14" s="715" t="s">
        <v>2520</v>
      </c>
      <c r="D14" s="495" t="s">
        <v>2512</v>
      </c>
    </row>
    <row r="15" spans="2:4" x14ac:dyDescent="0.2">
      <c r="B15" s="684">
        <v>10</v>
      </c>
      <c r="C15" s="715" t="s">
        <v>2542</v>
      </c>
      <c r="D15" s="495" t="s">
        <v>2512</v>
      </c>
    </row>
    <row r="16" spans="2:4" x14ac:dyDescent="0.2">
      <c r="B16" s="685">
        <v>11</v>
      </c>
      <c r="C16" s="715" t="s">
        <v>2543</v>
      </c>
      <c r="D16" s="495" t="s">
        <v>2512</v>
      </c>
    </row>
    <row r="17" spans="2:9" x14ac:dyDescent="0.2">
      <c r="B17" s="685">
        <v>12</v>
      </c>
      <c r="C17" s="715" t="s">
        <v>2521</v>
      </c>
      <c r="D17" s="495" t="s">
        <v>2512</v>
      </c>
      <c r="I17" s="162"/>
    </row>
    <row r="18" spans="2:9" x14ac:dyDescent="0.2">
      <c r="B18" s="684">
        <v>13</v>
      </c>
      <c r="C18" s="715" t="s">
        <v>520</v>
      </c>
      <c r="D18" s="495" t="s">
        <v>2512</v>
      </c>
    </row>
    <row r="19" spans="2:9" x14ac:dyDescent="0.2">
      <c r="B19" s="685">
        <v>14</v>
      </c>
      <c r="C19" s="715" t="s">
        <v>1549</v>
      </c>
      <c r="D19" s="495" t="s">
        <v>2512</v>
      </c>
    </row>
    <row r="20" spans="2:9" x14ac:dyDescent="0.2">
      <c r="B20" s="685">
        <v>15</v>
      </c>
      <c r="C20" s="715" t="s">
        <v>458</v>
      </c>
      <c r="D20" s="691" t="s">
        <v>2547</v>
      </c>
    </row>
    <row r="21" spans="2:9" x14ac:dyDescent="0.2">
      <c r="B21" s="684">
        <v>16</v>
      </c>
      <c r="C21" s="715" t="s">
        <v>1079</v>
      </c>
      <c r="D21" s="495" t="s">
        <v>2512</v>
      </c>
    </row>
    <row r="22" spans="2:9" x14ac:dyDescent="0.2">
      <c r="B22" s="685">
        <v>17</v>
      </c>
      <c r="C22" s="715" t="s">
        <v>687</v>
      </c>
      <c r="D22" s="495" t="s">
        <v>2512</v>
      </c>
    </row>
    <row r="23" spans="2:9" x14ac:dyDescent="0.2">
      <c r="B23" s="685">
        <v>18</v>
      </c>
      <c r="C23" s="715" t="s">
        <v>688</v>
      </c>
      <c r="D23" s="691" t="s">
        <v>2523</v>
      </c>
    </row>
    <row r="24" spans="2:9" x14ac:dyDescent="0.2">
      <c r="B24" s="684">
        <v>19</v>
      </c>
      <c r="C24" s="715" t="s">
        <v>698</v>
      </c>
      <c r="D24" s="691" t="s">
        <v>2523</v>
      </c>
      <c r="I24" s="162"/>
    </row>
    <row r="25" spans="2:9" x14ac:dyDescent="0.2">
      <c r="B25" s="685">
        <v>20</v>
      </c>
      <c r="C25" s="715" t="s">
        <v>689</v>
      </c>
      <c r="D25" s="495" t="s">
        <v>2512</v>
      </c>
    </row>
    <row r="26" spans="2:9" x14ac:dyDescent="0.2">
      <c r="B26" s="685">
        <v>21</v>
      </c>
      <c r="C26" s="715" t="s">
        <v>2522</v>
      </c>
      <c r="D26" s="495" t="s">
        <v>2512</v>
      </c>
    </row>
    <row r="27" spans="2:9" x14ac:dyDescent="0.2">
      <c r="B27" s="684">
        <v>22</v>
      </c>
      <c r="C27" s="715" t="s">
        <v>522</v>
      </c>
      <c r="D27" s="495" t="s">
        <v>2512</v>
      </c>
    </row>
    <row r="28" spans="2:9" x14ac:dyDescent="0.2">
      <c r="B28" s="685">
        <v>23</v>
      </c>
      <c r="C28" s="715" t="s">
        <v>459</v>
      </c>
      <c r="D28" s="691" t="s">
        <v>2523</v>
      </c>
    </row>
    <row r="29" spans="2:9" x14ac:dyDescent="0.2">
      <c r="B29" s="685">
        <v>24</v>
      </c>
      <c r="C29" s="715" t="s">
        <v>460</v>
      </c>
      <c r="D29" s="691" t="s">
        <v>2523</v>
      </c>
    </row>
    <row r="30" spans="2:9" x14ac:dyDescent="0.2">
      <c r="B30" s="684">
        <v>25</v>
      </c>
      <c r="C30" s="715" t="s">
        <v>28</v>
      </c>
      <c r="D30" s="495" t="s">
        <v>2523</v>
      </c>
    </row>
    <row r="31" spans="2:9" x14ac:dyDescent="0.2">
      <c r="B31" s="685">
        <v>26</v>
      </c>
      <c r="C31" s="715" t="s">
        <v>403</v>
      </c>
      <c r="D31" s="691" t="s">
        <v>2523</v>
      </c>
    </row>
    <row r="32" spans="2:9" x14ac:dyDescent="0.2">
      <c r="B32" s="685">
        <v>27</v>
      </c>
      <c r="C32" s="715" t="s">
        <v>2525</v>
      </c>
      <c r="D32" s="495" t="s">
        <v>2524</v>
      </c>
    </row>
    <row r="33" spans="2:9" x14ac:dyDescent="0.2">
      <c r="B33" s="684">
        <v>28</v>
      </c>
      <c r="C33" s="715" t="s">
        <v>2526</v>
      </c>
      <c r="D33" s="495" t="s">
        <v>2524</v>
      </c>
    </row>
    <row r="34" spans="2:9" x14ac:dyDescent="0.2">
      <c r="B34" s="685">
        <v>29</v>
      </c>
      <c r="C34" s="715" t="s">
        <v>233</v>
      </c>
      <c r="D34" s="691" t="s">
        <v>2523</v>
      </c>
    </row>
    <row r="35" spans="2:9" x14ac:dyDescent="0.2">
      <c r="B35" s="685">
        <v>30</v>
      </c>
      <c r="C35" s="715" t="s">
        <v>461</v>
      </c>
      <c r="D35" s="691" t="s">
        <v>2523</v>
      </c>
    </row>
    <row r="36" spans="2:9" x14ac:dyDescent="0.2">
      <c r="B36" s="684">
        <v>31</v>
      </c>
      <c r="C36" s="715" t="s">
        <v>462</v>
      </c>
      <c r="D36" s="495" t="s">
        <v>2512</v>
      </c>
    </row>
    <row r="37" spans="2:9" x14ac:dyDescent="0.2">
      <c r="B37" s="685">
        <v>32</v>
      </c>
      <c r="C37" s="715" t="s">
        <v>464</v>
      </c>
      <c r="D37" s="495" t="s">
        <v>2512</v>
      </c>
    </row>
    <row r="38" spans="2:9" x14ac:dyDescent="0.2">
      <c r="B38" s="685">
        <v>33</v>
      </c>
      <c r="C38" s="715" t="s">
        <v>2553</v>
      </c>
      <c r="D38" s="495" t="s">
        <v>2524</v>
      </c>
    </row>
    <row r="39" spans="2:9" x14ac:dyDescent="0.2">
      <c r="B39" s="684">
        <v>34</v>
      </c>
      <c r="C39" s="715" t="s">
        <v>1083</v>
      </c>
      <c r="D39" s="691" t="s">
        <v>2547</v>
      </c>
    </row>
    <row r="40" spans="2:9" x14ac:dyDescent="0.2">
      <c r="B40" s="685">
        <v>35</v>
      </c>
      <c r="C40" s="715" t="s">
        <v>2544</v>
      </c>
      <c r="D40" s="691" t="s">
        <v>2523</v>
      </c>
    </row>
    <row r="41" spans="2:9" x14ac:dyDescent="0.2">
      <c r="B41" s="685">
        <v>36</v>
      </c>
      <c r="C41" s="715" t="s">
        <v>1082</v>
      </c>
      <c r="D41" s="495" t="s">
        <v>2512</v>
      </c>
    </row>
    <row r="42" spans="2:9" x14ac:dyDescent="0.2">
      <c r="B42" s="684">
        <v>37</v>
      </c>
      <c r="C42" s="715" t="s">
        <v>2545</v>
      </c>
      <c r="D42" s="691" t="s">
        <v>2527</v>
      </c>
    </row>
    <row r="43" spans="2:9" x14ac:dyDescent="0.2">
      <c r="B43" s="685">
        <v>38</v>
      </c>
      <c r="C43" s="715" t="s">
        <v>2554</v>
      </c>
      <c r="D43" s="691" t="s">
        <v>2527</v>
      </c>
      <c r="I43" s="162"/>
    </row>
    <row r="44" spans="2:9" x14ac:dyDescent="0.2">
      <c r="B44" s="685">
        <v>39</v>
      </c>
      <c r="C44" s="715" t="s">
        <v>2497</v>
      </c>
      <c r="D44" s="691" t="s">
        <v>2547</v>
      </c>
    </row>
    <row r="45" spans="2:9" x14ac:dyDescent="0.2">
      <c r="B45" s="684">
        <v>40</v>
      </c>
      <c r="C45" s="715" t="s">
        <v>2546</v>
      </c>
      <c r="D45" s="691" t="s">
        <v>2527</v>
      </c>
    </row>
    <row r="46" spans="2:9" x14ac:dyDescent="0.2">
      <c r="B46" s="685">
        <v>41</v>
      </c>
      <c r="C46" s="715" t="s">
        <v>3219</v>
      </c>
      <c r="D46" s="691" t="s">
        <v>2527</v>
      </c>
    </row>
    <row r="47" spans="2:9" x14ac:dyDescent="0.2">
      <c r="B47" s="685">
        <v>42</v>
      </c>
      <c r="C47" s="715" t="s">
        <v>3220</v>
      </c>
      <c r="D47" s="691" t="s">
        <v>2527</v>
      </c>
    </row>
    <row r="48" spans="2:9" x14ac:dyDescent="0.2">
      <c r="B48" s="684">
        <v>43</v>
      </c>
      <c r="C48" s="715" t="s">
        <v>2555</v>
      </c>
      <c r="D48" s="495" t="s">
        <v>2524</v>
      </c>
    </row>
    <row r="49" spans="2:4" x14ac:dyDescent="0.2">
      <c r="B49" s="685">
        <v>44</v>
      </c>
      <c r="C49" s="715" t="s">
        <v>2556</v>
      </c>
      <c r="D49" s="691" t="s">
        <v>2548</v>
      </c>
    </row>
    <row r="50" spans="2:4" x14ac:dyDescent="0.2">
      <c r="B50" s="685">
        <v>45</v>
      </c>
      <c r="C50" s="715" t="s">
        <v>3217</v>
      </c>
      <c r="D50" s="495" t="s">
        <v>3216</v>
      </c>
    </row>
    <row r="51" spans="2:4" x14ac:dyDescent="0.2">
      <c r="B51" s="684">
        <v>46</v>
      </c>
      <c r="C51" s="715" t="s">
        <v>3218</v>
      </c>
      <c r="D51" s="495" t="s">
        <v>3216</v>
      </c>
    </row>
    <row r="52" spans="2:4" x14ac:dyDescent="0.2">
      <c r="B52" s="685">
        <v>47</v>
      </c>
      <c r="C52" s="715" t="s">
        <v>2528</v>
      </c>
      <c r="D52" s="495" t="s">
        <v>2512</v>
      </c>
    </row>
    <row r="53" spans="2:4" x14ac:dyDescent="0.2">
      <c r="B53" s="685">
        <v>48</v>
      </c>
      <c r="C53" s="715" t="s">
        <v>2529</v>
      </c>
      <c r="D53" s="691" t="s">
        <v>2512</v>
      </c>
    </row>
    <row r="54" spans="2:4" x14ac:dyDescent="0.2">
      <c r="B54" s="684">
        <v>49</v>
      </c>
      <c r="C54" s="715" t="s">
        <v>3221</v>
      </c>
      <c r="D54" s="495" t="s">
        <v>2523</v>
      </c>
    </row>
    <row r="55" spans="2:4" x14ac:dyDescent="0.2">
      <c r="B55" s="685">
        <v>50</v>
      </c>
      <c r="C55" s="715" t="s">
        <v>2528</v>
      </c>
      <c r="D55" s="495" t="s">
        <v>2523</v>
      </c>
    </row>
    <row r="56" spans="2:4" x14ac:dyDescent="0.2">
      <c r="B56" s="685">
        <v>51</v>
      </c>
      <c r="C56" s="715" t="s">
        <v>503</v>
      </c>
      <c r="D56" s="495" t="s">
        <v>2512</v>
      </c>
    </row>
    <row r="57" spans="2:4" x14ac:dyDescent="0.2">
      <c r="B57" s="684">
        <v>52</v>
      </c>
      <c r="C57" s="715" t="s">
        <v>3303</v>
      </c>
      <c r="D57" s="495" t="s">
        <v>2512</v>
      </c>
    </row>
    <row r="58" spans="2:4" x14ac:dyDescent="0.2">
      <c r="B58" s="685">
        <v>53</v>
      </c>
      <c r="C58" s="715" t="s">
        <v>3304</v>
      </c>
      <c r="D58" s="495" t="s">
        <v>2512</v>
      </c>
    </row>
    <row r="59" spans="2:4" x14ac:dyDescent="0.2">
      <c r="B59" s="685">
        <v>54</v>
      </c>
      <c r="C59" s="715" t="s">
        <v>2530</v>
      </c>
      <c r="D59" s="495" t="s">
        <v>2523</v>
      </c>
    </row>
    <row r="60" spans="2:4" x14ac:dyDescent="0.2">
      <c r="B60" s="684">
        <v>55</v>
      </c>
      <c r="C60" s="715" t="s">
        <v>2531</v>
      </c>
      <c r="D60" s="690" t="s">
        <v>2523</v>
      </c>
    </row>
    <row r="61" spans="2:4" x14ac:dyDescent="0.2">
      <c r="B61" s="685">
        <v>56</v>
      </c>
      <c r="C61" s="912" t="s">
        <v>3222</v>
      </c>
      <c r="D61" s="913" t="s">
        <v>2512</v>
      </c>
    </row>
  </sheetData>
  <mergeCells count="2">
    <mergeCell ref="B2:D2"/>
    <mergeCell ref="B3:D3"/>
  </mergeCells>
  <dataValidations count="1">
    <dataValidation type="list" allowBlank="1" showInputMessage="1" showErrorMessage="1" sqref="B3:D3" xr:uid="{00000000-0002-0000-0300-000000000000}">
      <formula1>"Mortgage,Magnus,Unsecured,Mortgage-Magnus,Mortgage-Unsecured,Magnus-Unsecured,Mortgage-Magnus-Unsecured"</formula1>
    </dataValidation>
  </dataValidations>
  <hyperlinks>
    <hyperlink ref="C6" location="'Business Profile'!A1" display="'Business Profile'!A1" xr:uid="{00000000-0004-0000-0300-000000000000}"/>
    <hyperlink ref="C7" location="'Associated Companies'!A1" display="'Associated Companies'!A1" xr:uid="{00000000-0004-0000-0300-000001000000}"/>
    <hyperlink ref="C11" location="'KYC'!A1" display="'KYC'!A1" xr:uid="{00000000-0004-0000-0300-000002000000}"/>
    <hyperlink ref="C12" location="'Crime'!A1" display="'Crime'!A1" xr:uid="{00000000-0004-0000-0300-000003000000}"/>
    <hyperlink ref="C13" location="'Google'!A1" display="'Google'!A1" xr:uid="{00000000-0004-0000-0300-000004000000}"/>
    <hyperlink ref="C14" location="'EPFO'!A1" display="'EPFO'!A1" xr:uid="{00000000-0004-0000-0300-000005000000}"/>
    <hyperlink ref="C15" location="'ESIC'!A1" display="'ESIC'!A1" xr:uid="{00000000-0004-0000-0300-000006000000}"/>
    <hyperlink ref="C16" location="'Truecaller'!A1" display="'Truecaller'!A1" xr:uid="{00000000-0004-0000-0300-000007000000}"/>
    <hyperlink ref="C17" location="'LEI'!A1" display="'LEI'!A1" xr:uid="{00000000-0004-0000-0300-000008000000}"/>
    <hyperlink ref="C18" location="'Observations'!A1" display="'Observations'!A1" xr:uid="{00000000-0004-0000-0300-000009000000}"/>
    <hyperlink ref="C19" location="'Borrower Details'!A1" display="'Borrower Details'!A1" xr:uid="{00000000-0004-0000-0300-00000A000000}"/>
    <hyperlink ref="C20" location="'Facility &amp; Collateral Details'!A1" display="'Facility &amp; Collateral Details'!A1" xr:uid="{00000000-0004-0000-0300-00000B000000}"/>
    <hyperlink ref="C21" location="'Multiple Banking'!A1" display="'Multiple Banking'!A1" xr:uid="{00000000-0004-0000-0300-00000C000000}"/>
    <hyperlink ref="C22" location="'Financials1'!A1" display="'Financials1'!A1" xr:uid="{00000000-0004-0000-0300-00000D000000}"/>
    <hyperlink ref="C23" location="'Financials2'!A1" display="'Financials2'!A1" xr:uid="{00000000-0004-0000-0300-00000E000000}"/>
    <hyperlink ref="C24" location="'Financials3'!A1" display="'Financials3'!A1" xr:uid="{00000000-0004-0000-0300-00000F000000}"/>
    <hyperlink ref="C25" location="'Financials_Consolidated'!A1" display="'Financials_Consolidated'!A1" xr:uid="{00000000-0004-0000-0300-000010000000}"/>
    <hyperlink ref="C26" location="'Fin Observation'!A1" display="'Fin Observation'!A1" xr:uid="{00000000-0004-0000-0300-000011000000}"/>
    <hyperlink ref="C27" location="'TeleVRs'!A1" display="'TeleVRs'!A1" xr:uid="{00000000-0004-0000-0300-000012000000}"/>
    <hyperlink ref="C28" location="'Professional Receipts'!A1" display="'Professional Receipts'!A1" xr:uid="{00000000-0004-0000-0300-000013000000}"/>
    <hyperlink ref="C29" location="'Industry Margins'!A1" display="'Industry Margins'!A1" xr:uid="{00000000-0004-0000-0300-000014000000}"/>
    <hyperlink ref="C30" location="'Gross Profit'!A1" display="'Gross Profit'!A1" xr:uid="{00000000-0004-0000-0300-000015000000}"/>
    <hyperlink ref="C31" location="'LRD'!A1" display="'LRD'!A1" xr:uid="{00000000-0004-0000-0300-000016000000}"/>
    <hyperlink ref="C32" location="'Eligibility_EBIDTA'!A1" display="'Eligibility_EBIDTA'!A1" xr:uid="{00000000-0004-0000-0300-000018000000}"/>
    <hyperlink ref="C33" location="'Eligibility_Margin'!A1" display="'Eligibility_Margin'!A1" xr:uid="{00000000-0004-0000-0300-000019000000}"/>
    <hyperlink ref="C34" location="'Cash Profit'!A1" display="'Cash Profit'!A1" xr:uid="{00000000-0004-0000-0300-00001A000000}"/>
    <hyperlink ref="C35" location="'Salaried'!A1" display="'Salaried'!A1" xr:uid="{00000000-0004-0000-0300-00001B000000}"/>
    <hyperlink ref="C36" location="'EMI Chart'!A1" display="'EMI Chart'!A1" xr:uid="{00000000-0004-0000-0300-00001C000000}"/>
    <hyperlink ref="C37" location="'Banking'!A1" display="'Banking'!A1" xr:uid="{00000000-0004-0000-0300-00001D000000}"/>
    <hyperlink ref="C38" location="'Credit analysis'!A1" display="'Credit analysis'!A1" xr:uid="{00000000-0004-0000-0300-00001E000000}"/>
    <hyperlink ref="C39" location="'Legal_Compliance_Certificate'!A1" display="'Legal_Compliance_Certificate'!A1" xr:uid="{00000000-0004-0000-0300-000020000000}"/>
    <hyperlink ref="C40" location="'Rating_Individual'!A1" display="'Rating_Individual'!A1" xr:uid="{00000000-0004-0000-0300-000021000000}"/>
    <hyperlink ref="C41" location="'Rating_NonIndividuals'!A1" display="'Rating_NonIndividuals'!A1" xr:uid="{00000000-0004-0000-0300-000022000000}"/>
    <hyperlink ref="C42" location="'Covenants'!A1" display="'Covenants'!A1" xr:uid="{00000000-0004-0000-0300-000023000000}"/>
    <hyperlink ref="C43" location="'CRM approval'!A1" display="'CRM approval'!A1" xr:uid="{00000000-0004-0000-0300-000024000000}"/>
    <hyperlink ref="C44" location="'HTN-LAP'!A1" display="'HTN-LAP'!A1" xr:uid="{00000000-0004-0000-0300-000025000000}"/>
    <hyperlink ref="C45" location="'CRM Rating'!A1" display="'CRM Rating'!A1" xr:uid="{00000000-0004-0000-0300-000026000000}"/>
    <hyperlink ref="C48" location="'High ticket norms and DBR'!A1" display="'High ticket norms and DBR'!A1" xr:uid="{00000000-0004-0000-0300-000027000000}"/>
    <hyperlink ref="C49" location="'Step down'!A1" display="'Step down'!A1" xr:uid="{00000000-0004-0000-0300-000028000000}"/>
    <hyperlink ref="C52" location="'MSE PSL Calculator'!A1" display="'MSE PSL Calculator'!A1" xr:uid="{00000000-0004-0000-0300-000029000000}"/>
    <hyperlink ref="C53" location="'App Calc'!A1" display="'App Calc'!A1" xr:uid="{00000000-0004-0000-0300-00002A000000}"/>
    <hyperlink ref="C56" location="'Control Checklist'!A1" display="'Control Checklist'!A1" xr:uid="{00000000-0004-0000-0300-00002B000000}"/>
    <hyperlink ref="C57" location="'PD - MSME'!A1" display="PD - MSME" xr:uid="{00000000-0004-0000-0300-00002C000000}"/>
    <hyperlink ref="C59" location="'End Use Calc'!A1" display="'End Use Calc'!A1" xr:uid="{00000000-0004-0000-0300-00002D000000}"/>
    <hyperlink ref="C60" location="'Site Visit'!A1" display="'Site Visit'!A1" xr:uid="{00000000-0004-0000-0300-00002E000000}"/>
    <hyperlink ref="C50" location="'CGTMSE Input'!A1" display="CGTMSE Input" xr:uid="{00000000-0004-0000-0300-00002F000000}"/>
    <hyperlink ref="C51" location="'CGTMSE OUtput Sheet'!A1" display="CGTMSE OUtput Sheet" xr:uid="{00000000-0004-0000-0300-000030000000}"/>
    <hyperlink ref="C46" location="'LC Eligibility'!A1" display="'LC Eligibility'!A1" xr:uid="{00000000-0004-0000-0300-000031000000}"/>
    <hyperlink ref="C47" location="'BG Eligibilty'!A1" display="'BG Eligibilty'!A1" xr:uid="{00000000-0004-0000-0300-000032000000}"/>
    <hyperlink ref="C54" location="'HL PSL Calculator'!A1" display="'HL PSL Calculator'!A1" xr:uid="{00000000-0004-0000-0300-000033000000}"/>
    <hyperlink ref="C55" location="'MSE PSL Calculator'!A1" display="'MSE PSL Calculator'!A1" xr:uid="{00000000-0004-0000-0300-000034000000}"/>
    <hyperlink ref="C61" location="'UD Fields'!A1" display="'UD Fields'!A1" xr:uid="{00000000-0004-0000-0300-000035000000}"/>
    <hyperlink ref="C10" location="'CA'!A1" display="'CA'!A1" xr:uid="{00000000-0004-0000-0300-000036000000}"/>
    <hyperlink ref="C8" location="ROC!A1" display="ROC" xr:uid="{00000000-0004-0000-0300-000037000000}"/>
    <hyperlink ref="C9" location="GST!A1" display="GST" xr:uid="{00000000-0004-0000-0300-000038000000}"/>
    <hyperlink ref="C58" location="'PD - Others'!A1" display="PD - Others" xr:uid="{499A4F32-4A02-476F-A957-D5D41017672C}"/>
  </hyperlinks>
  <pageMargins left="0.7" right="0.7" top="0.75" bottom="0.75" header="0.3" footer="0.3"/>
  <pageSetup paperSize="9" orientation="portrait" r:id="rId1"/>
  <headerFooter>
    <oddFooter>&amp;C&amp;1#&amp;"Calibri"&amp;10&amp;K000000 For internal use only</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4398-9058-4D0C-8C47-595D6CF42567}">
  <sheetPr codeName="Sheet67">
    <tabColor theme="3" tint="-0.499984740745262"/>
  </sheetPr>
  <dimension ref="B1:G23"/>
  <sheetViews>
    <sheetView showGridLines="0" tabSelected="1" workbookViewId="0">
      <selection activeCell="G11" sqref="G11"/>
    </sheetView>
  </sheetViews>
  <sheetFormatPr defaultRowHeight="15" x14ac:dyDescent="0.25"/>
  <cols>
    <col min="1" max="1" width="9.140625" style="1545"/>
    <col min="2" max="2" width="19.7109375" style="1545" bestFit="1" customWidth="1"/>
    <col min="3" max="3" width="26.140625" style="1545" bestFit="1" customWidth="1"/>
    <col min="4" max="4" width="27.140625" style="1545" customWidth="1"/>
    <col min="5" max="5" width="16.5703125" style="1545" customWidth="1"/>
    <col min="6" max="16384" width="9.140625" style="1545"/>
  </cols>
  <sheetData>
    <row r="1" spans="2:7" ht="15.75" thickBot="1" x14ac:dyDescent="0.3"/>
    <row r="2" spans="2:7" ht="15.75" thickBot="1" x14ac:dyDescent="0.3">
      <c r="B2" s="1688" t="s">
        <v>3603</v>
      </c>
      <c r="C2" s="1689"/>
      <c r="D2" s="1689"/>
      <c r="E2" s="1690"/>
    </row>
    <row r="3" spans="2:7" x14ac:dyDescent="0.25">
      <c r="B3" s="1546" t="s">
        <v>3604</v>
      </c>
      <c r="C3" s="1547" t="s">
        <v>3605</v>
      </c>
      <c r="D3" s="1547" t="s">
        <v>3606</v>
      </c>
      <c r="E3" s="1548" t="s">
        <v>3607</v>
      </c>
    </row>
    <row r="4" spans="2:7" x14ac:dyDescent="0.25">
      <c r="B4" s="1625" t="s">
        <v>1642</v>
      </c>
      <c r="C4" s="20" t="s">
        <v>3609</v>
      </c>
      <c r="D4" s="20" t="s">
        <v>1545</v>
      </c>
      <c r="E4" s="1606" t="s">
        <v>3608</v>
      </c>
      <c r="F4" s="181"/>
      <c r="G4" s="181"/>
    </row>
    <row r="5" spans="2:7" x14ac:dyDescent="0.25">
      <c r="B5" s="31"/>
      <c r="C5" s="20" t="s">
        <v>1660</v>
      </c>
      <c r="D5" s="20" t="s">
        <v>1340</v>
      </c>
      <c r="E5" s="1606" t="s">
        <v>3610</v>
      </c>
      <c r="F5" s="181"/>
      <c r="G5" s="181"/>
    </row>
    <row r="6" spans="2:7" x14ac:dyDescent="0.25">
      <c r="B6" s="31"/>
      <c r="C6" s="20" t="s">
        <v>3642</v>
      </c>
      <c r="D6" s="20" t="s">
        <v>1545</v>
      </c>
      <c r="E6" s="1606" t="s">
        <v>3608</v>
      </c>
      <c r="F6" s="181" t="s">
        <v>3648</v>
      </c>
      <c r="G6" s="181" t="s">
        <v>3649</v>
      </c>
    </row>
    <row r="7" spans="2:7" x14ac:dyDescent="0.25">
      <c r="B7" s="31" t="s">
        <v>2516</v>
      </c>
      <c r="C7" s="20" t="s">
        <v>3611</v>
      </c>
      <c r="D7" s="20" t="s">
        <v>1340</v>
      </c>
      <c r="E7" s="1606" t="s">
        <v>3260</v>
      </c>
      <c r="F7" s="181"/>
      <c r="G7" s="181"/>
    </row>
    <row r="8" spans="2:7" x14ac:dyDescent="0.25">
      <c r="B8" s="31" t="s">
        <v>2520</v>
      </c>
      <c r="C8" s="20" t="s">
        <v>3612</v>
      </c>
      <c r="D8" s="20" t="s">
        <v>1340</v>
      </c>
      <c r="E8" s="1606" t="s">
        <v>3610</v>
      </c>
      <c r="F8" s="181"/>
      <c r="G8" s="181"/>
    </row>
    <row r="9" spans="2:7" x14ac:dyDescent="0.25">
      <c r="B9" s="31" t="s">
        <v>2542</v>
      </c>
      <c r="C9" s="20" t="s">
        <v>3613</v>
      </c>
      <c r="D9" s="20" t="s">
        <v>1545</v>
      </c>
      <c r="E9" s="1606" t="s">
        <v>3608</v>
      </c>
      <c r="F9" s="181"/>
      <c r="G9" s="181"/>
    </row>
    <row r="10" spans="2:7" x14ac:dyDescent="0.25">
      <c r="B10" s="31" t="s">
        <v>2519</v>
      </c>
      <c r="C10" s="20" t="s">
        <v>3614</v>
      </c>
      <c r="D10" s="20" t="s">
        <v>1545</v>
      </c>
      <c r="E10" s="1606" t="s">
        <v>3608</v>
      </c>
      <c r="F10" s="181"/>
      <c r="G10" s="181"/>
    </row>
    <row r="11" spans="2:7" x14ac:dyDescent="0.25">
      <c r="B11" s="31" t="s">
        <v>3650</v>
      </c>
      <c r="C11" s="20" t="s">
        <v>1307</v>
      </c>
      <c r="D11" s="20" t="s">
        <v>1340</v>
      </c>
      <c r="E11" s="1606" t="s">
        <v>3610</v>
      </c>
      <c r="F11" s="181"/>
      <c r="G11" s="181"/>
    </row>
    <row r="12" spans="2:7" x14ac:dyDescent="0.25">
      <c r="B12" s="31"/>
      <c r="C12" s="20" t="s">
        <v>1808</v>
      </c>
      <c r="D12" s="20" t="s">
        <v>1340</v>
      </c>
      <c r="E12" s="1606" t="s">
        <v>3610</v>
      </c>
      <c r="F12" s="181"/>
      <c r="G12" s="181"/>
    </row>
    <row r="13" spans="2:7" x14ac:dyDescent="0.25">
      <c r="B13" s="31"/>
      <c r="C13" s="20" t="s">
        <v>1809</v>
      </c>
      <c r="D13" s="20" t="s">
        <v>1340</v>
      </c>
      <c r="E13" s="1606" t="s">
        <v>3610</v>
      </c>
      <c r="F13" s="181"/>
      <c r="G13" s="181"/>
    </row>
    <row r="14" spans="2:7" x14ac:dyDescent="0.25">
      <c r="B14" s="1607" t="s">
        <v>3651</v>
      </c>
      <c r="C14" s="1608" t="s">
        <v>3652</v>
      </c>
      <c r="D14" s="20" t="s">
        <v>1340</v>
      </c>
      <c r="E14" s="1609" t="s">
        <v>3610</v>
      </c>
      <c r="F14" s="181"/>
      <c r="G14" s="181"/>
    </row>
    <row r="15" spans="2:7" x14ac:dyDescent="0.25">
      <c r="B15" s="1607"/>
      <c r="C15" s="1608" t="s">
        <v>3643</v>
      </c>
      <c r="D15" s="20" t="s">
        <v>1340</v>
      </c>
      <c r="E15" s="1609" t="s">
        <v>3610</v>
      </c>
      <c r="F15" s="181"/>
      <c r="G15" s="181"/>
    </row>
    <row r="16" spans="2:7" x14ac:dyDescent="0.25">
      <c r="B16" s="1622"/>
      <c r="C16" s="1623" t="s">
        <v>3653</v>
      </c>
      <c r="D16" s="1623" t="s">
        <v>1340</v>
      </c>
      <c r="E16" s="1624" t="s">
        <v>3610</v>
      </c>
      <c r="F16" s="181"/>
      <c r="G16" s="181"/>
    </row>
    <row r="17" spans="2:7" x14ac:dyDescent="0.25">
      <c r="B17" s="31"/>
      <c r="C17" s="20" t="s">
        <v>3644</v>
      </c>
      <c r="D17" s="20" t="s">
        <v>1340</v>
      </c>
      <c r="E17" s="1606" t="s">
        <v>3610</v>
      </c>
      <c r="F17" s="181"/>
      <c r="G17" s="181"/>
    </row>
    <row r="18" spans="2:7" x14ac:dyDescent="0.25">
      <c r="B18" s="31"/>
      <c r="C18" s="20" t="s">
        <v>3654</v>
      </c>
      <c r="D18" s="20" t="s">
        <v>1340</v>
      </c>
      <c r="E18" s="1606" t="s">
        <v>3260</v>
      </c>
      <c r="F18" s="181"/>
      <c r="G18" s="181"/>
    </row>
    <row r="19" spans="2:7" x14ac:dyDescent="0.25">
      <c r="B19" s="31"/>
      <c r="C19" s="20" t="s">
        <v>3655</v>
      </c>
      <c r="D19" s="20" t="s">
        <v>1340</v>
      </c>
      <c r="E19" s="1606" t="s">
        <v>3260</v>
      </c>
      <c r="F19" s="181"/>
      <c r="G19" s="181"/>
    </row>
    <row r="20" spans="2:7" x14ac:dyDescent="0.25">
      <c r="B20" s="31"/>
      <c r="C20" s="20" t="s">
        <v>3656</v>
      </c>
      <c r="D20" s="20" t="s">
        <v>1340</v>
      </c>
      <c r="E20" s="1606" t="s">
        <v>3260</v>
      </c>
      <c r="F20" s="181"/>
      <c r="G20" s="181"/>
    </row>
    <row r="21" spans="2:7" x14ac:dyDescent="0.25">
      <c r="B21" s="31"/>
      <c r="C21" s="20" t="s">
        <v>3657</v>
      </c>
      <c r="D21" s="20" t="s">
        <v>1340</v>
      </c>
      <c r="E21" s="1606" t="s">
        <v>3610</v>
      </c>
      <c r="F21" s="181"/>
      <c r="G21" s="181"/>
    </row>
    <row r="22" spans="2:7" x14ac:dyDescent="0.25">
      <c r="B22" s="1607"/>
      <c r="C22" s="1608" t="s">
        <v>299</v>
      </c>
      <c r="D22" s="1608" t="s">
        <v>1340</v>
      </c>
      <c r="E22" s="1606" t="s">
        <v>3610</v>
      </c>
      <c r="F22" s="181"/>
      <c r="G22" s="181"/>
    </row>
    <row r="23" spans="2:7" ht="15.75" thickBot="1" x14ac:dyDescent="0.3">
      <c r="B23" s="541"/>
      <c r="C23" s="542" t="s">
        <v>3658</v>
      </c>
      <c r="D23" s="542" t="s">
        <v>1340</v>
      </c>
      <c r="E23" s="1606" t="s">
        <v>3260</v>
      </c>
      <c r="F23" s="181"/>
      <c r="G23" s="181"/>
    </row>
  </sheetData>
  <mergeCells count="1">
    <mergeCell ref="B2:E2"/>
  </mergeCells>
  <conditionalFormatting sqref="E15:E20 E7:E13">
    <cfRule type="cellIs" dxfId="354" priority="7" operator="equal">
      <formula>"Medium Risk"</formula>
    </cfRule>
    <cfRule type="cellIs" dxfId="353" priority="8" operator="equal">
      <formula>"Low Risk"</formula>
    </cfRule>
    <cfRule type="cellIs" dxfId="352" priority="9" operator="equal">
      <formula>"High Risk"</formula>
    </cfRule>
  </conditionalFormatting>
  <conditionalFormatting sqref="E21:E22">
    <cfRule type="cellIs" dxfId="351" priority="4" operator="equal">
      <formula>"Medium Risk"</formula>
    </cfRule>
    <cfRule type="cellIs" dxfId="350" priority="5" operator="equal">
      <formula>"Low Risk"</formula>
    </cfRule>
    <cfRule type="cellIs" dxfId="349" priority="6" operator="equal">
      <formula>"High Risk"</formula>
    </cfRule>
  </conditionalFormatting>
  <conditionalFormatting sqref="E23">
    <cfRule type="cellIs" dxfId="348" priority="1" operator="equal">
      <formula>"Medium Risk"</formula>
    </cfRule>
    <cfRule type="cellIs" dxfId="347" priority="2" operator="equal">
      <formula>"Low Risk"</formula>
    </cfRule>
    <cfRule type="cellIs" dxfId="346" priority="3" operator="equal">
      <formula>"High Risk"</formula>
    </cfRule>
  </conditionalFormatting>
  <conditionalFormatting sqref="E4">
    <cfRule type="cellIs" dxfId="345" priority="13" operator="equal">
      <formula>"Medium Risk"</formula>
    </cfRule>
    <cfRule type="cellIs" dxfId="344" priority="14" operator="equal">
      <formula>"Low Risk"</formula>
    </cfRule>
    <cfRule type="cellIs" dxfId="343" priority="15" operator="equal">
      <formula>"High Risk"</formula>
    </cfRule>
  </conditionalFormatting>
  <conditionalFormatting sqref="E6">
    <cfRule type="cellIs" dxfId="342" priority="10" operator="equal">
      <formula>"Medium Risk"</formula>
    </cfRule>
    <cfRule type="cellIs" dxfId="341" priority="11" operator="equal">
      <formula>"Low Risk"</formula>
    </cfRule>
    <cfRule type="cellIs" dxfId="340" priority="12" operator="equal">
      <formula>"High Risk"</formula>
    </cfRule>
  </conditionalFormatting>
  <conditionalFormatting sqref="E5">
    <cfRule type="cellIs" dxfId="339" priority="19" operator="equal">
      <formula>"Medium Risk"</formula>
    </cfRule>
    <cfRule type="cellIs" dxfId="338" priority="20" operator="equal">
      <formula>"Low Risk"</formula>
    </cfRule>
    <cfRule type="cellIs" dxfId="337" priority="21" operator="equal">
      <formula>"High Risk"</formula>
    </cfRule>
  </conditionalFormatting>
  <conditionalFormatting sqref="E14">
    <cfRule type="cellIs" dxfId="336" priority="16" operator="equal">
      <formula>"Medium Risk"</formula>
    </cfRule>
    <cfRule type="cellIs" dxfId="335" priority="17" operator="equal">
      <formula>"Low Risk"</formula>
    </cfRule>
    <cfRule type="cellIs" dxfId="334" priority="18" operator="equal">
      <formula>"High Risk"</formula>
    </cfRule>
  </conditionalFormatting>
  <dataValidations count="1">
    <dataValidation type="list" allowBlank="1" showInputMessage="1" showErrorMessage="1" sqref="E4:E39" xr:uid="{26E422E1-7794-495F-84EF-10B0D91BD253}">
      <formula1>"Low Risk, Medium Risk, High Risk"</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2">
    <tabColor theme="3" tint="-0.499984740745262"/>
    <pageSetUpPr fitToPage="1"/>
  </sheetPr>
  <dimension ref="A1:H26"/>
  <sheetViews>
    <sheetView showGridLines="0" zoomScaleNormal="100" workbookViewId="0">
      <selection activeCell="B10" sqref="B10:C10"/>
    </sheetView>
  </sheetViews>
  <sheetFormatPr defaultColWidth="9.140625" defaultRowHeight="14.25" outlineLevelRow="1" x14ac:dyDescent="0.2"/>
  <cols>
    <col min="1" max="1" width="3" style="239" customWidth="1"/>
    <col min="2" max="2" width="4.7109375" style="239" customWidth="1"/>
    <col min="3" max="3" width="22.7109375" style="239" customWidth="1"/>
    <col min="4" max="5" width="11.7109375" style="239" customWidth="1"/>
    <col min="6" max="6" width="26.7109375" style="239" customWidth="1"/>
    <col min="7" max="8" width="11.7109375" style="239" customWidth="1"/>
    <col min="9" max="11" width="9.140625" style="239" customWidth="1"/>
    <col min="12" max="16384" width="9.140625" style="239"/>
  </cols>
  <sheetData>
    <row r="1" spans="1:8" ht="15" thickBot="1" x14ac:dyDescent="0.25">
      <c r="B1" s="240"/>
      <c r="C1" s="240"/>
      <c r="D1" s="240"/>
      <c r="E1" s="240"/>
      <c r="F1" s="241"/>
      <c r="G1" s="241"/>
      <c r="H1" s="241"/>
    </row>
    <row r="2" spans="1:8" ht="21.75" customHeight="1" thickBot="1" x14ac:dyDescent="0.25">
      <c r="A2" s="242"/>
      <c r="B2" s="1691" t="s">
        <v>1642</v>
      </c>
      <c r="C2" s="1692"/>
      <c r="D2" s="1692"/>
      <c r="E2" s="1692"/>
      <c r="F2" s="1692"/>
      <c r="G2" s="1692"/>
      <c r="H2" s="1693"/>
    </row>
    <row r="3" spans="1:8" ht="15.75" customHeight="1" x14ac:dyDescent="0.2">
      <c r="A3" s="242"/>
      <c r="B3" s="1694" t="s">
        <v>1643</v>
      </c>
      <c r="C3" s="1695"/>
      <c r="D3" s="1696" t="s">
        <v>3478</v>
      </c>
      <c r="E3" s="1697"/>
      <c r="F3" s="433" t="s">
        <v>2552</v>
      </c>
      <c r="G3" s="1696">
        <v>1227516</v>
      </c>
      <c r="H3" s="1698"/>
    </row>
    <row r="4" spans="1:8" ht="15" customHeight="1" x14ac:dyDescent="0.2">
      <c r="A4" s="242"/>
      <c r="B4" s="1699" t="s">
        <v>1644</v>
      </c>
      <c r="C4" s="1700"/>
      <c r="D4" s="1701" t="s">
        <v>3477</v>
      </c>
      <c r="E4" s="1701"/>
      <c r="F4" s="1701"/>
      <c r="G4" s="1701"/>
      <c r="H4" s="1702"/>
    </row>
    <row r="5" spans="1:8" ht="15" customHeight="1" outlineLevel="1" x14ac:dyDescent="0.2">
      <c r="A5" s="242"/>
      <c r="B5" s="1699" t="s">
        <v>1645</v>
      </c>
      <c r="C5" s="1700"/>
      <c r="D5" s="1701" t="s">
        <v>3477</v>
      </c>
      <c r="E5" s="1701"/>
      <c r="F5" s="1701"/>
      <c r="G5" s="1701"/>
      <c r="H5" s="1702"/>
    </row>
    <row r="6" spans="1:8" ht="15" customHeight="1" outlineLevel="1" x14ac:dyDescent="0.2">
      <c r="A6" s="242"/>
      <c r="B6" s="1699" t="s">
        <v>1646</v>
      </c>
      <c r="C6" s="1700"/>
      <c r="D6" s="1701" t="s">
        <v>3477</v>
      </c>
      <c r="E6" s="1701"/>
      <c r="F6" s="1701"/>
      <c r="G6" s="1701"/>
      <c r="H6" s="1702"/>
    </row>
    <row r="7" spans="1:8" ht="15" customHeight="1" outlineLevel="1" x14ac:dyDescent="0.2">
      <c r="A7" s="242"/>
      <c r="B7" s="1699" t="s">
        <v>1647</v>
      </c>
      <c r="C7" s="1700"/>
      <c r="D7" s="1703" t="s">
        <v>3466</v>
      </c>
      <c r="E7" s="1704"/>
      <c r="F7" s="434" t="s">
        <v>1330</v>
      </c>
      <c r="G7" s="1705">
        <v>44408.416828703703</v>
      </c>
      <c r="H7" s="1706"/>
    </row>
    <row r="8" spans="1:8" ht="15" customHeight="1" outlineLevel="1" x14ac:dyDescent="0.2">
      <c r="A8" s="242"/>
      <c r="B8" s="1699" t="s">
        <v>1648</v>
      </c>
      <c r="C8" s="1700"/>
      <c r="D8" s="1707" t="str">
        <f>GST!E3</f>
        <v>19AAFFA3584J1Z6</v>
      </c>
      <c r="E8" s="1708"/>
      <c r="F8" s="434" t="s">
        <v>1336</v>
      </c>
      <c r="G8" s="1707" t="str">
        <f>GST!E8</f>
        <v>Active</v>
      </c>
      <c r="H8" s="1709"/>
    </row>
    <row r="9" spans="1:8" ht="15" customHeight="1" x14ac:dyDescent="0.2">
      <c r="A9" s="242"/>
      <c r="B9" s="1699" t="s">
        <v>1649</v>
      </c>
      <c r="C9" s="1700"/>
      <c r="D9" s="1710">
        <v>31840</v>
      </c>
      <c r="E9" s="1710"/>
      <c r="F9" s="434" t="s">
        <v>1650</v>
      </c>
      <c r="G9" s="1711" t="str">
        <f ca="1">IF(D9&lt;&gt;"",DATEDIF(D9,TODAY(),"Y")&amp;" Years","")</f>
        <v>34 Years</v>
      </c>
      <c r="H9" s="1712"/>
    </row>
    <row r="10" spans="1:8" ht="14.25" customHeight="1" x14ac:dyDescent="0.2">
      <c r="A10" s="242"/>
      <c r="B10" s="1699" t="s">
        <v>802</v>
      </c>
      <c r="C10" s="1700"/>
      <c r="D10" s="1719" t="s">
        <v>1795</v>
      </c>
      <c r="E10" s="1720"/>
      <c r="F10" s="434" t="s">
        <v>194</v>
      </c>
      <c r="G10" s="1719" t="s">
        <v>3249</v>
      </c>
      <c r="H10" s="1721"/>
    </row>
    <row r="11" spans="1:8" ht="14.25" customHeight="1" x14ac:dyDescent="0.2">
      <c r="A11" s="242"/>
      <c r="B11" s="1699" t="s">
        <v>0</v>
      </c>
      <c r="C11" s="1700"/>
      <c r="D11" s="1719" t="s">
        <v>115</v>
      </c>
      <c r="E11" s="1720"/>
      <c r="F11" s="434" t="s">
        <v>47</v>
      </c>
      <c r="G11" s="1719" t="s">
        <v>1340</v>
      </c>
      <c r="H11" s="1721"/>
    </row>
    <row r="12" spans="1:8" ht="15" customHeight="1" outlineLevel="1" x14ac:dyDescent="0.2">
      <c r="A12" s="242"/>
      <c r="B12" s="1699" t="s">
        <v>1651</v>
      </c>
      <c r="C12" s="1700"/>
      <c r="D12" s="1722" t="str">
        <f>ROC!E3</f>
        <v>NA</v>
      </c>
      <c r="E12" s="1722"/>
      <c r="F12" s="434" t="s">
        <v>1336</v>
      </c>
      <c r="G12" s="1722" t="str">
        <f>ROC!E22</f>
        <v>NA</v>
      </c>
      <c r="H12" s="1723"/>
    </row>
    <row r="13" spans="1:8" ht="15" customHeight="1" outlineLevel="1" x14ac:dyDescent="0.2">
      <c r="A13" s="242"/>
      <c r="B13" s="1699" t="s">
        <v>1652</v>
      </c>
      <c r="C13" s="1700"/>
      <c r="D13" s="1713" t="str">
        <f>ROC!E10</f>
        <v>NA</v>
      </c>
      <c r="E13" s="1714"/>
      <c r="F13" s="437" t="s">
        <v>18</v>
      </c>
      <c r="G13" s="1714" t="str">
        <f>ROC!E11</f>
        <v>NA</v>
      </c>
      <c r="H13" s="1715"/>
    </row>
    <row r="14" spans="1:8" ht="31.5" customHeight="1" outlineLevel="1" x14ac:dyDescent="0.2">
      <c r="A14" s="242"/>
      <c r="B14" s="1699" t="s">
        <v>141</v>
      </c>
      <c r="C14" s="1700"/>
      <c r="D14" s="1716" t="s">
        <v>3572</v>
      </c>
      <c r="E14" s="1717"/>
      <c r="F14" s="1717"/>
      <c r="G14" s="1717"/>
      <c r="H14" s="1718"/>
    </row>
    <row r="15" spans="1:8" ht="15" customHeight="1" outlineLevel="1" x14ac:dyDescent="0.2">
      <c r="A15" s="242"/>
      <c r="B15" s="1699" t="s">
        <v>1653</v>
      </c>
      <c r="C15" s="1700"/>
      <c r="D15" s="1731" t="s">
        <v>3476</v>
      </c>
      <c r="E15" s="1732"/>
      <c r="F15" s="1732"/>
      <c r="G15" s="1732"/>
      <c r="H15" s="1733"/>
    </row>
    <row r="16" spans="1:8" ht="15" customHeight="1" outlineLevel="1" x14ac:dyDescent="0.2">
      <c r="A16" s="242"/>
      <c r="B16" s="1699" t="s">
        <v>1654</v>
      </c>
      <c r="C16" s="1700"/>
      <c r="D16" s="1731" t="s">
        <v>3476</v>
      </c>
      <c r="E16" s="1732"/>
      <c r="F16" s="1732"/>
      <c r="G16" s="1732"/>
      <c r="H16" s="1733"/>
    </row>
    <row r="17" spans="1:8" ht="128.25" customHeight="1" x14ac:dyDescent="0.2">
      <c r="A17" s="242"/>
      <c r="B17" s="1699" t="s">
        <v>1655</v>
      </c>
      <c r="C17" s="1700"/>
      <c r="D17" s="1724" t="s">
        <v>3473</v>
      </c>
      <c r="E17" s="1724"/>
      <c r="F17" s="1724"/>
      <c r="G17" s="1724"/>
      <c r="H17" s="1725"/>
    </row>
    <row r="18" spans="1:8" ht="15" customHeight="1" x14ac:dyDescent="0.2">
      <c r="A18" s="242"/>
      <c r="B18" s="1699" t="s">
        <v>1656</v>
      </c>
      <c r="C18" s="1700"/>
      <c r="D18" s="1734" t="s">
        <v>3475</v>
      </c>
      <c r="E18" s="1735"/>
      <c r="F18" s="1735"/>
      <c r="G18" s="1735"/>
      <c r="H18" s="1736"/>
    </row>
    <row r="19" spans="1:8" ht="90.75" customHeight="1" x14ac:dyDescent="0.2">
      <c r="A19" s="242"/>
      <c r="B19" s="1699" t="s">
        <v>1657</v>
      </c>
      <c r="C19" s="1700"/>
      <c r="D19" s="1724" t="s">
        <v>609</v>
      </c>
      <c r="E19" s="1724"/>
      <c r="F19" s="1724"/>
      <c r="G19" s="1724"/>
      <c r="H19" s="1725"/>
    </row>
    <row r="20" spans="1:8" ht="15.75" customHeight="1" thickBot="1" x14ac:dyDescent="0.25">
      <c r="A20" s="242"/>
      <c r="B20" s="1726" t="s">
        <v>1658</v>
      </c>
      <c r="C20" s="1727"/>
      <c r="D20" s="1728" t="s">
        <v>3474</v>
      </c>
      <c r="E20" s="1729"/>
      <c r="F20" s="1729"/>
      <c r="G20" s="1729"/>
      <c r="H20" s="1730"/>
    </row>
    <row r="21" spans="1:8" ht="15" outlineLevel="1" collapsed="1" x14ac:dyDescent="0.2">
      <c r="A21" s="242"/>
      <c r="B21" s="1742" t="s">
        <v>1660</v>
      </c>
      <c r="C21" s="1743"/>
      <c r="D21" s="1743"/>
      <c r="E21" s="1743"/>
      <c r="F21" s="1743"/>
      <c r="G21" s="1743"/>
      <c r="H21" s="1744"/>
    </row>
    <row r="22" spans="1:8" ht="15" customHeight="1" outlineLevel="1" x14ac:dyDescent="0.2">
      <c r="A22" s="242"/>
      <c r="B22" s="1699" t="s">
        <v>1661</v>
      </c>
      <c r="C22" s="1700"/>
      <c r="D22" s="1745"/>
      <c r="E22" s="1745"/>
      <c r="F22" s="434" t="s">
        <v>1662</v>
      </c>
      <c r="G22" s="1746"/>
      <c r="H22" s="1747"/>
    </row>
    <row r="23" spans="1:8" ht="15" customHeight="1" outlineLevel="1" x14ac:dyDescent="0.2">
      <c r="A23" s="242"/>
      <c r="B23" s="1699" t="s">
        <v>1663</v>
      </c>
      <c r="C23" s="1700"/>
      <c r="D23" s="1745"/>
      <c r="E23" s="1745"/>
      <c r="F23" s="434" t="s">
        <v>1664</v>
      </c>
      <c r="G23" s="1745"/>
      <c r="H23" s="1747"/>
    </row>
    <row r="24" spans="1:8" ht="102.75" customHeight="1" outlineLevel="1" x14ac:dyDescent="0.2">
      <c r="A24" s="242"/>
      <c r="B24" s="1699" t="s">
        <v>1665</v>
      </c>
      <c r="C24" s="1700"/>
      <c r="D24" s="1737" t="s">
        <v>609</v>
      </c>
      <c r="E24" s="1737"/>
      <c r="F24" s="1737"/>
      <c r="G24" s="1737"/>
      <c r="H24" s="1738"/>
    </row>
    <row r="25" spans="1:8" ht="15.75" customHeight="1" outlineLevel="1" thickBot="1" x14ac:dyDescent="0.25">
      <c r="A25" s="242"/>
      <c r="B25" s="1726" t="s">
        <v>1658</v>
      </c>
      <c r="C25" s="1727"/>
      <c r="D25" s="1739"/>
      <c r="E25" s="1740"/>
      <c r="F25" s="1740"/>
      <c r="G25" s="1740"/>
      <c r="H25" s="1741"/>
    </row>
    <row r="26" spans="1:8" x14ac:dyDescent="0.2">
      <c r="B26" s="240"/>
      <c r="C26" s="240"/>
      <c r="D26" s="240"/>
      <c r="E26" s="240"/>
      <c r="F26" s="240"/>
      <c r="G26" s="243"/>
      <c r="H26" s="243"/>
    </row>
  </sheetData>
  <mergeCells count="56">
    <mergeCell ref="B24:C24"/>
    <mergeCell ref="D24:H24"/>
    <mergeCell ref="B25:C25"/>
    <mergeCell ref="D25:H25"/>
    <mergeCell ref="B21:H21"/>
    <mergeCell ref="B22:C22"/>
    <mergeCell ref="D22:E22"/>
    <mergeCell ref="G22:H22"/>
    <mergeCell ref="B23:C23"/>
    <mergeCell ref="D23:E23"/>
    <mergeCell ref="G23:H23"/>
    <mergeCell ref="B19:C19"/>
    <mergeCell ref="D19:H19"/>
    <mergeCell ref="B20:C20"/>
    <mergeCell ref="D20:H20"/>
    <mergeCell ref="B15:C15"/>
    <mergeCell ref="D15:H15"/>
    <mergeCell ref="B16:C16"/>
    <mergeCell ref="D16:H16"/>
    <mergeCell ref="B17:C17"/>
    <mergeCell ref="D17:H17"/>
    <mergeCell ref="B18:C18"/>
    <mergeCell ref="D18:H18"/>
    <mergeCell ref="B10:C10"/>
    <mergeCell ref="D10:E10"/>
    <mergeCell ref="G10:H10"/>
    <mergeCell ref="B12:C12"/>
    <mergeCell ref="D12:E12"/>
    <mergeCell ref="G12:H12"/>
    <mergeCell ref="B11:C11"/>
    <mergeCell ref="D11:E11"/>
    <mergeCell ref="G11:H11"/>
    <mergeCell ref="B13:C13"/>
    <mergeCell ref="D13:E13"/>
    <mergeCell ref="G13:H13"/>
    <mergeCell ref="B14:C14"/>
    <mergeCell ref="D14:H14"/>
    <mergeCell ref="B8:C8"/>
    <mergeCell ref="D8:E8"/>
    <mergeCell ref="G8:H8"/>
    <mergeCell ref="B9:C9"/>
    <mergeCell ref="D9:E9"/>
    <mergeCell ref="G9:H9"/>
    <mergeCell ref="B5:C5"/>
    <mergeCell ref="B6:C6"/>
    <mergeCell ref="B7:C7"/>
    <mergeCell ref="D7:E7"/>
    <mergeCell ref="G7:H7"/>
    <mergeCell ref="D5:H5"/>
    <mergeCell ref="D6:H6"/>
    <mergeCell ref="B2:H2"/>
    <mergeCell ref="B3:C3"/>
    <mergeCell ref="D3:E3"/>
    <mergeCell ref="G3:H3"/>
    <mergeCell ref="B4:C4"/>
    <mergeCell ref="D4:H4"/>
  </mergeCells>
  <dataValidations count="4">
    <dataValidation type="list" allowBlank="1" showInputMessage="1" showErrorMessage="1" sqref="D10:E10" xr:uid="{00000000-0002-0000-0400-000000000000}">
      <formula1>Constitution</formula1>
    </dataValidation>
    <dataValidation type="list" allowBlank="1" showInputMessage="1" showErrorMessage="1" sqref="G10:H10" xr:uid="{00000000-0002-0000-0400-000001000000}">
      <formula1>"Manufacturing,Trading,Service"</formula1>
    </dataValidation>
    <dataValidation type="list" allowBlank="1" showInputMessage="1" showErrorMessage="1" sqref="D11:E11" xr:uid="{00000000-0002-0000-0400-000002000000}">
      <formula1>Sector</formula1>
    </dataValidation>
    <dataValidation type="list" allowBlank="1" showInputMessage="1" showErrorMessage="1" sqref="G11:H11" xr:uid="{00000000-0002-0000-0400-000003000000}">
      <formula1>"Yes,No"</formula1>
    </dataValidation>
  </dataValidations>
  <hyperlinks>
    <hyperlink ref="D20" r:id="rId1" xr:uid="{9B5C36CE-FA5B-44E5-9918-90550CFF6897}"/>
    <hyperlink ref="D18" r:id="rId2" xr:uid="{BFBC25E2-B0C4-429B-BA33-23D357E48621}"/>
  </hyperlinks>
  <pageMargins left="0.25" right="0.25" top="0.75" bottom="0.75" header="0.3" footer="0.3"/>
  <pageSetup paperSize="9" scale="84" orientation="portrait" r:id="rId3"/>
  <headerFooter>
    <oddFooter>&amp;C&amp;"Calibri"&amp;11&amp;K000000&amp;G_x000D_&amp;1#&amp;"Calibri"&amp;10&amp;K000000 For internal use only</oddFooter>
  </headerFooter>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tabColor theme="3" tint="-0.499984740745262"/>
  </sheetPr>
  <dimension ref="B1:D13"/>
  <sheetViews>
    <sheetView showGridLines="0" workbookViewId="0">
      <selection activeCell="E4" sqref="E4:G4"/>
    </sheetView>
  </sheetViews>
  <sheetFormatPr defaultColWidth="9.140625" defaultRowHeight="12.75" x14ac:dyDescent="0.2"/>
  <cols>
    <col min="1" max="1" width="2.7109375" style="162" customWidth="1"/>
    <col min="2" max="2" width="20" style="162" customWidth="1"/>
    <col min="3" max="3" width="42.85546875" style="162" customWidth="1"/>
    <col min="4" max="4" width="14.85546875" style="162" bestFit="1" customWidth="1"/>
    <col min="5" max="16384" width="9.140625" style="162"/>
  </cols>
  <sheetData>
    <row r="1" spans="2:4" ht="13.5" thickBot="1" x14ac:dyDescent="0.25"/>
    <row r="2" spans="2:4" ht="15" x14ac:dyDescent="0.2">
      <c r="B2" s="1748" t="s">
        <v>2046</v>
      </c>
      <c r="C2" s="1749"/>
      <c r="D2" s="1750"/>
    </row>
    <row r="3" spans="2:4" x14ac:dyDescent="0.2">
      <c r="B3" s="666" t="s">
        <v>2</v>
      </c>
      <c r="C3" s="667" t="s">
        <v>2047</v>
      </c>
      <c r="D3" s="667" t="s">
        <v>1658</v>
      </c>
    </row>
    <row r="4" spans="2:4" x14ac:dyDescent="0.2">
      <c r="B4" s="438"/>
      <c r="C4" s="439" t="s">
        <v>3476</v>
      </c>
      <c r="D4" s="391"/>
    </row>
    <row r="5" spans="2:4" x14ac:dyDescent="0.2">
      <c r="B5" s="438"/>
      <c r="C5" s="439"/>
      <c r="D5" s="391"/>
    </row>
    <row r="6" spans="2:4" x14ac:dyDescent="0.2">
      <c r="B6" s="438"/>
      <c r="C6" s="439"/>
      <c r="D6" s="391"/>
    </row>
    <row r="7" spans="2:4" x14ac:dyDescent="0.2">
      <c r="B7" s="438"/>
      <c r="C7" s="439"/>
      <c r="D7" s="391"/>
    </row>
    <row r="8" spans="2:4" x14ac:dyDescent="0.2">
      <c r="B8" s="438"/>
      <c r="C8" s="439"/>
      <c r="D8" s="391"/>
    </row>
    <row r="9" spans="2:4" x14ac:dyDescent="0.2">
      <c r="B9" s="438"/>
      <c r="C9" s="439"/>
      <c r="D9" s="391"/>
    </row>
    <row r="10" spans="2:4" x14ac:dyDescent="0.2">
      <c r="B10" s="438"/>
      <c r="C10" s="439"/>
      <c r="D10" s="391"/>
    </row>
    <row r="11" spans="2:4" x14ac:dyDescent="0.2">
      <c r="B11" s="438"/>
      <c r="C11" s="439"/>
      <c r="D11" s="391"/>
    </row>
    <row r="12" spans="2:4" x14ac:dyDescent="0.2">
      <c r="B12" s="438"/>
      <c r="C12" s="382"/>
      <c r="D12" s="391"/>
    </row>
    <row r="13" spans="2:4" ht="13.5" thickBot="1" x14ac:dyDescent="0.25">
      <c r="B13" s="440"/>
      <c r="C13" s="441"/>
      <c r="D13" s="392"/>
    </row>
  </sheetData>
  <mergeCells count="1">
    <mergeCell ref="B2:D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tabColor theme="3" tint="-0.499984740745262"/>
    <pageSetUpPr fitToPage="1"/>
  </sheetPr>
  <dimension ref="B1:J38"/>
  <sheetViews>
    <sheetView showRowColHeaders="0" topLeftCell="D1" workbookViewId="0">
      <selection activeCell="E4" sqref="E4:G4"/>
    </sheetView>
  </sheetViews>
  <sheetFormatPr defaultColWidth="9.140625" defaultRowHeight="15" x14ac:dyDescent="0.25"/>
  <cols>
    <col min="1" max="1" width="2.7109375" style="716" customWidth="1"/>
    <col min="2" max="2" width="3.85546875" style="716" customWidth="1"/>
    <col min="3" max="3" width="19.42578125" style="716" customWidth="1"/>
    <col min="4" max="4" width="23.7109375" style="716" customWidth="1"/>
    <col min="5" max="5" width="40.7109375" style="716" customWidth="1"/>
    <col min="6" max="8" width="12.7109375" style="716" customWidth="1"/>
    <col min="9" max="9" width="13.7109375" style="716" customWidth="1"/>
    <col min="10" max="10" width="62.7109375" style="716" customWidth="1"/>
    <col min="11" max="16384" width="9.140625" style="716"/>
  </cols>
  <sheetData>
    <row r="1" spans="2:7" ht="15.75" thickBot="1" x14ac:dyDescent="0.3"/>
    <row r="2" spans="2:7" ht="20.25" customHeight="1" thickBot="1" x14ac:dyDescent="0.3">
      <c r="B2" s="1793" t="s">
        <v>1675</v>
      </c>
      <c r="C2" s="1794"/>
      <c r="D2" s="1794"/>
      <c r="E2" s="1794"/>
      <c r="F2" s="1794"/>
      <c r="G2" s="1795"/>
    </row>
    <row r="3" spans="2:7" x14ac:dyDescent="0.25">
      <c r="B3" s="1796" t="s">
        <v>1676</v>
      </c>
      <c r="C3" s="1797"/>
      <c r="D3" s="1798"/>
      <c r="E3" s="1799" t="s">
        <v>609</v>
      </c>
      <c r="F3" s="1800"/>
      <c r="G3" s="1801"/>
    </row>
    <row r="4" spans="2:7" x14ac:dyDescent="0.25">
      <c r="B4" s="1767" t="s">
        <v>1677</v>
      </c>
      <c r="C4" s="1768"/>
      <c r="D4" s="1769"/>
      <c r="E4" s="1770"/>
      <c r="F4" s="1770"/>
      <c r="G4" s="1771"/>
    </row>
    <row r="5" spans="2:7" x14ac:dyDescent="0.25">
      <c r="B5" s="1767" t="s">
        <v>1678</v>
      </c>
      <c r="C5" s="1768"/>
      <c r="D5" s="1769"/>
      <c r="E5" s="1770"/>
      <c r="F5" s="1770"/>
      <c r="G5" s="1771"/>
    </row>
    <row r="6" spans="2:7" x14ac:dyDescent="0.25">
      <c r="B6" s="1767" t="s">
        <v>1679</v>
      </c>
      <c r="C6" s="1768"/>
      <c r="D6" s="1769"/>
      <c r="E6" s="1790"/>
      <c r="F6" s="1791"/>
      <c r="G6" s="1792"/>
    </row>
    <row r="7" spans="2:7" x14ac:dyDescent="0.25">
      <c r="B7" s="1767" t="s">
        <v>1680</v>
      </c>
      <c r="C7" s="1768"/>
      <c r="D7" s="1769"/>
      <c r="E7" s="1770"/>
      <c r="F7" s="1770"/>
      <c r="G7" s="1771"/>
    </row>
    <row r="8" spans="2:7" x14ac:dyDescent="0.25">
      <c r="B8" s="1767" t="s">
        <v>1681</v>
      </c>
      <c r="C8" s="1768"/>
      <c r="D8" s="1769"/>
      <c r="E8" s="1770"/>
      <c r="F8" s="1770"/>
      <c r="G8" s="1771"/>
    </row>
    <row r="9" spans="2:7" x14ac:dyDescent="0.25">
      <c r="B9" s="1767" t="s">
        <v>1682</v>
      </c>
      <c r="C9" s="1768"/>
      <c r="D9" s="1769"/>
      <c r="E9" s="1770"/>
      <c r="F9" s="1770"/>
      <c r="G9" s="1771"/>
    </row>
    <row r="10" spans="2:7" x14ac:dyDescent="0.25">
      <c r="B10" s="1767" t="s">
        <v>1683</v>
      </c>
      <c r="C10" s="1768"/>
      <c r="D10" s="1769"/>
      <c r="E10" s="1788" t="s">
        <v>609</v>
      </c>
      <c r="F10" s="1788"/>
      <c r="G10" s="1789"/>
    </row>
    <row r="11" spans="2:7" x14ac:dyDescent="0.25">
      <c r="B11" s="1767" t="s">
        <v>1684</v>
      </c>
      <c r="C11" s="1768"/>
      <c r="D11" s="1769"/>
      <c r="E11" s="1788" t="s">
        <v>609</v>
      </c>
      <c r="F11" s="1788"/>
      <c r="G11" s="1789"/>
    </row>
    <row r="12" spans="2:7" x14ac:dyDescent="0.25">
      <c r="B12" s="1767" t="s">
        <v>1685</v>
      </c>
      <c r="C12" s="1768"/>
      <c r="D12" s="1769"/>
      <c r="E12" s="1770"/>
      <c r="F12" s="1770"/>
      <c r="G12" s="1771"/>
    </row>
    <row r="13" spans="2:7" x14ac:dyDescent="0.25">
      <c r="B13" s="1767" t="s">
        <v>1649</v>
      </c>
      <c r="C13" s="1768"/>
      <c r="D13" s="1769"/>
      <c r="E13" s="717"/>
      <c r="F13" s="718" t="s">
        <v>1686</v>
      </c>
      <c r="G13" s="719" t="str">
        <f ca="1">IF(E13&lt;&gt;"",DATEDIF(E13,TODAY(),"Y")&amp;" Years","")</f>
        <v/>
      </c>
    </row>
    <row r="14" spans="2:7" ht="30" customHeight="1" x14ac:dyDescent="0.25">
      <c r="B14" s="1767" t="s">
        <v>1687</v>
      </c>
      <c r="C14" s="1768"/>
      <c r="D14" s="1769"/>
      <c r="E14" s="1786"/>
      <c r="F14" s="1786"/>
      <c r="G14" s="1787"/>
    </row>
    <row r="15" spans="2:7" ht="39" customHeight="1" x14ac:dyDescent="0.25">
      <c r="B15" s="1783" t="s">
        <v>1688</v>
      </c>
      <c r="C15" s="1784"/>
      <c r="D15" s="1785"/>
      <c r="E15" s="1786"/>
      <c r="F15" s="1786"/>
      <c r="G15" s="1787"/>
    </row>
    <row r="16" spans="2:7" x14ac:dyDescent="0.25">
      <c r="B16" s="1767" t="s">
        <v>1689</v>
      </c>
      <c r="C16" s="1768"/>
      <c r="D16" s="1769"/>
      <c r="E16" s="1770"/>
      <c r="F16" s="1770"/>
      <c r="G16" s="1771"/>
    </row>
    <row r="17" spans="2:10" x14ac:dyDescent="0.25">
      <c r="B17" s="1767" t="s">
        <v>1690</v>
      </c>
      <c r="C17" s="1768"/>
      <c r="D17" s="1769"/>
      <c r="E17" s="1770"/>
      <c r="F17" s="1770"/>
      <c r="G17" s="1771"/>
    </row>
    <row r="18" spans="2:10" x14ac:dyDescent="0.25">
      <c r="B18" s="1767" t="s">
        <v>1691</v>
      </c>
      <c r="C18" s="1768"/>
      <c r="D18" s="1769"/>
      <c r="E18" s="1770"/>
      <c r="F18" s="1770"/>
      <c r="G18" s="1771"/>
    </row>
    <row r="19" spans="2:10" x14ac:dyDescent="0.25">
      <c r="B19" s="1767" t="s">
        <v>1692</v>
      </c>
      <c r="C19" s="1768"/>
      <c r="D19" s="1769"/>
      <c r="E19" s="1770"/>
      <c r="F19" s="1770"/>
      <c r="G19" s="1771"/>
    </row>
    <row r="20" spans="2:10" x14ac:dyDescent="0.25">
      <c r="B20" s="1767" t="s">
        <v>1693</v>
      </c>
      <c r="C20" s="1768"/>
      <c r="D20" s="1769"/>
      <c r="E20" s="1772"/>
      <c r="F20" s="1772"/>
      <c r="G20" s="1773"/>
    </row>
    <row r="21" spans="2:10" x14ac:dyDescent="0.25">
      <c r="B21" s="1767" t="s">
        <v>1694</v>
      </c>
      <c r="C21" s="1768"/>
      <c r="D21" s="1769"/>
      <c r="E21" s="1772"/>
      <c r="F21" s="1772"/>
      <c r="G21" s="1773"/>
    </row>
    <row r="22" spans="2:10" x14ac:dyDescent="0.25">
      <c r="B22" s="1767" t="s">
        <v>1695</v>
      </c>
      <c r="C22" s="1768"/>
      <c r="D22" s="1769"/>
      <c r="E22" s="1774" t="s">
        <v>609</v>
      </c>
      <c r="F22" s="1775"/>
      <c r="G22" s="1776"/>
    </row>
    <row r="23" spans="2:10" ht="15.75" thickBot="1" x14ac:dyDescent="0.3">
      <c r="B23" s="1777" t="s">
        <v>1330</v>
      </c>
      <c r="C23" s="1778"/>
      <c r="D23" s="1779"/>
      <c r="E23" s="1780"/>
      <c r="F23" s="1781"/>
      <c r="G23" s="1782"/>
    </row>
    <row r="24" spans="2:10" ht="15.75" thickBot="1" x14ac:dyDescent="0.3"/>
    <row r="25" spans="2:10" ht="20.25" customHeight="1" thickBot="1" x14ac:dyDescent="0.3">
      <c r="B25" s="1757" t="s">
        <v>1696</v>
      </c>
      <c r="C25" s="1758"/>
      <c r="D25" s="1758"/>
      <c r="E25" s="1759"/>
    </row>
    <row r="26" spans="2:10" x14ac:dyDescent="0.25">
      <c r="B26" s="1753" t="s">
        <v>1697</v>
      </c>
      <c r="C26" s="1754"/>
      <c r="D26" s="720">
        <f>COUNTIF(H32:H33,"-")</f>
        <v>0</v>
      </c>
      <c r="E26" s="721">
        <f>SUMIF(H32:H33,"-",I32:I33)</f>
        <v>0</v>
      </c>
    </row>
    <row r="27" spans="2:10" x14ac:dyDescent="0.25">
      <c r="B27" s="1753" t="s">
        <v>1698</v>
      </c>
      <c r="C27" s="1754"/>
      <c r="D27" s="720">
        <f>COUNTIFS(H32:H33,"&lt;&gt;-",H32:H33,"&lt;&gt;")</f>
        <v>0</v>
      </c>
      <c r="E27" s="721">
        <f>SUMIF(H32:H33,"&lt;&gt;-",I32:I33)</f>
        <v>0</v>
      </c>
    </row>
    <row r="28" spans="2:10" ht="15.75" thickBot="1" x14ac:dyDescent="0.3">
      <c r="B28" s="1755" t="s">
        <v>26</v>
      </c>
      <c r="C28" s="1756"/>
      <c r="D28" s="722">
        <f>SUM(D26:D27)</f>
        <v>0</v>
      </c>
      <c r="E28" s="723">
        <f>+SUM(E26:E27)</f>
        <v>0</v>
      </c>
    </row>
    <row r="29" spans="2:10" ht="15.75" thickBot="1" x14ac:dyDescent="0.3"/>
    <row r="30" spans="2:10" ht="20.25" customHeight="1" thickBot="1" x14ac:dyDescent="0.3">
      <c r="B30" s="1757" t="s">
        <v>1699</v>
      </c>
      <c r="C30" s="1758"/>
      <c r="D30" s="1758"/>
      <c r="E30" s="1758"/>
      <c r="F30" s="1758"/>
      <c r="G30" s="1758"/>
      <c r="H30" s="1758"/>
      <c r="I30" s="1758"/>
      <c r="J30" s="1759"/>
    </row>
    <row r="31" spans="2:10" ht="30" x14ac:dyDescent="0.25">
      <c r="B31" s="724" t="s">
        <v>1331</v>
      </c>
      <c r="C31" s="725" t="s">
        <v>1700</v>
      </c>
      <c r="D31" s="725" t="s">
        <v>1701</v>
      </c>
      <c r="E31" s="725" t="s">
        <v>1702</v>
      </c>
      <c r="F31" s="725" t="s">
        <v>1703</v>
      </c>
      <c r="G31" s="725" t="s">
        <v>1704</v>
      </c>
      <c r="H31" s="725" t="s">
        <v>1705</v>
      </c>
      <c r="I31" s="725" t="s">
        <v>1706</v>
      </c>
      <c r="J31" s="726" t="s">
        <v>1659</v>
      </c>
    </row>
    <row r="32" spans="2:10" x14ac:dyDescent="0.25">
      <c r="B32" s="727"/>
      <c r="C32" s="728"/>
      <c r="D32" s="728"/>
      <c r="E32" s="728"/>
      <c r="F32" s="729"/>
      <c r="G32" s="729"/>
      <c r="H32" s="729"/>
      <c r="I32" s="730"/>
      <c r="J32" s="731"/>
    </row>
    <row r="33" spans="2:10" ht="15.75" thickBot="1" x14ac:dyDescent="0.3">
      <c r="B33" s="732"/>
      <c r="C33" s="733"/>
      <c r="D33" s="733"/>
      <c r="E33" s="733"/>
      <c r="F33" s="734"/>
      <c r="G33" s="734"/>
      <c r="H33" s="734"/>
      <c r="I33" s="735"/>
      <c r="J33" s="736"/>
    </row>
    <row r="34" spans="2:10" ht="15.75" thickBot="1" x14ac:dyDescent="0.3">
      <c r="J34" s="737"/>
    </row>
    <row r="35" spans="2:10" ht="20.25" customHeight="1" thickBot="1" x14ac:dyDescent="0.3">
      <c r="B35" s="1760" t="s">
        <v>1707</v>
      </c>
      <c r="C35" s="1761"/>
      <c r="D35" s="1761"/>
      <c r="E35" s="1761"/>
      <c r="F35" s="1761"/>
      <c r="G35" s="1761"/>
      <c r="H35" s="1761"/>
      <c r="I35" s="1761"/>
      <c r="J35" s="1762"/>
    </row>
    <row r="36" spans="2:10" s="740" customFormat="1" ht="30" x14ac:dyDescent="0.25">
      <c r="B36" s="738" t="s">
        <v>1331</v>
      </c>
      <c r="C36" s="739" t="s">
        <v>1708</v>
      </c>
      <c r="D36" s="739" t="s">
        <v>2</v>
      </c>
      <c r="E36" s="739" t="s">
        <v>1709</v>
      </c>
      <c r="F36" s="739" t="s">
        <v>1710</v>
      </c>
      <c r="G36" s="739" t="s">
        <v>1711</v>
      </c>
      <c r="H36" s="739" t="s">
        <v>1712</v>
      </c>
      <c r="I36" s="1763" t="s">
        <v>2513</v>
      </c>
      <c r="J36" s="1764"/>
    </row>
    <row r="37" spans="2:10" x14ac:dyDescent="0.25">
      <c r="B37" s="741">
        <v>1</v>
      </c>
      <c r="C37" s="742"/>
      <c r="D37" s="728"/>
      <c r="E37" s="728"/>
      <c r="F37" s="729"/>
      <c r="G37" s="728"/>
      <c r="H37" s="729"/>
      <c r="I37" s="1765"/>
      <c r="J37" s="1766"/>
    </row>
    <row r="38" spans="2:10" ht="15.75" thickBot="1" x14ac:dyDescent="0.3">
      <c r="B38" s="743"/>
      <c r="C38" s="744"/>
      <c r="D38" s="733"/>
      <c r="E38" s="733"/>
      <c r="F38" s="734"/>
      <c r="G38" s="733"/>
      <c r="H38" s="734"/>
      <c r="I38" s="1751"/>
      <c r="J38" s="1752"/>
    </row>
  </sheetData>
  <mergeCells count="51">
    <mergeCell ref="B5:D5"/>
    <mergeCell ref="E5:G5"/>
    <mergeCell ref="B2:G2"/>
    <mergeCell ref="B3:D3"/>
    <mergeCell ref="E3:G3"/>
    <mergeCell ref="B4:D4"/>
    <mergeCell ref="E4:G4"/>
    <mergeCell ref="B6:D6"/>
    <mergeCell ref="E6:G6"/>
    <mergeCell ref="B7:D7"/>
    <mergeCell ref="E7:G7"/>
    <mergeCell ref="B8:D8"/>
    <mergeCell ref="E8:G8"/>
    <mergeCell ref="B15:D15"/>
    <mergeCell ref="E15:G15"/>
    <mergeCell ref="B9:D9"/>
    <mergeCell ref="E9:G9"/>
    <mergeCell ref="B10:D10"/>
    <mergeCell ref="E10:G10"/>
    <mergeCell ref="B11:D11"/>
    <mergeCell ref="E11:G11"/>
    <mergeCell ref="B12:D12"/>
    <mergeCell ref="E12:G12"/>
    <mergeCell ref="B13:D13"/>
    <mergeCell ref="B14:D14"/>
    <mergeCell ref="E14:G14"/>
    <mergeCell ref="B16:D16"/>
    <mergeCell ref="E16:G16"/>
    <mergeCell ref="B17:D17"/>
    <mergeCell ref="E17:G17"/>
    <mergeCell ref="B18:D18"/>
    <mergeCell ref="E18:G18"/>
    <mergeCell ref="B26:C26"/>
    <mergeCell ref="B19:D19"/>
    <mergeCell ref="E19:G19"/>
    <mergeCell ref="B20:D20"/>
    <mergeCell ref="E20:G20"/>
    <mergeCell ref="B21:D21"/>
    <mergeCell ref="E21:G21"/>
    <mergeCell ref="B22:D22"/>
    <mergeCell ref="E22:G22"/>
    <mergeCell ref="B23:D23"/>
    <mergeCell ref="E23:G23"/>
    <mergeCell ref="B25:E25"/>
    <mergeCell ref="I38:J38"/>
    <mergeCell ref="B27:C27"/>
    <mergeCell ref="B28:C28"/>
    <mergeCell ref="B30:J30"/>
    <mergeCell ref="B35:J35"/>
    <mergeCell ref="I36:J36"/>
    <mergeCell ref="I37:J37"/>
  </mergeCells>
  <pageMargins left="0.25" right="0.25" top="0.75" bottom="0.75" header="0.3" footer="0.3"/>
  <pageSetup paperSize="9" scale="70" orientation="landscape" horizontalDpi="4294967292" r:id="rId1"/>
  <headerFooter>
    <oddFooter>&amp;C&amp;1#&amp;"Calibri"&amp;10&amp;K000000 For internal use only</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3">
    <tabColor theme="3" tint="-0.499984740745262"/>
    <pageSetUpPr fitToPage="1"/>
  </sheetPr>
  <dimension ref="B1:C13"/>
  <sheetViews>
    <sheetView showGridLines="0" showRowColHeaders="0" workbookViewId="0">
      <selection activeCell="C1" sqref="C1"/>
    </sheetView>
  </sheetViews>
  <sheetFormatPr defaultColWidth="9.140625" defaultRowHeight="15" x14ac:dyDescent="0.25"/>
  <cols>
    <col min="1" max="1" width="2.42578125" style="244" customWidth="1"/>
    <col min="2" max="2" width="26.140625" style="244" bestFit="1" customWidth="1"/>
    <col min="3" max="3" width="47.140625" style="244" customWidth="1"/>
    <col min="4" max="16384" width="9.140625" style="244"/>
  </cols>
  <sheetData>
    <row r="1" spans="2:3" ht="15.75" thickBot="1" x14ac:dyDescent="0.3"/>
    <row r="2" spans="2:3" ht="15.75" thickBot="1" x14ac:dyDescent="0.3">
      <c r="B2" s="1802" t="s">
        <v>1666</v>
      </c>
      <c r="C2" s="1803"/>
    </row>
    <row r="3" spans="2:3" x14ac:dyDescent="0.25">
      <c r="B3" s="697" t="s">
        <v>1667</v>
      </c>
      <c r="C3" s="698" t="s">
        <v>3554</v>
      </c>
    </row>
    <row r="4" spans="2:3" x14ac:dyDescent="0.25">
      <c r="B4" s="692" t="s">
        <v>1668</v>
      </c>
      <c r="C4" s="698" t="s">
        <v>3555</v>
      </c>
    </row>
    <row r="5" spans="2:3" x14ac:dyDescent="0.25">
      <c r="B5" s="692" t="s">
        <v>1669</v>
      </c>
      <c r="C5" s="694" t="s">
        <v>3554</v>
      </c>
    </row>
    <row r="6" spans="2:3" x14ac:dyDescent="0.25">
      <c r="B6" s="692" t="s">
        <v>1670</v>
      </c>
      <c r="C6" s="694" t="s">
        <v>3556</v>
      </c>
    </row>
    <row r="7" spans="2:3" x14ac:dyDescent="0.25">
      <c r="B7" s="692" t="s">
        <v>1671</v>
      </c>
      <c r="C7" s="694" t="s">
        <v>705</v>
      </c>
    </row>
    <row r="8" spans="2:3" x14ac:dyDescent="0.25">
      <c r="B8" s="699" t="s">
        <v>1672</v>
      </c>
      <c r="C8" s="700" t="s">
        <v>1673</v>
      </c>
    </row>
    <row r="9" spans="2:3" x14ac:dyDescent="0.25">
      <c r="B9" s="696" t="s">
        <v>3559</v>
      </c>
      <c r="C9" s="1532" t="s">
        <v>3557</v>
      </c>
    </row>
    <row r="10" spans="2:3" x14ac:dyDescent="0.25">
      <c r="B10" s="696" t="s">
        <v>3560</v>
      </c>
      <c r="C10" s="694" t="s">
        <v>3558</v>
      </c>
    </row>
    <row r="11" spans="2:3" x14ac:dyDescent="0.25">
      <c r="B11" s="696"/>
      <c r="C11" s="694"/>
    </row>
    <row r="12" spans="2:3" ht="15.75" thickBot="1" x14ac:dyDescent="0.3">
      <c r="B12" s="693" t="s">
        <v>1330</v>
      </c>
      <c r="C12" s="695">
        <v>44408.409236111111</v>
      </c>
    </row>
    <row r="13" spans="2:3" x14ac:dyDescent="0.25">
      <c r="B13" s="243"/>
      <c r="C13" s="243"/>
    </row>
  </sheetData>
  <mergeCells count="1">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5">
    <tabColor theme="3" tint="-0.499984740745262"/>
    <pageSetUpPr fitToPage="1"/>
  </sheetPr>
  <dimension ref="B1:H49"/>
  <sheetViews>
    <sheetView showGridLines="0" showRowColHeaders="0" topLeftCell="A27" workbookViewId="0">
      <selection activeCell="J39" sqref="J39"/>
    </sheetView>
  </sheetViews>
  <sheetFormatPr defaultColWidth="9.140625" defaultRowHeight="14.25" outlineLevelRow="1" x14ac:dyDescent="0.2"/>
  <cols>
    <col min="1" max="1" width="2.7109375" style="1419" customWidth="1"/>
    <col min="2" max="2" width="3.7109375" style="1419" customWidth="1"/>
    <col min="3" max="3" width="12.7109375" style="1418" customWidth="1"/>
    <col min="4" max="7" width="14.7109375" style="1418" customWidth="1"/>
    <col min="8" max="16384" width="9.140625" style="1419"/>
  </cols>
  <sheetData>
    <row r="1" spans="2:7" s="1418" customFormat="1" ht="13.5" thickBot="1" x14ac:dyDescent="0.25"/>
    <row r="2" spans="2:7" ht="21" customHeight="1" thickBot="1" x14ac:dyDescent="0.25">
      <c r="B2" s="1814" t="s">
        <v>1324</v>
      </c>
      <c r="C2" s="1815"/>
      <c r="D2" s="1815"/>
      <c r="E2" s="1815"/>
      <c r="F2" s="1815"/>
      <c r="G2" s="1816"/>
    </row>
    <row r="3" spans="2:7" ht="15" customHeight="1" x14ac:dyDescent="0.2">
      <c r="B3" s="1817" t="s">
        <v>1325</v>
      </c>
      <c r="C3" s="1818"/>
      <c r="D3" s="1818"/>
      <c r="E3" s="1819" t="s">
        <v>3526</v>
      </c>
      <c r="F3" s="1819"/>
      <c r="G3" s="1820"/>
    </row>
    <row r="4" spans="2:7" s="1420" customFormat="1" ht="28.5" customHeight="1" x14ac:dyDescent="0.2">
      <c r="B4" s="1812" t="s">
        <v>1326</v>
      </c>
      <c r="C4" s="1813"/>
      <c r="D4" s="1813"/>
      <c r="E4" s="1806" t="s">
        <v>3477</v>
      </c>
      <c r="F4" s="1806"/>
      <c r="G4" s="1807"/>
    </row>
    <row r="5" spans="2:7" s="1420" customFormat="1" ht="28.5" customHeight="1" x14ac:dyDescent="0.2">
      <c r="B5" s="1812" t="s">
        <v>2557</v>
      </c>
      <c r="C5" s="1813"/>
      <c r="D5" s="1813"/>
      <c r="E5" s="1806" t="s">
        <v>3477</v>
      </c>
      <c r="F5" s="1806"/>
      <c r="G5" s="1807"/>
    </row>
    <row r="6" spans="2:7" ht="13.5" customHeight="1" x14ac:dyDescent="0.2">
      <c r="B6" s="1804" t="s">
        <v>2558</v>
      </c>
      <c r="C6" s="1805"/>
      <c r="D6" s="1805"/>
      <c r="E6" s="1811">
        <v>42742</v>
      </c>
      <c r="F6" s="1808"/>
      <c r="G6" s="1809"/>
    </row>
    <row r="7" spans="2:7" ht="13.5" customHeight="1" x14ac:dyDescent="0.2">
      <c r="B7" s="1804" t="s">
        <v>1327</v>
      </c>
      <c r="C7" s="1805"/>
      <c r="D7" s="1805"/>
      <c r="E7" s="1808" t="s">
        <v>1795</v>
      </c>
      <c r="F7" s="1808"/>
      <c r="G7" s="1809"/>
    </row>
    <row r="8" spans="2:7" ht="13.5" customHeight="1" x14ac:dyDescent="0.2">
      <c r="B8" s="1804" t="s">
        <v>1329</v>
      </c>
      <c r="C8" s="1805"/>
      <c r="D8" s="1805"/>
      <c r="E8" s="1811" t="s">
        <v>3527</v>
      </c>
      <c r="F8" s="1808"/>
      <c r="G8" s="1809"/>
    </row>
    <row r="9" spans="2:7" ht="13.5" customHeight="1" x14ac:dyDescent="0.2">
      <c r="B9" s="1804" t="s">
        <v>1328</v>
      </c>
      <c r="C9" s="1805"/>
      <c r="D9" s="1805"/>
      <c r="E9" s="1808" t="s">
        <v>3528</v>
      </c>
      <c r="F9" s="1808"/>
      <c r="G9" s="1809"/>
    </row>
    <row r="10" spans="2:7" ht="36.75" customHeight="1" x14ac:dyDescent="0.2">
      <c r="B10" s="1804" t="s">
        <v>2559</v>
      </c>
      <c r="C10" s="1805"/>
      <c r="D10" s="1805"/>
      <c r="E10" s="1806" t="s">
        <v>3529</v>
      </c>
      <c r="F10" s="1806"/>
      <c r="G10" s="1807"/>
    </row>
    <row r="11" spans="2:7" ht="36.75" customHeight="1" x14ac:dyDescent="0.2">
      <c r="B11" s="1804" t="s">
        <v>2560</v>
      </c>
      <c r="C11" s="1805"/>
      <c r="D11" s="1805"/>
      <c r="E11" s="1806" t="s">
        <v>3530</v>
      </c>
      <c r="F11" s="1806"/>
      <c r="G11" s="1807"/>
    </row>
    <row r="12" spans="2:7" ht="36.75" customHeight="1" x14ac:dyDescent="0.2">
      <c r="B12" s="1804" t="s">
        <v>2561</v>
      </c>
      <c r="C12" s="1805"/>
      <c r="D12" s="1805"/>
      <c r="E12" s="1806" t="s">
        <v>3531</v>
      </c>
      <c r="F12" s="1806"/>
      <c r="G12" s="1807"/>
    </row>
    <row r="13" spans="2:7" ht="13.5" customHeight="1" x14ac:dyDescent="0.2">
      <c r="B13" s="1804" t="s">
        <v>2562</v>
      </c>
      <c r="C13" s="1805"/>
      <c r="D13" s="1805"/>
      <c r="E13" s="1808"/>
      <c r="F13" s="1808"/>
      <c r="G13" s="1809"/>
    </row>
    <row r="14" spans="2:7" ht="13.5" customHeight="1" x14ac:dyDescent="0.2">
      <c r="B14" s="1804" t="s">
        <v>1330</v>
      </c>
      <c r="C14" s="1805"/>
      <c r="D14" s="1805"/>
      <c r="E14" s="1810">
        <v>44408.408819444441</v>
      </c>
      <c r="F14" s="1808"/>
      <c r="G14" s="1809"/>
    </row>
    <row r="15" spans="2:7" x14ac:dyDescent="0.2">
      <c r="B15" s="1421"/>
      <c r="C15" s="1422"/>
      <c r="D15" s="1422"/>
      <c r="E15" s="1422"/>
      <c r="F15" s="1422"/>
      <c r="G15" s="1423"/>
    </row>
    <row r="16" spans="2:7" ht="25.5" x14ac:dyDescent="0.2">
      <c r="B16" s="1424" t="s">
        <v>1331</v>
      </c>
      <c r="C16" s="1425" t="s">
        <v>1332</v>
      </c>
      <c r="D16" s="1425" t="s">
        <v>1333</v>
      </c>
      <c r="E16" s="1425" t="s">
        <v>1334</v>
      </c>
      <c r="F16" s="1425" t="s">
        <v>1335</v>
      </c>
      <c r="G16" s="1426" t="s">
        <v>1336</v>
      </c>
    </row>
    <row r="17" spans="2:8" ht="13.5" customHeight="1" x14ac:dyDescent="0.2">
      <c r="B17" s="1427">
        <v>1</v>
      </c>
      <c r="C17" s="1428" t="s">
        <v>3532</v>
      </c>
      <c r="D17" s="1428" t="s">
        <v>3533</v>
      </c>
      <c r="E17" s="1428" t="s">
        <v>3534</v>
      </c>
      <c r="F17" s="1429" t="s">
        <v>3535</v>
      </c>
      <c r="G17" s="1430" t="s">
        <v>3536</v>
      </c>
    </row>
    <row r="18" spans="2:8" ht="13.5" customHeight="1" x14ac:dyDescent="0.2">
      <c r="B18" s="1427">
        <v>2</v>
      </c>
      <c r="C18" s="1428" t="s">
        <v>3532</v>
      </c>
      <c r="D18" s="1428" t="s">
        <v>3533</v>
      </c>
      <c r="E18" s="1428" t="s">
        <v>3445</v>
      </c>
      <c r="F18" s="1429">
        <v>44507</v>
      </c>
      <c r="G18" s="1430" t="s">
        <v>3536</v>
      </c>
    </row>
    <row r="19" spans="2:8" ht="13.5" customHeight="1" x14ac:dyDescent="0.2">
      <c r="B19" s="1427">
        <v>3</v>
      </c>
      <c r="C19" s="1428" t="s">
        <v>3532</v>
      </c>
      <c r="D19" s="1428" t="s">
        <v>3533</v>
      </c>
      <c r="E19" s="1428" t="s">
        <v>3537</v>
      </c>
      <c r="F19" s="1429">
        <v>44261</v>
      </c>
      <c r="G19" s="1430" t="s">
        <v>3536</v>
      </c>
    </row>
    <row r="20" spans="2:8" ht="13.5" customHeight="1" x14ac:dyDescent="0.2">
      <c r="B20" s="1427">
        <v>4</v>
      </c>
      <c r="C20" s="1428" t="s">
        <v>3532</v>
      </c>
      <c r="D20" s="1428" t="s">
        <v>3538</v>
      </c>
      <c r="E20" s="1428" t="s">
        <v>3539</v>
      </c>
      <c r="F20" s="1429" t="s">
        <v>3540</v>
      </c>
      <c r="G20" s="1430" t="s">
        <v>3536</v>
      </c>
    </row>
    <row r="21" spans="2:8" ht="13.5" customHeight="1" x14ac:dyDescent="0.2">
      <c r="B21" s="1427">
        <v>5</v>
      </c>
      <c r="C21" s="1428" t="s">
        <v>3532</v>
      </c>
      <c r="D21" s="1428" t="s">
        <v>3538</v>
      </c>
      <c r="E21" s="1428" t="s">
        <v>3541</v>
      </c>
      <c r="F21" s="1429" t="s">
        <v>3542</v>
      </c>
      <c r="G21" s="1430" t="s">
        <v>3536</v>
      </c>
    </row>
    <row r="22" spans="2:8" ht="13.5" customHeight="1" x14ac:dyDescent="0.2">
      <c r="B22" s="1427">
        <v>6</v>
      </c>
      <c r="C22" s="1428" t="s">
        <v>3532</v>
      </c>
      <c r="D22" s="1428" t="s">
        <v>3538</v>
      </c>
      <c r="E22" s="1428" t="s">
        <v>3543</v>
      </c>
      <c r="F22" s="1429" t="s">
        <v>3544</v>
      </c>
      <c r="G22" s="1430" t="s">
        <v>3536</v>
      </c>
    </row>
    <row r="23" spans="2:8" ht="13.5" customHeight="1" x14ac:dyDescent="0.2">
      <c r="B23" s="1427">
        <v>7</v>
      </c>
      <c r="C23" s="1428" t="s">
        <v>3532</v>
      </c>
      <c r="D23" s="1428" t="s">
        <v>3538</v>
      </c>
      <c r="E23" s="1428" t="s">
        <v>3545</v>
      </c>
      <c r="F23" s="1429" t="s">
        <v>3546</v>
      </c>
      <c r="G23" s="1430" t="s">
        <v>3536</v>
      </c>
    </row>
    <row r="24" spans="2:8" ht="13.5" customHeight="1" x14ac:dyDescent="0.2">
      <c r="B24" s="1427">
        <v>8</v>
      </c>
      <c r="C24" s="1428" t="s">
        <v>3532</v>
      </c>
      <c r="D24" s="1428" t="s">
        <v>3538</v>
      </c>
      <c r="E24" s="1428" t="s">
        <v>3547</v>
      </c>
      <c r="F24" s="1429" t="s">
        <v>3548</v>
      </c>
      <c r="G24" s="1430" t="s">
        <v>3536</v>
      </c>
    </row>
    <row r="25" spans="2:8" ht="13.5" customHeight="1" x14ac:dyDescent="0.2">
      <c r="B25" s="1427">
        <v>9</v>
      </c>
      <c r="C25" s="1428" t="s">
        <v>3532</v>
      </c>
      <c r="D25" s="1428" t="s">
        <v>3538</v>
      </c>
      <c r="E25" s="1428" t="s">
        <v>3549</v>
      </c>
      <c r="F25" s="1429" t="s">
        <v>3550</v>
      </c>
      <c r="G25" s="1430" t="s">
        <v>3536</v>
      </c>
    </row>
    <row r="26" spans="2:8" ht="13.5" customHeight="1" thickBot="1" x14ac:dyDescent="0.25">
      <c r="B26" s="1431">
        <v>10</v>
      </c>
      <c r="C26" s="1432" t="s">
        <v>3532</v>
      </c>
      <c r="D26" s="1432" t="s">
        <v>3538</v>
      </c>
      <c r="E26" s="1432" t="s">
        <v>3551</v>
      </c>
      <c r="F26" s="1433">
        <v>44115</v>
      </c>
      <c r="G26" s="1434" t="s">
        <v>3536</v>
      </c>
    </row>
    <row r="28" spans="2:8" outlineLevel="1" x14ac:dyDescent="0.2">
      <c r="C28" s="1419"/>
      <c r="D28" s="1419"/>
      <c r="E28" s="1419"/>
      <c r="F28" s="1419"/>
      <c r="G28" s="1419"/>
    </row>
    <row r="29" spans="2:8" outlineLevel="1" x14ac:dyDescent="0.2">
      <c r="C29" s="1419"/>
      <c r="D29" s="1419"/>
      <c r="E29" s="1419"/>
      <c r="F29" s="1419"/>
      <c r="G29" s="1419"/>
    </row>
    <row r="30" spans="2:8" outlineLevel="1" x14ac:dyDescent="0.2">
      <c r="C30" s="1419"/>
      <c r="D30" s="1419"/>
      <c r="E30" s="1419"/>
      <c r="F30" s="1419"/>
      <c r="G30" s="1419"/>
    </row>
    <row r="31" spans="2:8" outlineLevel="1" x14ac:dyDescent="0.2">
      <c r="C31" s="1419"/>
      <c r="D31" s="1419"/>
      <c r="E31" s="1419"/>
      <c r="F31" s="1419"/>
      <c r="G31" s="1419"/>
      <c r="H31" s="1418"/>
    </row>
    <row r="32" spans="2:8" outlineLevel="1" x14ac:dyDescent="0.2">
      <c r="C32" s="1419"/>
      <c r="D32" s="1419"/>
      <c r="E32" s="1419"/>
      <c r="F32" s="1419"/>
      <c r="G32" s="1419"/>
      <c r="H32" s="1418"/>
    </row>
    <row r="33" spans="3:8" outlineLevel="1" x14ac:dyDescent="0.2">
      <c r="C33" s="1419"/>
      <c r="D33" s="1419"/>
      <c r="E33" s="1419"/>
      <c r="F33" s="1419"/>
      <c r="G33" s="1419"/>
      <c r="H33" s="1418"/>
    </row>
    <row r="34" spans="3:8" outlineLevel="1" x14ac:dyDescent="0.2">
      <c r="C34" s="1419"/>
      <c r="D34" s="1419"/>
      <c r="E34" s="1419"/>
      <c r="F34" s="1419"/>
      <c r="G34" s="1419"/>
      <c r="H34" s="1418"/>
    </row>
    <row r="35" spans="3:8" outlineLevel="1" x14ac:dyDescent="0.2">
      <c r="C35" s="1419"/>
      <c r="D35" s="1419"/>
      <c r="E35" s="1419"/>
      <c r="F35" s="1419"/>
      <c r="G35" s="1419"/>
      <c r="H35" s="1418"/>
    </row>
    <row r="36" spans="3:8" outlineLevel="1" x14ac:dyDescent="0.2">
      <c r="C36" s="1419"/>
      <c r="D36" s="1419"/>
      <c r="E36" s="1419"/>
      <c r="F36" s="1419"/>
      <c r="G36" s="1419"/>
      <c r="H36" s="1418"/>
    </row>
    <row r="37" spans="3:8" outlineLevel="1" x14ac:dyDescent="0.2">
      <c r="C37" s="1419"/>
      <c r="D37" s="1419"/>
      <c r="E37" s="1419"/>
      <c r="F37" s="1419"/>
      <c r="G37" s="1419"/>
      <c r="H37" s="1418"/>
    </row>
    <row r="38" spans="3:8" outlineLevel="1" x14ac:dyDescent="0.2">
      <c r="C38" s="1419"/>
      <c r="D38" s="1419"/>
      <c r="E38" s="1419"/>
      <c r="F38" s="1419"/>
      <c r="G38" s="1419"/>
      <c r="H38" s="1418"/>
    </row>
    <row r="39" spans="3:8" outlineLevel="1" x14ac:dyDescent="0.2">
      <c r="C39" s="1419"/>
      <c r="D39" s="1419"/>
      <c r="E39" s="1419"/>
      <c r="F39" s="1419"/>
      <c r="G39" s="1419"/>
      <c r="H39" s="1418"/>
    </row>
    <row r="40" spans="3:8" outlineLevel="1" x14ac:dyDescent="0.2">
      <c r="C40" s="1419"/>
      <c r="D40" s="1419"/>
      <c r="E40" s="1419"/>
      <c r="F40" s="1419"/>
      <c r="G40" s="1419"/>
      <c r="H40" s="1418"/>
    </row>
    <row r="41" spans="3:8" outlineLevel="1" x14ac:dyDescent="0.2">
      <c r="C41" s="1419"/>
      <c r="D41" s="1419"/>
      <c r="E41" s="1419"/>
      <c r="F41" s="1419"/>
      <c r="G41" s="1419"/>
      <c r="H41" s="1418"/>
    </row>
    <row r="42" spans="3:8" outlineLevel="1" x14ac:dyDescent="0.2">
      <c r="C42" s="1419"/>
      <c r="D42" s="1419"/>
      <c r="E42" s="1419"/>
      <c r="F42" s="1419"/>
      <c r="G42" s="1419"/>
      <c r="H42" s="1418"/>
    </row>
    <row r="43" spans="3:8" outlineLevel="1" x14ac:dyDescent="0.2">
      <c r="C43" s="1419"/>
      <c r="D43" s="1419"/>
      <c r="E43" s="1419"/>
      <c r="F43" s="1419"/>
      <c r="G43" s="1419"/>
      <c r="H43" s="1418"/>
    </row>
    <row r="44" spans="3:8" outlineLevel="1" x14ac:dyDescent="0.2">
      <c r="C44" s="1419"/>
      <c r="D44" s="1419"/>
      <c r="E44" s="1419"/>
      <c r="F44" s="1419"/>
      <c r="G44" s="1419"/>
      <c r="H44" s="1418"/>
    </row>
    <row r="45" spans="3:8" outlineLevel="1" x14ac:dyDescent="0.2">
      <c r="C45" s="1419"/>
      <c r="D45" s="1419"/>
      <c r="E45" s="1419"/>
      <c r="F45" s="1419"/>
      <c r="G45" s="1419"/>
      <c r="H45" s="1418"/>
    </row>
    <row r="46" spans="3:8" outlineLevel="1" x14ac:dyDescent="0.2">
      <c r="C46" s="1419"/>
      <c r="D46" s="1419"/>
      <c r="E46" s="1419"/>
      <c r="F46" s="1419"/>
      <c r="G46" s="1419"/>
      <c r="H46" s="1418"/>
    </row>
    <row r="47" spans="3:8" x14ac:dyDescent="0.2">
      <c r="C47" s="1419"/>
      <c r="D47" s="1419"/>
      <c r="E47" s="1419"/>
      <c r="F47" s="1419"/>
      <c r="G47" s="1419"/>
    </row>
    <row r="48" spans="3:8" x14ac:dyDescent="0.2">
      <c r="C48" s="1419"/>
      <c r="D48" s="1419"/>
      <c r="E48" s="1419"/>
      <c r="F48" s="1419"/>
      <c r="G48" s="1419"/>
    </row>
    <row r="49" s="1419" customFormat="1" x14ac:dyDescent="0.2"/>
  </sheetData>
  <sheetProtection formatCells="0" formatColumns="0" formatRows="0" insertColumns="0" insertRows="0" insertHyperlinks="0"/>
  <mergeCells count="25">
    <mergeCell ref="B5:D5"/>
    <mergeCell ref="E5:G5"/>
    <mergeCell ref="B2:G2"/>
    <mergeCell ref="B3:D3"/>
    <mergeCell ref="E3:G3"/>
    <mergeCell ref="B4:D4"/>
    <mergeCell ref="E4:G4"/>
    <mergeCell ref="B6:D6"/>
    <mergeCell ref="E6:G6"/>
    <mergeCell ref="B7:D7"/>
    <mergeCell ref="E7:G7"/>
    <mergeCell ref="B8:D8"/>
    <mergeCell ref="E8:G8"/>
    <mergeCell ref="B9:D9"/>
    <mergeCell ref="E9:G9"/>
    <mergeCell ref="B10:D10"/>
    <mergeCell ref="E10:G10"/>
    <mergeCell ref="B11:D11"/>
    <mergeCell ref="E11:G11"/>
    <mergeCell ref="B12:D12"/>
    <mergeCell ref="E12:G12"/>
    <mergeCell ref="B13:D13"/>
    <mergeCell ref="E13:G13"/>
    <mergeCell ref="B14:D14"/>
    <mergeCell ref="E14:G14"/>
  </mergeCells>
  <dataValidations count="1">
    <dataValidation type="list" allowBlank="1" showInputMessage="1" showErrorMessage="1" sqref="G30" xr:uid="{00000000-0002-0000-0700-000000000000}">
      <formula1>"Monthly,Quaterly,Half Yearly,Annually"</formula1>
    </dataValidation>
  </dataValidations>
  <pageMargins left="0.7" right="0.7" top="0.75" bottom="0.75" header="0.3" footer="0.3"/>
  <pageSetup paperSize="9" scale="90" orientation="portrait" horizontalDpi="4294967292" r:id="rId1"/>
  <headerFooter>
    <oddFooter>&amp;C&amp;1#&amp;"Calibri"&amp;10&amp;K000000 For internal use only</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7">
    <tabColor theme="3" tint="-0.499984740745262"/>
  </sheetPr>
  <dimension ref="A1:F27"/>
  <sheetViews>
    <sheetView topLeftCell="A2" workbookViewId="0">
      <selection activeCell="D5" sqref="D5:I8"/>
    </sheetView>
  </sheetViews>
  <sheetFormatPr defaultColWidth="9.140625" defaultRowHeight="12.75" x14ac:dyDescent="0.2"/>
  <cols>
    <col min="1" max="1" width="2.7109375" style="369" customWidth="1"/>
    <col min="2" max="2" width="3.140625" style="369" customWidth="1"/>
    <col min="3" max="3" width="25.7109375" style="369" customWidth="1"/>
    <col min="4" max="6" width="35.7109375" style="369" customWidth="1"/>
    <col min="7" max="16384" width="9.140625" style="369"/>
  </cols>
  <sheetData>
    <row r="1" spans="1:6" ht="13.5" thickBot="1" x14ac:dyDescent="0.25"/>
    <row r="2" spans="1:6" ht="21" customHeight="1" thickBot="1" x14ac:dyDescent="0.25">
      <c r="A2" s="370"/>
      <c r="B2" s="1823" t="s">
        <v>1713</v>
      </c>
      <c r="C2" s="1824"/>
      <c r="D2" s="1824"/>
      <c r="E2" s="1824"/>
      <c r="F2" s="1825"/>
    </row>
    <row r="3" spans="1:6" ht="14.25" customHeight="1" x14ac:dyDescent="0.2">
      <c r="B3" s="1821" t="s">
        <v>760</v>
      </c>
      <c r="C3" s="1822"/>
      <c r="D3" s="745" t="s">
        <v>3458</v>
      </c>
      <c r="E3" s="371" t="s">
        <v>1714</v>
      </c>
      <c r="F3" s="702">
        <v>2</v>
      </c>
    </row>
    <row r="4" spans="1:6" s="373" customFormat="1" ht="10.5" customHeight="1" x14ac:dyDescent="0.2">
      <c r="A4" s="372">
        <v>2</v>
      </c>
      <c r="B4" s="1826"/>
      <c r="C4" s="1827"/>
      <c r="D4" s="1827"/>
      <c r="E4" s="1827"/>
      <c r="F4" s="1828"/>
    </row>
    <row r="5" spans="1:6" ht="15" customHeight="1" x14ac:dyDescent="0.2">
      <c r="B5" s="374">
        <v>1</v>
      </c>
      <c r="C5" s="375" t="s">
        <v>1715</v>
      </c>
      <c r="D5" s="745" t="s">
        <v>3483</v>
      </c>
      <c r="E5" s="376" t="s">
        <v>1716</v>
      </c>
      <c r="F5" s="701"/>
    </row>
    <row r="6" spans="1:6" ht="15" x14ac:dyDescent="0.2">
      <c r="B6" s="377"/>
      <c r="C6" s="378"/>
      <c r="D6" s="746" t="s">
        <v>1647</v>
      </c>
      <c r="E6" s="703" t="s">
        <v>1717</v>
      </c>
      <c r="F6" s="704" t="s">
        <v>1718</v>
      </c>
    </row>
    <row r="7" spans="1:6" ht="17.25" customHeight="1" x14ac:dyDescent="0.2">
      <c r="B7" s="377"/>
      <c r="C7" s="379" t="s">
        <v>1719</v>
      </c>
      <c r="D7" s="747" t="s">
        <v>3552</v>
      </c>
      <c r="E7" s="705" t="s">
        <v>2034</v>
      </c>
      <c r="F7" s="706" t="s">
        <v>2034</v>
      </c>
    </row>
    <row r="8" spans="1:6" s="380" customFormat="1" ht="15.75" customHeight="1" x14ac:dyDescent="0.2">
      <c r="B8" s="377"/>
      <c r="C8" s="381" t="s">
        <v>1720</v>
      </c>
      <c r="D8" s="745" t="s">
        <v>3483</v>
      </c>
      <c r="E8" s="707"/>
      <c r="F8" s="708"/>
    </row>
    <row r="9" spans="1:6" ht="15.75" customHeight="1" x14ac:dyDescent="0.2">
      <c r="B9" s="377"/>
      <c r="C9" s="379" t="s">
        <v>1721</v>
      </c>
      <c r="D9" s="747" t="s">
        <v>3494</v>
      </c>
      <c r="E9" s="705"/>
      <c r="F9" s="706"/>
    </row>
    <row r="10" spans="1:6" ht="15.75" customHeight="1" x14ac:dyDescent="0.2">
      <c r="B10" s="377"/>
      <c r="C10" s="379" t="s">
        <v>1722</v>
      </c>
      <c r="D10" s="745" t="s">
        <v>3483</v>
      </c>
      <c r="E10" s="709"/>
      <c r="F10" s="710"/>
    </row>
    <row r="11" spans="1:6" ht="15.75" customHeight="1" x14ac:dyDescent="0.2">
      <c r="B11" s="377"/>
      <c r="C11" s="379" t="s">
        <v>1723</v>
      </c>
      <c r="D11" s="748">
        <v>20773</v>
      </c>
      <c r="E11" s="709"/>
      <c r="F11" s="710"/>
    </row>
    <row r="12" spans="1:6" ht="15.75" customHeight="1" x14ac:dyDescent="0.2">
      <c r="B12" s="377"/>
      <c r="C12" s="379" t="s">
        <v>1659</v>
      </c>
      <c r="D12" s="747"/>
      <c r="E12" s="713"/>
      <c r="F12" s="714"/>
    </row>
    <row r="13" spans="1:6" ht="15.75" customHeight="1" x14ac:dyDescent="0.2">
      <c r="B13" s="377"/>
      <c r="C13" s="379" t="s">
        <v>1724</v>
      </c>
      <c r="D13" s="748"/>
      <c r="E13" s="709"/>
      <c r="F13" s="710"/>
    </row>
    <row r="14" spans="1:6" ht="15.75" customHeight="1" x14ac:dyDescent="0.2">
      <c r="B14" s="377"/>
      <c r="C14" s="379" t="s">
        <v>1336</v>
      </c>
      <c r="D14" s="747" t="s">
        <v>3553</v>
      </c>
      <c r="E14" s="711"/>
      <c r="F14" s="712"/>
    </row>
    <row r="15" spans="1:6" ht="15.75" customHeight="1" x14ac:dyDescent="0.2">
      <c r="B15" s="749"/>
      <c r="C15" s="379" t="s">
        <v>1330</v>
      </c>
      <c r="D15" s="750">
        <v>44407.747615740744</v>
      </c>
      <c r="E15" s="711"/>
      <c r="F15" s="712"/>
    </row>
    <row r="16" spans="1:6" s="373" customFormat="1" ht="10.5" customHeight="1" x14ac:dyDescent="0.2">
      <c r="A16" s="372"/>
      <c r="B16" s="1826"/>
      <c r="C16" s="1827"/>
      <c r="D16" s="1827"/>
      <c r="E16" s="1827"/>
      <c r="F16" s="1828"/>
    </row>
    <row r="17" spans="2:6" ht="15" customHeight="1" x14ac:dyDescent="0.2">
      <c r="B17" s="374">
        <v>2</v>
      </c>
      <c r="C17" s="375" t="s">
        <v>1715</v>
      </c>
      <c r="D17" s="745" t="s">
        <v>3484</v>
      </c>
      <c r="E17" s="376" t="s">
        <v>1716</v>
      </c>
      <c r="F17" s="701"/>
    </row>
    <row r="18" spans="2:6" ht="15" x14ac:dyDescent="0.2">
      <c r="B18" s="377"/>
      <c r="C18" s="378"/>
      <c r="D18" s="746" t="s">
        <v>1647</v>
      </c>
      <c r="E18" s="703" t="s">
        <v>1717</v>
      </c>
      <c r="F18" s="704" t="s">
        <v>1718</v>
      </c>
    </row>
    <row r="19" spans="2:6" ht="17.25" customHeight="1" x14ac:dyDescent="0.2">
      <c r="B19" s="377"/>
      <c r="C19" s="379" t="s">
        <v>1719</v>
      </c>
      <c r="D19" s="747" t="s">
        <v>3552</v>
      </c>
      <c r="E19" s="705" t="s">
        <v>2034</v>
      </c>
      <c r="F19" s="706" t="s">
        <v>2034</v>
      </c>
    </row>
    <row r="20" spans="2:6" s="380" customFormat="1" ht="15.75" customHeight="1" x14ac:dyDescent="0.2">
      <c r="B20" s="377"/>
      <c r="C20" s="381" t="s">
        <v>1720</v>
      </c>
      <c r="D20" s="745" t="s">
        <v>3484</v>
      </c>
      <c r="E20" s="707"/>
      <c r="F20" s="708"/>
    </row>
    <row r="21" spans="2:6" ht="15.75" customHeight="1" x14ac:dyDescent="0.2">
      <c r="B21" s="377"/>
      <c r="C21" s="379" t="s">
        <v>1721</v>
      </c>
      <c r="D21" s="747" t="s">
        <v>3495</v>
      </c>
      <c r="E21" s="705"/>
      <c r="F21" s="706"/>
    </row>
    <row r="22" spans="2:6" ht="15.75" customHeight="1" x14ac:dyDescent="0.2">
      <c r="B22" s="377"/>
      <c r="C22" s="379" t="s">
        <v>1722</v>
      </c>
      <c r="D22" s="745" t="s">
        <v>3484</v>
      </c>
      <c r="E22" s="709"/>
      <c r="F22" s="710"/>
    </row>
    <row r="23" spans="2:6" ht="15.75" customHeight="1" x14ac:dyDescent="0.2">
      <c r="B23" s="377"/>
      <c r="C23" s="379" t="s">
        <v>1723</v>
      </c>
      <c r="D23" s="748">
        <v>21130</v>
      </c>
      <c r="E23" s="709"/>
      <c r="F23" s="710"/>
    </row>
    <row r="24" spans="2:6" ht="15.75" customHeight="1" x14ac:dyDescent="0.2">
      <c r="B24" s="377"/>
      <c r="C24" s="379" t="s">
        <v>1659</v>
      </c>
      <c r="D24" s="747"/>
      <c r="E24" s="713"/>
      <c r="F24" s="714"/>
    </row>
    <row r="25" spans="2:6" ht="15.75" customHeight="1" x14ac:dyDescent="0.2">
      <c r="B25" s="377"/>
      <c r="C25" s="379" t="s">
        <v>1724</v>
      </c>
      <c r="D25" s="748"/>
      <c r="E25" s="709"/>
      <c r="F25" s="710"/>
    </row>
    <row r="26" spans="2:6" ht="15.75" customHeight="1" x14ac:dyDescent="0.2">
      <c r="B26" s="377"/>
      <c r="C26" s="379" t="s">
        <v>1336</v>
      </c>
      <c r="D26" s="747" t="s">
        <v>3553</v>
      </c>
      <c r="E26" s="711"/>
      <c r="F26" s="712"/>
    </row>
    <row r="27" spans="2:6" ht="15.75" customHeight="1" x14ac:dyDescent="0.2">
      <c r="B27" s="749"/>
      <c r="C27" s="379" t="s">
        <v>1330</v>
      </c>
      <c r="D27" s="750">
        <v>44407.747615740744</v>
      </c>
      <c r="E27" s="711"/>
      <c r="F27" s="712"/>
    </row>
  </sheetData>
  <mergeCells count="4">
    <mergeCell ref="B3:C3"/>
    <mergeCell ref="B2:F2"/>
    <mergeCell ref="B4:F4"/>
    <mergeCell ref="B16:F16"/>
  </mergeCells>
  <conditionalFormatting sqref="E8">
    <cfRule type="expression" dxfId="333" priority="5">
      <formula>$E8&lt;&gt;$E10</formula>
    </cfRule>
  </conditionalFormatting>
  <conditionalFormatting sqref="F8">
    <cfRule type="expression" dxfId="332" priority="4">
      <formula>$F8&lt;&gt;$F10</formula>
    </cfRule>
  </conditionalFormatting>
  <conditionalFormatting sqref="E20">
    <cfRule type="expression" dxfId="331" priority="2">
      <formula>$E20&lt;&gt;$E22</formula>
    </cfRule>
  </conditionalFormatting>
  <conditionalFormatting sqref="F20">
    <cfRule type="expression" dxfId="330" priority="1">
      <formula>$F20&lt;&gt;$F22</formula>
    </cfRule>
  </conditionalFormatting>
  <dataValidations count="2">
    <dataValidation type="list" allowBlank="1" showInputMessage="1" showErrorMessage="1" sqref="D7:F7 D19:F19" xr:uid="{00000000-0002-0000-0900-000000000000}">
      <formula1>"Available,Not Available"</formula1>
    </dataValidation>
    <dataValidation type="list" allowBlank="1" showInputMessage="1" showErrorMessage="1" sqref="D14:F14 D26:F26" xr:uid="{00000000-0002-0000-0900-000001000000}">
      <formula1>"Active,In-Active,Not Valid"</formula1>
    </dataValidation>
  </dataValidations>
  <pageMargins left="0.23622047244094491" right="0.23622047244094491" top="0.74803149606299213" bottom="0.74803149606299213" header="0.31496062992125984" footer="0.31496062992125984"/>
  <pageSetup scale="75" orientation="portrait" horizontalDpi="300" verticalDpi="300" r:id="rId1"/>
  <headerFooter>
    <oddFooter>&amp;C&amp;"Calibri"&amp;11&amp;K000000&amp;G_x000D_&amp;1#&amp;"Calibri"&amp;10&amp;K000000 For internal use only</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theme="3" tint="-0.499984740745262"/>
    <pageSetUpPr fitToPage="1"/>
  </sheetPr>
  <dimension ref="B1:M13"/>
  <sheetViews>
    <sheetView showGridLines="0" zoomScale="80" zoomScaleNormal="80" workbookViewId="0">
      <selection activeCell="D5" sqref="D5:I8"/>
    </sheetView>
  </sheetViews>
  <sheetFormatPr defaultColWidth="9.140625" defaultRowHeight="14.25" x14ac:dyDescent="0.2"/>
  <cols>
    <col min="1" max="1" width="2.28515625" style="445" customWidth="1"/>
    <col min="2" max="2" width="13.28515625" style="445" customWidth="1"/>
    <col min="3" max="3" width="16.42578125" style="445" customWidth="1"/>
    <col min="4" max="4" width="9.140625" style="445"/>
    <col min="5" max="5" width="15" style="445" customWidth="1"/>
    <col min="6" max="6" width="21" style="445" customWidth="1"/>
    <col min="7" max="8" width="9.140625" style="445"/>
    <col min="9" max="9" width="26.7109375" style="445" customWidth="1"/>
    <col min="10" max="10" width="25.5703125" style="445" customWidth="1"/>
    <col min="11" max="11" width="18.140625" style="445" customWidth="1"/>
    <col min="12" max="12" width="36" style="445" customWidth="1"/>
    <col min="13" max="13" width="40.5703125" style="445" customWidth="1"/>
    <col min="14" max="16384" width="9.140625" style="445"/>
  </cols>
  <sheetData>
    <row r="1" spans="2:13" ht="9" customHeight="1" thickBot="1" x14ac:dyDescent="0.25"/>
    <row r="2" spans="2:13" ht="17.25" thickBot="1" x14ac:dyDescent="0.25">
      <c r="B2" s="1838" t="s">
        <v>1839</v>
      </c>
      <c r="C2" s="1839"/>
      <c r="D2" s="1839"/>
      <c r="E2" s="1839"/>
      <c r="F2" s="1839"/>
      <c r="G2" s="1839"/>
      <c r="H2" s="1839"/>
      <c r="I2" s="1840"/>
    </row>
    <row r="3" spans="2:13" ht="20.25" customHeight="1" x14ac:dyDescent="0.2">
      <c r="B3" s="1841" t="s">
        <v>495</v>
      </c>
      <c r="C3" s="1842"/>
      <c r="D3" s="1843"/>
      <c r="E3" s="1843"/>
      <c r="F3" s="1843"/>
      <c r="G3" s="1843"/>
      <c r="H3" s="1843"/>
      <c r="I3" s="1844"/>
    </row>
    <row r="4" spans="2:13" ht="36" customHeight="1" x14ac:dyDescent="0.2">
      <c r="B4" s="1829" t="s">
        <v>1840</v>
      </c>
      <c r="C4" s="1830"/>
      <c r="D4" s="1845"/>
      <c r="E4" s="1846"/>
      <c r="F4" s="1846"/>
      <c r="G4" s="1846"/>
      <c r="H4" s="1846"/>
      <c r="I4" s="1847"/>
    </row>
    <row r="5" spans="2:13" ht="15" x14ac:dyDescent="0.25">
      <c r="B5" s="1829" t="s">
        <v>1841</v>
      </c>
      <c r="C5" s="1830"/>
      <c r="D5" s="1836" t="s">
        <v>3479</v>
      </c>
      <c r="E5" s="1837"/>
      <c r="F5" s="1837"/>
      <c r="G5" s="1837"/>
      <c r="H5" s="1837"/>
      <c r="I5" s="1837"/>
    </row>
    <row r="6" spans="2:13" ht="37.5" customHeight="1" x14ac:dyDescent="0.25">
      <c r="B6" s="1829" t="s">
        <v>1842</v>
      </c>
      <c r="C6" s="1830"/>
      <c r="D6" s="1836" t="s">
        <v>3480</v>
      </c>
      <c r="E6" s="1837"/>
      <c r="F6" s="1837"/>
      <c r="G6" s="1837"/>
      <c r="H6" s="1837"/>
      <c r="I6" s="1837"/>
    </row>
    <row r="7" spans="2:13" ht="15.75" thickBot="1" x14ac:dyDescent="0.3">
      <c r="B7" s="1831" t="s">
        <v>1843</v>
      </c>
      <c r="C7" s="1832"/>
      <c r="D7" s="1836"/>
      <c r="E7" s="1837"/>
      <c r="F7" s="1837"/>
      <c r="G7" s="1837"/>
      <c r="H7" s="1837"/>
      <c r="I7" s="1837"/>
    </row>
    <row r="8" spans="2:13" ht="15.75" thickBot="1" x14ac:dyDescent="0.3">
      <c r="D8" s="1836" t="s">
        <v>3481</v>
      </c>
      <c r="E8" s="1837"/>
      <c r="F8" s="1837"/>
      <c r="G8" s="1837"/>
      <c r="H8" s="1837"/>
      <c r="I8" s="1837"/>
    </row>
    <row r="9" spans="2:13" ht="17.25" thickBot="1" x14ac:dyDescent="0.25">
      <c r="B9" s="1833" t="s">
        <v>1844</v>
      </c>
      <c r="C9" s="1834"/>
      <c r="D9" s="1834"/>
      <c r="E9" s="1834"/>
      <c r="F9" s="1834"/>
      <c r="G9" s="1834"/>
      <c r="H9" s="1834"/>
      <c r="I9" s="1834"/>
      <c r="J9" s="1834"/>
      <c r="K9" s="1834"/>
      <c r="L9" s="1834"/>
      <c r="M9" s="1835"/>
    </row>
    <row r="10" spans="2:13" ht="25.5" x14ac:dyDescent="0.2">
      <c r="B10" s="442" t="s">
        <v>1845</v>
      </c>
      <c r="C10" s="443" t="s">
        <v>1846</v>
      </c>
      <c r="D10" s="443" t="s">
        <v>1847</v>
      </c>
      <c r="E10" s="443" t="s">
        <v>1848</v>
      </c>
      <c r="F10" s="443" t="s">
        <v>1849</v>
      </c>
      <c r="G10" s="443" t="s">
        <v>1336</v>
      </c>
      <c r="H10" s="443" t="s">
        <v>1850</v>
      </c>
      <c r="I10" s="443" t="s">
        <v>1851</v>
      </c>
      <c r="J10" s="443" t="s">
        <v>1852</v>
      </c>
      <c r="K10" s="443" t="s">
        <v>1674</v>
      </c>
      <c r="L10" s="443" t="s">
        <v>1853</v>
      </c>
      <c r="M10" s="444" t="s">
        <v>1854</v>
      </c>
    </row>
    <row r="11" spans="2:13" x14ac:dyDescent="0.2">
      <c r="B11" s="446"/>
      <c r="C11" s="447"/>
      <c r="D11" s="447"/>
      <c r="E11" s="447"/>
      <c r="F11" s="447"/>
      <c r="G11" s="447"/>
      <c r="H11" s="447"/>
      <c r="I11" s="447"/>
      <c r="J11" s="447"/>
      <c r="K11" s="447"/>
      <c r="L11" s="447"/>
      <c r="M11" s="448"/>
    </row>
    <row r="12" spans="2:13" x14ac:dyDescent="0.2">
      <c r="B12" s="446"/>
      <c r="C12" s="447"/>
      <c r="D12" s="447"/>
      <c r="E12" s="447"/>
      <c r="F12" s="447"/>
      <c r="G12" s="447"/>
      <c r="H12" s="447"/>
      <c r="I12" s="447"/>
      <c r="J12" s="447"/>
      <c r="K12" s="447"/>
      <c r="L12" s="447"/>
      <c r="M12" s="448"/>
    </row>
    <row r="13" spans="2:13" ht="15" thickBot="1" x14ac:dyDescent="0.25">
      <c r="B13" s="449"/>
      <c r="C13" s="450"/>
      <c r="D13" s="450"/>
      <c r="E13" s="450"/>
      <c r="F13" s="450"/>
      <c r="G13" s="450"/>
      <c r="H13" s="450"/>
      <c r="I13" s="450"/>
      <c r="J13" s="450"/>
      <c r="K13" s="450"/>
      <c r="L13" s="450"/>
      <c r="M13" s="451"/>
    </row>
  </sheetData>
  <mergeCells count="13">
    <mergeCell ref="B5:C5"/>
    <mergeCell ref="B2:I2"/>
    <mergeCell ref="B3:C3"/>
    <mergeCell ref="D3:I3"/>
    <mergeCell ref="B4:C4"/>
    <mergeCell ref="D4:I4"/>
    <mergeCell ref="D5:I5"/>
    <mergeCell ref="B6:C6"/>
    <mergeCell ref="B7:C7"/>
    <mergeCell ref="B9:M9"/>
    <mergeCell ref="D8:I8"/>
    <mergeCell ref="D6:I6"/>
    <mergeCell ref="D7:I7"/>
  </mergeCells>
  <pageMargins left="0.23622047244094491" right="0.23622047244094491" top="0.74803149606299213" bottom="0.74803149606299213" header="0.31496062992125984" footer="0.31496062992125984"/>
  <pageSetup paperSize="9" scale="60" orientation="landscape" r:id="rId1"/>
  <headerFooter>
    <oddFooter>&amp;C&amp;"Calibri"&amp;11&amp;K000000&amp;G_x000D_&amp;1#&amp;"Calibri"&amp;10&amp;K000000 For internal use only</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8">
    <tabColor theme="3" tint="-0.499984740745262"/>
  </sheetPr>
  <dimension ref="B1:H74"/>
  <sheetViews>
    <sheetView showGridLines="0" workbookViewId="0">
      <selection activeCell="B8" sqref="B1:H8"/>
    </sheetView>
  </sheetViews>
  <sheetFormatPr defaultColWidth="9.140625" defaultRowHeight="12.75" x14ac:dyDescent="0.2"/>
  <cols>
    <col min="1" max="1" width="1.7109375" style="454" customWidth="1"/>
    <col min="2" max="2" width="19.7109375" style="453" customWidth="1"/>
    <col min="3" max="3" width="39.7109375" style="453" bestFit="1" customWidth="1"/>
    <col min="4" max="5" width="17" style="454" customWidth="1"/>
    <col min="6" max="6" width="15.5703125" style="454" bestFit="1" customWidth="1"/>
    <col min="7" max="16384" width="9.140625" style="454"/>
  </cols>
  <sheetData>
    <row r="1" spans="2:8" ht="9.75" customHeight="1" thickBot="1" x14ac:dyDescent="0.25"/>
    <row r="2" spans="2:8" ht="16.5" thickBot="1" x14ac:dyDescent="0.25">
      <c r="B2" s="1848" t="s">
        <v>1725</v>
      </c>
      <c r="C2" s="1849"/>
    </row>
    <row r="3" spans="2:8" x14ac:dyDescent="0.2">
      <c r="B3" s="455" t="s">
        <v>2</v>
      </c>
      <c r="C3" s="456" t="s">
        <v>3477</v>
      </c>
    </row>
    <row r="4" spans="2:8" ht="25.5" x14ac:dyDescent="0.2">
      <c r="B4" s="457" t="s">
        <v>1726</v>
      </c>
      <c r="C4" s="458" t="s">
        <v>3561</v>
      </c>
      <c r="F4" s="459"/>
      <c r="G4" s="460"/>
      <c r="H4" s="461"/>
    </row>
    <row r="5" spans="2:8" ht="25.5" x14ac:dyDescent="0.2">
      <c r="B5" s="457" t="s">
        <v>1727</v>
      </c>
      <c r="C5" s="458" t="s">
        <v>3562</v>
      </c>
      <c r="F5" s="459"/>
      <c r="G5" s="460"/>
      <c r="H5" s="461"/>
    </row>
    <row r="6" spans="2:8" ht="25.5" x14ac:dyDescent="0.2">
      <c r="B6" s="457" t="s">
        <v>1728</v>
      </c>
      <c r="C6" s="458" t="s">
        <v>3563</v>
      </c>
      <c r="F6" s="459"/>
      <c r="G6" s="460"/>
      <c r="H6" s="461"/>
    </row>
    <row r="7" spans="2:8" x14ac:dyDescent="0.2">
      <c r="B7" s="457" t="s">
        <v>1729</v>
      </c>
      <c r="C7" s="458"/>
      <c r="F7" s="459"/>
      <c r="G7" s="460"/>
      <c r="H7" s="461"/>
    </row>
    <row r="8" spans="2:8" x14ac:dyDescent="0.2">
      <c r="B8" s="457" t="s">
        <v>1730</v>
      </c>
      <c r="C8" s="458" t="s">
        <v>962</v>
      </c>
      <c r="F8" s="459"/>
      <c r="G8" s="460"/>
      <c r="H8" s="461"/>
    </row>
    <row r="9" spans="2:8" ht="25.5" x14ac:dyDescent="0.2">
      <c r="B9" s="457" t="s">
        <v>1731</v>
      </c>
      <c r="C9" s="462">
        <v>31840</v>
      </c>
      <c r="F9" s="459"/>
      <c r="G9" s="460"/>
      <c r="H9" s="461"/>
    </row>
    <row r="10" spans="2:8" ht="25.5" x14ac:dyDescent="0.2">
      <c r="B10" s="457" t="s">
        <v>1732</v>
      </c>
      <c r="C10" s="458" t="s">
        <v>3564</v>
      </c>
      <c r="F10" s="459"/>
      <c r="G10" s="460"/>
      <c r="H10" s="461"/>
    </row>
    <row r="11" spans="2:8" x14ac:dyDescent="0.2">
      <c r="B11" s="457" t="s">
        <v>1733</v>
      </c>
      <c r="C11" s="458" t="s">
        <v>3492</v>
      </c>
      <c r="F11" s="459"/>
      <c r="G11" s="460"/>
      <c r="H11" s="461"/>
    </row>
    <row r="12" spans="2:8" ht="25.5" x14ac:dyDescent="0.2">
      <c r="B12" s="457" t="s">
        <v>1734</v>
      </c>
      <c r="C12" s="458" t="s">
        <v>3565</v>
      </c>
      <c r="F12" s="459"/>
      <c r="G12" s="460"/>
      <c r="H12" s="461"/>
    </row>
    <row r="13" spans="2:8" x14ac:dyDescent="0.2">
      <c r="B13" s="457" t="s">
        <v>1735</v>
      </c>
      <c r="C13" s="458" t="s">
        <v>3566</v>
      </c>
      <c r="F13" s="459"/>
      <c r="G13" s="460"/>
      <c r="H13" s="461"/>
    </row>
    <row r="14" spans="2:8" ht="25.5" x14ac:dyDescent="0.2">
      <c r="B14" s="457" t="s">
        <v>1736</v>
      </c>
      <c r="C14" s="458" t="s">
        <v>3567</v>
      </c>
      <c r="F14" s="459"/>
      <c r="G14" s="460"/>
      <c r="H14" s="461"/>
    </row>
    <row r="15" spans="2:8" x14ac:dyDescent="0.2">
      <c r="B15" s="457" t="s">
        <v>1737</v>
      </c>
      <c r="C15" s="458" t="s">
        <v>3568</v>
      </c>
      <c r="F15" s="459"/>
      <c r="G15" s="460"/>
      <c r="H15" s="461"/>
    </row>
    <row r="16" spans="2:8" x14ac:dyDescent="0.2">
      <c r="B16" s="457" t="s">
        <v>1738</v>
      </c>
      <c r="C16" s="458" t="s">
        <v>3569</v>
      </c>
      <c r="F16" s="459"/>
      <c r="G16" s="460"/>
      <c r="H16" s="461"/>
    </row>
    <row r="17" spans="2:8" x14ac:dyDescent="0.2">
      <c r="B17" s="457" t="s">
        <v>1739</v>
      </c>
      <c r="C17" s="458" t="s">
        <v>3570</v>
      </c>
      <c r="F17" s="459"/>
      <c r="G17" s="460"/>
      <c r="H17" s="461"/>
    </row>
    <row r="18" spans="2:8" x14ac:dyDescent="0.2">
      <c r="B18" s="457" t="s">
        <v>1740</v>
      </c>
      <c r="C18" s="463">
        <v>34912</v>
      </c>
      <c r="F18" s="459"/>
      <c r="G18" s="460"/>
      <c r="H18" s="461"/>
    </row>
    <row r="19" spans="2:8" ht="13.5" thickBot="1" x14ac:dyDescent="0.25">
      <c r="B19" s="464" t="s">
        <v>1330</v>
      </c>
      <c r="C19" s="465">
        <v>44408.412349537037</v>
      </c>
      <c r="F19" s="459"/>
      <c r="G19" s="460"/>
      <c r="H19" s="461"/>
    </row>
    <row r="20" spans="2:8" ht="13.5" thickBot="1" x14ac:dyDescent="0.25"/>
    <row r="21" spans="2:8" ht="16.5" thickBot="1" x14ac:dyDescent="0.25">
      <c r="B21" s="1848" t="s">
        <v>1741</v>
      </c>
      <c r="C21" s="1850"/>
      <c r="D21" s="1850"/>
      <c r="E21" s="1850"/>
      <c r="F21" s="1849"/>
    </row>
    <row r="22" spans="2:8" x14ac:dyDescent="0.2">
      <c r="B22" s="466" t="s">
        <v>1742</v>
      </c>
      <c r="C22" s="467" t="s">
        <v>1743</v>
      </c>
      <c r="D22" s="468" t="s">
        <v>1744</v>
      </c>
      <c r="E22" s="469" t="s">
        <v>2037</v>
      </c>
      <c r="F22" s="470" t="s">
        <v>1745</v>
      </c>
    </row>
    <row r="23" spans="2:8" x14ac:dyDescent="0.2">
      <c r="B23" s="471">
        <v>44068.626967592594</v>
      </c>
      <c r="C23" s="472">
        <v>7128</v>
      </c>
      <c r="D23" s="473">
        <v>44397</v>
      </c>
      <c r="E23" s="474">
        <v>24</v>
      </c>
      <c r="F23" s="475" t="s">
        <v>3571</v>
      </c>
    </row>
    <row r="24" spans="2:8" x14ac:dyDescent="0.2">
      <c r="B24" s="471">
        <v>44091.489710648151</v>
      </c>
      <c r="C24" s="472">
        <v>7060</v>
      </c>
      <c r="D24" s="473">
        <v>44428</v>
      </c>
      <c r="E24" s="474">
        <v>25</v>
      </c>
      <c r="F24" s="475" t="s">
        <v>3571</v>
      </c>
    </row>
    <row r="25" spans="2:8" x14ac:dyDescent="0.2">
      <c r="B25" s="471">
        <v>44117.543414351851</v>
      </c>
      <c r="C25" s="472">
        <v>52464</v>
      </c>
      <c r="D25" s="473">
        <v>44459</v>
      </c>
      <c r="E25" s="474">
        <v>25</v>
      </c>
      <c r="F25" s="475" t="s">
        <v>3571</v>
      </c>
    </row>
    <row r="26" spans="2:8" x14ac:dyDescent="0.2">
      <c r="B26" s="471">
        <v>44154.49050925926</v>
      </c>
      <c r="C26" s="472">
        <v>52864</v>
      </c>
      <c r="D26" s="473">
        <v>44489</v>
      </c>
      <c r="E26" s="474">
        <v>25</v>
      </c>
      <c r="F26" s="475" t="s">
        <v>3571</v>
      </c>
    </row>
    <row r="27" spans="2:8" x14ac:dyDescent="0.2">
      <c r="B27" s="471">
        <v>44187.45417824074</v>
      </c>
      <c r="C27" s="472">
        <v>52944</v>
      </c>
      <c r="D27" s="473">
        <v>44520</v>
      </c>
      <c r="E27" s="474">
        <v>25</v>
      </c>
      <c r="F27" s="475" t="s">
        <v>3571</v>
      </c>
    </row>
    <row r="28" spans="2:8" x14ac:dyDescent="0.2">
      <c r="B28" s="471">
        <v>44215.663541666669</v>
      </c>
      <c r="C28" s="472">
        <v>54060</v>
      </c>
      <c r="D28" s="473">
        <v>44550</v>
      </c>
      <c r="E28" s="474">
        <v>26</v>
      </c>
      <c r="F28" s="475" t="s">
        <v>3571</v>
      </c>
    </row>
    <row r="29" spans="2:8" x14ac:dyDescent="0.2">
      <c r="B29" s="471">
        <v>44242.599606481483</v>
      </c>
      <c r="C29" s="472">
        <v>46878</v>
      </c>
      <c r="D29" s="473">
        <v>44217</v>
      </c>
      <c r="E29" s="474">
        <v>23</v>
      </c>
      <c r="F29" s="475" t="s">
        <v>3571</v>
      </c>
    </row>
    <row r="30" spans="2:8" x14ac:dyDescent="0.2">
      <c r="B30" s="471">
        <v>44271.476759259262</v>
      </c>
      <c r="C30" s="472">
        <v>46964</v>
      </c>
      <c r="D30" s="473">
        <v>44248</v>
      </c>
      <c r="E30" s="474">
        <v>23</v>
      </c>
      <c r="F30" s="475" t="s">
        <v>3571</v>
      </c>
    </row>
    <row r="31" spans="2:8" x14ac:dyDescent="0.2">
      <c r="B31" s="471">
        <v>44295.706412037034</v>
      </c>
      <c r="C31" s="472">
        <v>52580</v>
      </c>
      <c r="D31" s="473">
        <v>44276</v>
      </c>
      <c r="E31" s="474">
        <v>24</v>
      </c>
      <c r="F31" s="475" t="s">
        <v>3571</v>
      </c>
    </row>
    <row r="32" spans="2:8" x14ac:dyDescent="0.2">
      <c r="B32" s="471">
        <v>44326.483657407407</v>
      </c>
      <c r="C32" s="472">
        <v>48194</v>
      </c>
      <c r="D32" s="473">
        <v>44307</v>
      </c>
      <c r="E32" s="474">
        <v>24</v>
      </c>
      <c r="F32" s="475" t="s">
        <v>3571</v>
      </c>
    </row>
    <row r="33" spans="2:6" x14ac:dyDescent="0.2">
      <c r="B33" s="471">
        <v>44357.436435185184</v>
      </c>
      <c r="C33" s="472">
        <v>49548</v>
      </c>
      <c r="D33" s="473">
        <v>44337</v>
      </c>
      <c r="E33" s="474">
        <v>24</v>
      </c>
      <c r="F33" s="475" t="s">
        <v>3571</v>
      </c>
    </row>
    <row r="34" spans="2:6" ht="13.5" thickBot="1" x14ac:dyDescent="0.25">
      <c r="B34" s="476">
        <v>44390.586550925924</v>
      </c>
      <c r="C34" s="477">
        <v>50824</v>
      </c>
      <c r="D34" s="478">
        <v>44368</v>
      </c>
      <c r="E34" s="479">
        <v>24</v>
      </c>
      <c r="F34" s="480" t="s">
        <v>3571</v>
      </c>
    </row>
    <row r="35" spans="2:6" x14ac:dyDescent="0.2">
      <c r="B35" s="1534"/>
      <c r="D35" s="1535"/>
    </row>
    <row r="36" spans="2:6" x14ac:dyDescent="0.2">
      <c r="B36" s="1534"/>
      <c r="D36" s="1535"/>
    </row>
    <row r="37" spans="2:6" x14ac:dyDescent="0.2">
      <c r="B37" s="1534"/>
      <c r="D37" s="1535"/>
    </row>
    <row r="38" spans="2:6" x14ac:dyDescent="0.2">
      <c r="B38" s="1534"/>
      <c r="D38" s="1535"/>
    </row>
    <row r="39" spans="2:6" x14ac:dyDescent="0.2">
      <c r="B39" s="1534"/>
      <c r="D39" s="1535"/>
    </row>
    <row r="40" spans="2:6" x14ac:dyDescent="0.2">
      <c r="B40" s="1534"/>
      <c r="D40" s="1535"/>
    </row>
    <row r="41" spans="2:6" x14ac:dyDescent="0.2">
      <c r="B41" s="1534"/>
      <c r="D41" s="1535"/>
    </row>
    <row r="42" spans="2:6" x14ac:dyDescent="0.2">
      <c r="B42" s="1534"/>
      <c r="D42" s="1535"/>
    </row>
    <row r="43" spans="2:6" x14ac:dyDescent="0.2">
      <c r="B43" s="1534"/>
      <c r="D43" s="1535"/>
    </row>
    <row r="44" spans="2:6" x14ac:dyDescent="0.2">
      <c r="B44" s="1534"/>
      <c r="D44" s="1535"/>
    </row>
    <row r="45" spans="2:6" x14ac:dyDescent="0.2">
      <c r="B45" s="1534"/>
      <c r="D45" s="1535"/>
    </row>
    <row r="46" spans="2:6" x14ac:dyDescent="0.2">
      <c r="B46" s="1534"/>
      <c r="D46" s="1535"/>
    </row>
    <row r="47" spans="2:6" x14ac:dyDescent="0.2">
      <c r="B47" s="1534"/>
      <c r="D47" s="1535"/>
    </row>
    <row r="48" spans="2:6" x14ac:dyDescent="0.2">
      <c r="B48" s="1534"/>
      <c r="D48" s="1535"/>
    </row>
    <row r="49" spans="2:4" x14ac:dyDescent="0.2">
      <c r="B49" s="1534"/>
      <c r="D49" s="1535"/>
    </row>
    <row r="50" spans="2:4" x14ac:dyDescent="0.2">
      <c r="B50" s="1534"/>
      <c r="D50" s="1535"/>
    </row>
    <row r="51" spans="2:4" x14ac:dyDescent="0.2">
      <c r="B51" s="1534"/>
      <c r="D51" s="1535"/>
    </row>
    <row r="52" spans="2:4" x14ac:dyDescent="0.2">
      <c r="B52" s="1534"/>
      <c r="D52" s="1535"/>
    </row>
    <row r="53" spans="2:4" x14ac:dyDescent="0.2">
      <c r="B53" s="1534"/>
      <c r="D53" s="1535"/>
    </row>
    <row r="54" spans="2:4" x14ac:dyDescent="0.2">
      <c r="B54" s="1534"/>
      <c r="D54" s="1535"/>
    </row>
    <row r="55" spans="2:4" x14ac:dyDescent="0.2">
      <c r="B55" s="1534"/>
      <c r="D55" s="1535"/>
    </row>
    <row r="56" spans="2:4" x14ac:dyDescent="0.2">
      <c r="B56" s="1534"/>
      <c r="D56" s="1535"/>
    </row>
    <row r="57" spans="2:4" x14ac:dyDescent="0.2">
      <c r="B57" s="1534"/>
      <c r="D57" s="1535"/>
    </row>
    <row r="58" spans="2:4" x14ac:dyDescent="0.2">
      <c r="B58" s="1534"/>
      <c r="D58" s="1535"/>
    </row>
    <row r="59" spans="2:4" x14ac:dyDescent="0.2">
      <c r="B59" s="1534"/>
      <c r="D59" s="1535"/>
    </row>
    <row r="60" spans="2:4" x14ac:dyDescent="0.2">
      <c r="B60" s="1534"/>
      <c r="D60" s="1535"/>
    </row>
    <row r="61" spans="2:4" x14ac:dyDescent="0.2">
      <c r="B61" s="1534"/>
      <c r="D61" s="1535"/>
    </row>
    <row r="62" spans="2:4" x14ac:dyDescent="0.2">
      <c r="B62" s="1534"/>
      <c r="D62" s="1535"/>
    </row>
    <row r="63" spans="2:4" x14ac:dyDescent="0.2">
      <c r="B63" s="1534"/>
      <c r="D63" s="1535"/>
    </row>
    <row r="64" spans="2:4" x14ac:dyDescent="0.2">
      <c r="B64" s="1534"/>
      <c r="D64" s="1535"/>
    </row>
    <row r="65" spans="2:4" x14ac:dyDescent="0.2">
      <c r="B65" s="1534"/>
      <c r="D65" s="1535"/>
    </row>
    <row r="66" spans="2:4" x14ac:dyDescent="0.2">
      <c r="B66" s="1534"/>
      <c r="D66" s="1535"/>
    </row>
    <row r="67" spans="2:4" x14ac:dyDescent="0.2">
      <c r="B67" s="1534"/>
      <c r="D67" s="1535"/>
    </row>
    <row r="68" spans="2:4" x14ac:dyDescent="0.2">
      <c r="B68" s="1534"/>
      <c r="D68" s="1535"/>
    </row>
    <row r="69" spans="2:4" x14ac:dyDescent="0.2">
      <c r="B69" s="1534"/>
      <c r="D69" s="1535"/>
    </row>
    <row r="70" spans="2:4" x14ac:dyDescent="0.2">
      <c r="B70" s="1534"/>
      <c r="D70" s="1535"/>
    </row>
    <row r="71" spans="2:4" x14ac:dyDescent="0.2">
      <c r="B71" s="1534"/>
      <c r="D71" s="1535"/>
    </row>
    <row r="72" spans="2:4" x14ac:dyDescent="0.2">
      <c r="B72" s="1534"/>
      <c r="D72" s="1535"/>
    </row>
    <row r="73" spans="2:4" x14ac:dyDescent="0.2">
      <c r="B73" s="1534"/>
      <c r="D73" s="1535"/>
    </row>
    <row r="74" spans="2:4" x14ac:dyDescent="0.2">
      <c r="B74" s="1534"/>
      <c r="D74" s="1535"/>
    </row>
  </sheetData>
  <mergeCells count="2">
    <mergeCell ref="B2:C2"/>
    <mergeCell ref="B21:F21"/>
  </mergeCells>
  <pageMargins left="0.70866141732283472" right="0.70866141732283472" top="0.74803149606299213" bottom="0.74803149606299213" header="0.31496062992125984" footer="0.31496062992125984"/>
  <pageSetup paperSize="9" scale="80" orientation="portrait" r:id="rId1"/>
  <headerFooter>
    <oddFooter>&amp;C&amp;"Calibri"&amp;11&amp;K000000&amp;G_x000D_&amp;1#&amp;"Calibri"&amp;10&amp;K000000 For internal use only</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9">
    <tabColor theme="3" tint="-0.499984740745262"/>
  </sheetPr>
  <dimension ref="B1:C7"/>
  <sheetViews>
    <sheetView showGridLines="0" workbookViewId="0">
      <selection activeCell="B8" sqref="B1:H8"/>
    </sheetView>
  </sheetViews>
  <sheetFormatPr defaultColWidth="9.140625" defaultRowHeight="12.75" x14ac:dyDescent="0.2"/>
  <cols>
    <col min="1" max="1" width="2.7109375" style="481" customWidth="1"/>
    <col min="2" max="2" width="24.5703125" style="481" bestFit="1" customWidth="1"/>
    <col min="3" max="3" width="30.7109375" style="481" customWidth="1"/>
    <col min="4" max="16384" width="9.140625" style="481"/>
  </cols>
  <sheetData>
    <row r="1" spans="2:3" ht="13.5" thickBot="1" x14ac:dyDescent="0.25"/>
    <row r="2" spans="2:3" ht="16.5" thickBot="1" x14ac:dyDescent="0.25">
      <c r="B2" s="1851" t="s">
        <v>1725</v>
      </c>
      <c r="C2" s="1852"/>
    </row>
    <row r="3" spans="2:3" x14ac:dyDescent="0.2">
      <c r="B3" s="482" t="s">
        <v>2</v>
      </c>
      <c r="C3" s="483" t="s">
        <v>3476</v>
      </c>
    </row>
    <row r="4" spans="2:3" x14ac:dyDescent="0.2">
      <c r="B4" s="484" t="s">
        <v>1746</v>
      </c>
      <c r="C4" s="485"/>
    </row>
    <row r="5" spans="2:3" x14ac:dyDescent="0.2">
      <c r="B5" s="484" t="s">
        <v>1659</v>
      </c>
      <c r="C5" s="485"/>
    </row>
    <row r="6" spans="2:3" x14ac:dyDescent="0.2">
      <c r="B6" s="484" t="s">
        <v>1747</v>
      </c>
      <c r="C6" s="485"/>
    </row>
    <row r="7" spans="2:3" ht="13.5" thickBot="1" x14ac:dyDescent="0.25">
      <c r="B7" s="486" t="s">
        <v>1330</v>
      </c>
      <c r="C7" s="1533">
        <v>44408.414467592593</v>
      </c>
    </row>
  </sheetData>
  <mergeCells count="1">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0">
    <tabColor theme="3" tint="-0.499984740745262"/>
  </sheetPr>
  <dimension ref="B1:E15"/>
  <sheetViews>
    <sheetView showGridLines="0" workbookViewId="0">
      <selection activeCell="F10" sqref="F10"/>
    </sheetView>
  </sheetViews>
  <sheetFormatPr defaultColWidth="9.140625" defaultRowHeight="12.75" x14ac:dyDescent="0.2"/>
  <cols>
    <col min="1" max="1" width="2" style="181" customWidth="1"/>
    <col min="2" max="2" width="3.42578125" style="181" bestFit="1" customWidth="1"/>
    <col min="3" max="3" width="24.28515625" style="181" customWidth="1"/>
    <col min="4" max="4" width="27" style="181" customWidth="1"/>
    <col min="5" max="5" width="24" style="181" customWidth="1"/>
    <col min="6" max="16384" width="9.140625" style="181"/>
  </cols>
  <sheetData>
    <row r="1" spans="2:5" ht="13.5" thickBot="1" x14ac:dyDescent="0.25"/>
    <row r="2" spans="2:5" ht="15.75" x14ac:dyDescent="0.25">
      <c r="B2" s="1857" t="s">
        <v>678</v>
      </c>
      <c r="C2" s="1858"/>
      <c r="D2" s="1858"/>
      <c r="E2" s="1859"/>
    </row>
    <row r="3" spans="2:5" ht="25.5" x14ac:dyDescent="0.2">
      <c r="B3" s="367" t="s">
        <v>2535</v>
      </c>
      <c r="C3" s="367" t="s">
        <v>2</v>
      </c>
      <c r="D3" s="366" t="s">
        <v>2035</v>
      </c>
      <c r="E3" s="368" t="s">
        <v>2036</v>
      </c>
    </row>
    <row r="4" spans="2:5" ht="153" x14ac:dyDescent="0.2">
      <c r="B4" s="1853">
        <v>1</v>
      </c>
      <c r="C4" s="1853" t="s">
        <v>3482</v>
      </c>
      <c r="D4" s="1536" t="s">
        <v>3573</v>
      </c>
      <c r="E4" s="1537" t="s">
        <v>3574</v>
      </c>
    </row>
    <row r="5" spans="2:5" x14ac:dyDescent="0.2">
      <c r="B5" s="1854"/>
      <c r="C5" s="1854"/>
      <c r="D5" s="680"/>
      <c r="E5" s="1537"/>
    </row>
    <row r="6" spans="2:5" x14ac:dyDescent="0.2">
      <c r="B6" s="1856"/>
      <c r="C6" s="1856"/>
      <c r="D6" s="680"/>
      <c r="E6" s="681"/>
    </row>
    <row r="7" spans="2:5" x14ac:dyDescent="0.2">
      <c r="B7" s="1853">
        <v>2</v>
      </c>
      <c r="C7" s="1853" t="s">
        <v>3483</v>
      </c>
      <c r="D7" s="680" t="s">
        <v>3476</v>
      </c>
      <c r="E7" s="390"/>
    </row>
    <row r="8" spans="2:5" x14ac:dyDescent="0.2">
      <c r="B8" s="1854"/>
      <c r="C8" s="1854"/>
      <c r="D8" s="680"/>
      <c r="E8" s="681"/>
    </row>
    <row r="9" spans="2:5" x14ac:dyDescent="0.2">
      <c r="B9" s="1856"/>
      <c r="C9" s="1856"/>
      <c r="D9" s="680"/>
      <c r="E9" s="681"/>
    </row>
    <row r="10" spans="2:5" x14ac:dyDescent="0.2">
      <c r="B10" s="1853">
        <v>3</v>
      </c>
      <c r="C10" s="1853" t="s">
        <v>3484</v>
      </c>
      <c r="D10" s="680" t="s">
        <v>3476</v>
      </c>
      <c r="E10" s="390"/>
    </row>
    <row r="11" spans="2:5" x14ac:dyDescent="0.2">
      <c r="B11" s="1854"/>
      <c r="C11" s="1854"/>
      <c r="D11" s="680"/>
      <c r="E11" s="681"/>
    </row>
    <row r="12" spans="2:5" x14ac:dyDescent="0.2">
      <c r="B12" s="1856"/>
      <c r="C12" s="1856"/>
      <c r="D12" s="680"/>
      <c r="E12" s="681"/>
    </row>
    <row r="13" spans="2:5" x14ac:dyDescent="0.2">
      <c r="B13" s="1853">
        <v>4</v>
      </c>
      <c r="C13" s="1853"/>
      <c r="D13" s="680"/>
      <c r="E13" s="390"/>
    </row>
    <row r="14" spans="2:5" x14ac:dyDescent="0.2">
      <c r="B14" s="1854"/>
      <c r="C14" s="1854"/>
      <c r="D14" s="680"/>
      <c r="E14" s="681"/>
    </row>
    <row r="15" spans="2:5" ht="13.5" thickBot="1" x14ac:dyDescent="0.25">
      <c r="B15" s="1855"/>
      <c r="C15" s="1855"/>
      <c r="D15" s="682"/>
      <c r="E15" s="683"/>
    </row>
  </sheetData>
  <mergeCells count="9">
    <mergeCell ref="B13:B15"/>
    <mergeCell ref="C13:C15"/>
    <mergeCell ref="C4:C6"/>
    <mergeCell ref="B4:B6"/>
    <mergeCell ref="B2:E2"/>
    <mergeCell ref="B7:B9"/>
    <mergeCell ref="C7:C9"/>
    <mergeCell ref="B10:B12"/>
    <mergeCell ref="C10:C12"/>
  </mergeCells>
  <hyperlinks>
    <hyperlink ref="E4" r:id="rId1" xr:uid="{B1FF4BA7-41CA-4484-875D-E27C7EA09840}"/>
  </hyperlinks>
  <pageMargins left="0.70866141732283472" right="0.70866141732283472" top="0.74803149606299213" bottom="0.74803149606299213" header="0.31496062992125984" footer="0.31496062992125984"/>
  <pageSetup paperSize="9" orientation="portrait" r:id="rId2"/>
  <headerFooter>
    <oddFooter>&amp;C&amp;"Calibri"&amp;11&amp;K000000&amp;G_x000D_&amp;1#&amp;"Calibri"&amp;10&amp;K000000 For internal use only</oddFooter>
  </headerFooter>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tabColor theme="3" tint="-0.499984740745262"/>
  </sheetPr>
  <dimension ref="B1:G7"/>
  <sheetViews>
    <sheetView showGridLines="0" workbookViewId="0">
      <selection activeCell="C21" sqref="C21:E21"/>
    </sheetView>
  </sheetViews>
  <sheetFormatPr defaultColWidth="9.140625" defaultRowHeight="12.75" x14ac:dyDescent="0.2"/>
  <cols>
    <col min="1" max="1" width="2.7109375" style="481" customWidth="1"/>
    <col min="2" max="2" width="24.5703125" style="481" bestFit="1" customWidth="1"/>
    <col min="3" max="7" width="21.85546875" style="481" customWidth="1"/>
    <col min="8" max="16384" width="9.140625" style="481"/>
  </cols>
  <sheetData>
    <row r="1" spans="2:7" ht="13.5" thickBot="1" x14ac:dyDescent="0.25"/>
    <row r="2" spans="2:7" ht="16.5" thickBot="1" x14ac:dyDescent="0.25">
      <c r="B2" s="1860" t="s">
        <v>2020</v>
      </c>
      <c r="C2" s="1861"/>
      <c r="D2" s="1861"/>
      <c r="E2" s="1861"/>
      <c r="F2" s="1861"/>
      <c r="G2" s="1862"/>
    </row>
    <row r="3" spans="2:7" x14ac:dyDescent="0.2">
      <c r="B3" s="482" t="s">
        <v>2021</v>
      </c>
      <c r="C3" s="488" t="s">
        <v>3476</v>
      </c>
      <c r="D3" s="488"/>
      <c r="E3" s="488"/>
      <c r="F3" s="488"/>
      <c r="G3" s="483"/>
    </row>
    <row r="4" spans="2:7" x14ac:dyDescent="0.2">
      <c r="B4" s="484" t="s">
        <v>2022</v>
      </c>
      <c r="C4" s="489"/>
      <c r="D4" s="489"/>
      <c r="E4" s="489"/>
      <c r="F4" s="489"/>
      <c r="G4" s="485"/>
    </row>
    <row r="5" spans="2:7" x14ac:dyDescent="0.2">
      <c r="B5" s="484" t="s">
        <v>2023</v>
      </c>
      <c r="C5" s="489"/>
      <c r="D5" s="489"/>
      <c r="E5" s="489"/>
      <c r="F5" s="489"/>
      <c r="G5" s="485"/>
    </row>
    <row r="6" spans="2:7" x14ac:dyDescent="0.2">
      <c r="B6" s="484" t="s">
        <v>1623</v>
      </c>
      <c r="C6" s="489"/>
      <c r="D6" s="489"/>
      <c r="E6" s="489"/>
      <c r="F6" s="489"/>
      <c r="G6" s="485"/>
    </row>
    <row r="7" spans="2:7" ht="13.5" thickBot="1" x14ac:dyDescent="0.25">
      <c r="B7" s="486" t="s">
        <v>1330</v>
      </c>
      <c r="C7" s="1863"/>
      <c r="D7" s="1863"/>
      <c r="E7" s="1863"/>
      <c r="F7" s="1863"/>
      <c r="G7" s="1864"/>
    </row>
  </sheetData>
  <mergeCells count="2">
    <mergeCell ref="B2:G2"/>
    <mergeCell ref="C7:G7"/>
  </mergeCells>
  <pageMargins left="0.70866141732283472" right="0.70866141732283472" top="0.74803149606299213" bottom="0.74803149606299213" header="0.31496062992125984" footer="0.31496062992125984"/>
  <pageSetup paperSize="9" scale="60" orientation="portrait" r:id="rId1"/>
  <headerFooter>
    <oddFooter>&amp;C&amp;"Calibri"&amp;11&amp;K000000&amp;G_x000D_&amp;1#&amp;"Calibri"&amp;10&amp;K000000 For internal use only</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theme="3" tint="-0.499984740745262"/>
  </sheetPr>
  <dimension ref="B1:C15"/>
  <sheetViews>
    <sheetView showGridLines="0" workbookViewId="0">
      <selection activeCell="C21" sqref="C21:E21"/>
    </sheetView>
  </sheetViews>
  <sheetFormatPr defaultColWidth="9.140625" defaultRowHeight="12.75" x14ac:dyDescent="0.2"/>
  <cols>
    <col min="1" max="1" width="4.28515625" style="162" customWidth="1"/>
    <col min="2" max="2" width="22.5703125" style="162" bestFit="1" customWidth="1"/>
    <col min="3" max="3" width="32.5703125" style="162" customWidth="1"/>
    <col min="4" max="16384" width="9.140625" style="162"/>
  </cols>
  <sheetData>
    <row r="1" spans="2:3" ht="13.5" thickBot="1" x14ac:dyDescent="0.25"/>
    <row r="2" spans="2:3" ht="15.75" x14ac:dyDescent="0.2">
      <c r="B2" s="1865" t="s">
        <v>2024</v>
      </c>
      <c r="C2" s="1866"/>
    </row>
    <row r="3" spans="2:3" x14ac:dyDescent="0.2">
      <c r="B3" s="484" t="s">
        <v>2024</v>
      </c>
      <c r="C3" s="485" t="s">
        <v>3476</v>
      </c>
    </row>
    <row r="4" spans="2:3" x14ac:dyDescent="0.2">
      <c r="B4" s="484" t="s">
        <v>1337</v>
      </c>
      <c r="C4" s="485"/>
    </row>
    <row r="5" spans="2:3" x14ac:dyDescent="0.2">
      <c r="B5" s="484" t="s">
        <v>1659</v>
      </c>
      <c r="C5" s="485"/>
    </row>
    <row r="6" spans="2:3" x14ac:dyDescent="0.2">
      <c r="B6" s="484" t="s">
        <v>2025</v>
      </c>
      <c r="C6" s="485"/>
    </row>
    <row r="7" spans="2:3" x14ac:dyDescent="0.2">
      <c r="B7" s="484" t="s">
        <v>2026</v>
      </c>
      <c r="C7" s="485"/>
    </row>
    <row r="8" spans="2:3" x14ac:dyDescent="0.2">
      <c r="B8" s="484" t="s">
        <v>2027</v>
      </c>
      <c r="C8" s="485"/>
    </row>
    <row r="9" spans="2:3" x14ac:dyDescent="0.2">
      <c r="B9" s="484" t="s">
        <v>2028</v>
      </c>
      <c r="C9" s="485"/>
    </row>
    <row r="10" spans="2:3" x14ac:dyDescent="0.2">
      <c r="B10" s="484" t="s">
        <v>2029</v>
      </c>
      <c r="C10" s="485"/>
    </row>
    <row r="11" spans="2:3" x14ac:dyDescent="0.2">
      <c r="B11" s="484" t="s">
        <v>2030</v>
      </c>
      <c r="C11" s="485"/>
    </row>
    <row r="12" spans="2:3" x14ac:dyDescent="0.2">
      <c r="B12" s="484" t="s">
        <v>2031</v>
      </c>
      <c r="C12" s="485"/>
    </row>
    <row r="13" spans="2:3" x14ac:dyDescent="0.2">
      <c r="B13" s="484" t="s">
        <v>2032</v>
      </c>
      <c r="C13" s="485"/>
    </row>
    <row r="14" spans="2:3" x14ac:dyDescent="0.2">
      <c r="B14" s="484" t="s">
        <v>2033</v>
      </c>
      <c r="C14" s="485"/>
    </row>
    <row r="15" spans="2:3" ht="13.5" thickBot="1" x14ac:dyDescent="0.25">
      <c r="B15" s="486" t="s">
        <v>1330</v>
      </c>
      <c r="C15" s="487"/>
    </row>
  </sheetData>
  <mergeCells count="1">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B1:E38"/>
  <sheetViews>
    <sheetView workbookViewId="0">
      <selection activeCell="R1" sqref="R1:R1048576"/>
    </sheetView>
  </sheetViews>
  <sheetFormatPr defaultColWidth="9.140625" defaultRowHeight="12.75" x14ac:dyDescent="0.2"/>
  <cols>
    <col min="1" max="1" width="2.85546875" style="581" customWidth="1"/>
    <col min="2" max="2" width="6.7109375" style="581" customWidth="1"/>
    <col min="3" max="3" width="66.85546875" style="581" customWidth="1"/>
    <col min="4" max="4" width="18.7109375" style="581" customWidth="1"/>
    <col min="5" max="5" width="18.28515625" style="581" customWidth="1"/>
    <col min="6" max="6" width="3.28515625" style="581" customWidth="1"/>
    <col min="7" max="16384" width="9.140625" style="581"/>
  </cols>
  <sheetData>
    <row r="1" spans="2:5" ht="10.5" customHeight="1" thickBot="1" x14ac:dyDescent="0.25"/>
    <row r="2" spans="2:5" ht="12.75" customHeight="1" x14ac:dyDescent="0.2">
      <c r="B2" s="1894" t="str">
        <f>'Borrower Details'!A2</f>
        <v>Mortgage-Magnus-Unsecured</v>
      </c>
      <c r="C2" s="1895"/>
      <c r="D2" s="1881" t="s">
        <v>3</v>
      </c>
      <c r="E2" s="1884"/>
    </row>
    <row r="3" spans="2:5" ht="12.75" customHeight="1" x14ac:dyDescent="0.2">
      <c r="B3" s="1896"/>
      <c r="C3" s="1897"/>
      <c r="D3" s="1882"/>
      <c r="E3" s="1885"/>
    </row>
    <row r="4" spans="2:5" ht="12.75" customHeight="1" thickBot="1" x14ac:dyDescent="0.25">
      <c r="B4" s="1898"/>
      <c r="C4" s="1899"/>
      <c r="D4" s="1883"/>
      <c r="E4" s="1886"/>
    </row>
    <row r="5" spans="2:5" ht="15.75" x14ac:dyDescent="0.2">
      <c r="B5" s="1891" t="s">
        <v>2511</v>
      </c>
      <c r="C5" s="1892"/>
      <c r="D5" s="1892"/>
      <c r="E5" s="1893"/>
    </row>
    <row r="6" spans="2:5" x14ac:dyDescent="0.2">
      <c r="B6" s="662">
        <v>1</v>
      </c>
      <c r="C6" s="1889" t="s">
        <v>3485</v>
      </c>
      <c r="D6" s="1889"/>
      <c r="E6" s="1890"/>
    </row>
    <row r="7" spans="2:5" x14ac:dyDescent="0.2">
      <c r="B7" s="662">
        <v>2</v>
      </c>
      <c r="C7" s="1887" t="s">
        <v>3486</v>
      </c>
      <c r="D7" s="1887"/>
      <c r="E7" s="1888"/>
    </row>
    <row r="8" spans="2:5" x14ac:dyDescent="0.2">
      <c r="B8" s="662">
        <v>3</v>
      </c>
      <c r="C8" s="1887" t="s">
        <v>3487</v>
      </c>
      <c r="D8" s="1887"/>
      <c r="E8" s="1888"/>
    </row>
    <row r="9" spans="2:5" x14ac:dyDescent="0.2">
      <c r="B9" s="662">
        <v>4</v>
      </c>
      <c r="C9" s="1887" t="s">
        <v>3488</v>
      </c>
      <c r="D9" s="1887"/>
      <c r="E9" s="1888"/>
    </row>
    <row r="10" spans="2:5" x14ac:dyDescent="0.2">
      <c r="B10" s="662">
        <v>5</v>
      </c>
      <c r="C10" s="1887" t="s">
        <v>3489</v>
      </c>
      <c r="D10" s="1887"/>
      <c r="E10" s="1888"/>
    </row>
    <row r="11" spans="2:5" x14ac:dyDescent="0.2">
      <c r="B11" s="662">
        <v>6</v>
      </c>
      <c r="C11" s="1887" t="s">
        <v>3520</v>
      </c>
      <c r="D11" s="1887"/>
      <c r="E11" s="1888"/>
    </row>
    <row r="12" spans="2:5" x14ac:dyDescent="0.2">
      <c r="B12" s="662">
        <v>7</v>
      </c>
      <c r="C12" s="1887" t="s">
        <v>3521</v>
      </c>
      <c r="D12" s="1887"/>
      <c r="E12" s="1888"/>
    </row>
    <row r="13" spans="2:5" x14ac:dyDescent="0.2">
      <c r="B13" s="662">
        <v>8</v>
      </c>
      <c r="C13" s="1887" t="s">
        <v>3522</v>
      </c>
      <c r="D13" s="1887"/>
      <c r="E13" s="1888"/>
    </row>
    <row r="14" spans="2:5" x14ac:dyDescent="0.2">
      <c r="B14" s="662">
        <v>9</v>
      </c>
      <c r="C14" s="1887" t="s">
        <v>3523</v>
      </c>
      <c r="D14" s="1887"/>
      <c r="E14" s="1888"/>
    </row>
    <row r="15" spans="2:5" x14ac:dyDescent="0.2">
      <c r="B15" s="662">
        <v>10</v>
      </c>
      <c r="C15" s="1887" t="s">
        <v>3524</v>
      </c>
      <c r="D15" s="1887"/>
      <c r="E15" s="1888"/>
    </row>
    <row r="16" spans="2:5" x14ac:dyDescent="0.2">
      <c r="B16" s="662">
        <v>11</v>
      </c>
      <c r="C16" s="1887" t="s">
        <v>3525</v>
      </c>
      <c r="D16" s="1887"/>
      <c r="E16" s="1888"/>
    </row>
    <row r="17" spans="2:5" x14ac:dyDescent="0.2">
      <c r="B17" s="662">
        <v>12</v>
      </c>
      <c r="C17" s="1889" t="s">
        <v>3578</v>
      </c>
      <c r="D17" s="1887"/>
      <c r="E17" s="1888"/>
    </row>
    <row r="18" spans="2:5" x14ac:dyDescent="0.2">
      <c r="B18" s="662">
        <v>13</v>
      </c>
      <c r="C18" s="1887" t="s">
        <v>3579</v>
      </c>
      <c r="D18" s="1887"/>
      <c r="E18" s="1888"/>
    </row>
    <row r="19" spans="2:5" x14ac:dyDescent="0.2">
      <c r="B19" s="662">
        <v>14</v>
      </c>
      <c r="C19" s="1887" t="s">
        <v>3583</v>
      </c>
      <c r="D19" s="1887"/>
      <c r="E19" s="1888"/>
    </row>
    <row r="20" spans="2:5" x14ac:dyDescent="0.2">
      <c r="B20" s="662">
        <v>15</v>
      </c>
      <c r="C20" s="1887" t="s">
        <v>3584</v>
      </c>
      <c r="D20" s="1887"/>
      <c r="E20" s="1888"/>
    </row>
    <row r="21" spans="2:5" x14ac:dyDescent="0.2">
      <c r="B21" s="662">
        <v>16</v>
      </c>
      <c r="C21" s="1887"/>
      <c r="D21" s="1887"/>
      <c r="E21" s="1888"/>
    </row>
    <row r="22" spans="2:5" x14ac:dyDescent="0.2">
      <c r="B22" s="662">
        <v>17</v>
      </c>
      <c r="C22" s="1887"/>
      <c r="D22" s="1887"/>
      <c r="E22" s="1888"/>
    </row>
    <row r="23" spans="2:5" x14ac:dyDescent="0.2">
      <c r="B23" s="662">
        <v>18</v>
      </c>
      <c r="C23" s="1887"/>
      <c r="D23" s="1887"/>
      <c r="E23" s="1888"/>
    </row>
    <row r="24" spans="2:5" x14ac:dyDescent="0.2">
      <c r="B24" s="662">
        <v>19</v>
      </c>
      <c r="C24" s="1887"/>
      <c r="D24" s="1887"/>
      <c r="E24" s="1888"/>
    </row>
    <row r="25" spans="2:5" x14ac:dyDescent="0.2">
      <c r="B25" s="662">
        <v>20</v>
      </c>
      <c r="C25" s="1887"/>
      <c r="D25" s="1887"/>
      <c r="E25" s="1888"/>
    </row>
    <row r="26" spans="2:5" x14ac:dyDescent="0.2">
      <c r="B26" s="662">
        <v>21</v>
      </c>
      <c r="C26" s="1887"/>
      <c r="D26" s="1887"/>
      <c r="E26" s="1888"/>
    </row>
    <row r="27" spans="2:5" x14ac:dyDescent="0.2">
      <c r="B27" s="662">
        <v>22</v>
      </c>
      <c r="C27" s="1887"/>
      <c r="D27" s="1887"/>
      <c r="E27" s="1888"/>
    </row>
    <row r="28" spans="2:5" x14ac:dyDescent="0.2">
      <c r="B28" s="662">
        <v>23</v>
      </c>
      <c r="C28" s="1887"/>
      <c r="D28" s="1887"/>
      <c r="E28" s="1888"/>
    </row>
    <row r="29" spans="2:5" ht="13.5" thickBot="1" x14ac:dyDescent="0.25">
      <c r="B29" s="662">
        <v>24</v>
      </c>
      <c r="C29" s="1887"/>
      <c r="D29" s="1887"/>
      <c r="E29" s="1888"/>
    </row>
    <row r="30" spans="2:5" ht="15.75" x14ac:dyDescent="0.2">
      <c r="B30" s="1879" t="s">
        <v>492</v>
      </c>
      <c r="C30" s="1873"/>
      <c r="D30" s="1873" t="s">
        <v>493</v>
      </c>
      <c r="E30" s="1874"/>
    </row>
    <row r="31" spans="2:5" x14ac:dyDescent="0.2">
      <c r="B31" s="1880" t="s">
        <v>494</v>
      </c>
      <c r="C31" s="1877"/>
      <c r="D31" s="665" t="s">
        <v>505</v>
      </c>
      <c r="E31" s="663"/>
    </row>
    <row r="32" spans="2:5" x14ac:dyDescent="0.2">
      <c r="B32" s="1880" t="s">
        <v>495</v>
      </c>
      <c r="C32" s="1877"/>
      <c r="D32" s="665" t="s">
        <v>2</v>
      </c>
      <c r="E32" s="663"/>
    </row>
    <row r="33" spans="2:5" ht="12.75" customHeight="1" x14ac:dyDescent="0.2">
      <c r="B33" s="1867" t="s">
        <v>496</v>
      </c>
      <c r="C33" s="1868"/>
      <c r="D33" s="1877" t="s">
        <v>484</v>
      </c>
      <c r="E33" s="1875"/>
    </row>
    <row r="34" spans="2:5" ht="12.75" customHeight="1" x14ac:dyDescent="0.2">
      <c r="B34" s="1869"/>
      <c r="C34" s="1870"/>
      <c r="D34" s="1877"/>
      <c r="E34" s="1875"/>
    </row>
    <row r="35" spans="2:5" ht="12.75" customHeight="1" x14ac:dyDescent="0.2">
      <c r="B35" s="1869"/>
      <c r="C35" s="1870"/>
      <c r="D35" s="1877"/>
      <c r="E35" s="1875"/>
    </row>
    <row r="36" spans="2:5" ht="12.75" customHeight="1" thickBot="1" x14ac:dyDescent="0.25">
      <c r="B36" s="1871"/>
      <c r="C36" s="1872"/>
      <c r="D36" s="1878"/>
      <c r="E36" s="1876"/>
    </row>
    <row r="37" spans="2:5" x14ac:dyDescent="0.2">
      <c r="B37" s="664"/>
    </row>
    <row r="38" spans="2:5" x14ac:dyDescent="0.2">
      <c r="B38" s="664"/>
    </row>
  </sheetData>
  <sheetProtection formatCells="0" formatColumns="0"/>
  <mergeCells count="35">
    <mergeCell ref="C22:E22"/>
    <mergeCell ref="C28:E28"/>
    <mergeCell ref="C29:E29"/>
    <mergeCell ref="C23:E23"/>
    <mergeCell ref="C16:E16"/>
    <mergeCell ref="C17:E17"/>
    <mergeCell ref="C19:E19"/>
    <mergeCell ref="C21:E21"/>
    <mergeCell ref="C18:E18"/>
    <mergeCell ref="C24:E24"/>
    <mergeCell ref="C25:E25"/>
    <mergeCell ref="C26:E26"/>
    <mergeCell ref="D2:D4"/>
    <mergeCell ref="E2:E4"/>
    <mergeCell ref="C14:E14"/>
    <mergeCell ref="C20:E20"/>
    <mergeCell ref="C27:E27"/>
    <mergeCell ref="C6:E6"/>
    <mergeCell ref="C7:E7"/>
    <mergeCell ref="C8:E8"/>
    <mergeCell ref="C10:E10"/>
    <mergeCell ref="C9:E9"/>
    <mergeCell ref="C11:E11"/>
    <mergeCell ref="C12:E12"/>
    <mergeCell ref="B5:E5"/>
    <mergeCell ref="B2:C4"/>
    <mergeCell ref="C13:E13"/>
    <mergeCell ref="C15:E15"/>
    <mergeCell ref="B33:C36"/>
    <mergeCell ref="D30:E30"/>
    <mergeCell ref="E33:E36"/>
    <mergeCell ref="D33:D36"/>
    <mergeCell ref="B30:C30"/>
    <mergeCell ref="B31:C31"/>
    <mergeCell ref="B32:C32"/>
  </mergeCells>
  <pageMargins left="0.27" right="0.28000000000000003" top="0.75" bottom="0.75" header="0.3" footer="0.3"/>
  <pageSetup paperSize="9" scale="90"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B2:L88"/>
  <sheetViews>
    <sheetView workbookViewId="0">
      <selection activeCell="F3" sqref="F3"/>
    </sheetView>
  </sheetViews>
  <sheetFormatPr defaultRowHeight="12.75" x14ac:dyDescent="0.2"/>
  <cols>
    <col min="1" max="1" width="2.28515625" customWidth="1"/>
    <col min="2" max="2" width="34.85546875" bestFit="1" customWidth="1"/>
    <col min="4" max="4" width="23.85546875" bestFit="1" customWidth="1"/>
  </cols>
  <sheetData>
    <row r="2" spans="2:12" x14ac:dyDescent="0.2">
      <c r="B2" t="s">
        <v>1788</v>
      </c>
      <c r="D2" t="s">
        <v>802</v>
      </c>
      <c r="F2" t="s">
        <v>201</v>
      </c>
      <c r="L2" s="181"/>
    </row>
    <row r="3" spans="2:12" x14ac:dyDescent="0.2">
      <c r="B3" t="s">
        <v>209</v>
      </c>
      <c r="D3" s="181" t="s">
        <v>1794</v>
      </c>
      <c r="F3" t="s">
        <v>84</v>
      </c>
      <c r="L3" s="181"/>
    </row>
    <row r="4" spans="2:12" x14ac:dyDescent="0.2">
      <c r="B4" t="s">
        <v>1789</v>
      </c>
      <c r="D4" s="181" t="s">
        <v>1795</v>
      </c>
      <c r="F4" t="s">
        <v>85</v>
      </c>
      <c r="L4" s="181"/>
    </row>
    <row r="5" spans="2:12" x14ac:dyDescent="0.2">
      <c r="B5" t="s">
        <v>1790</v>
      </c>
      <c r="D5" s="181" t="s">
        <v>1796</v>
      </c>
      <c r="F5" t="s">
        <v>86</v>
      </c>
      <c r="L5" s="181"/>
    </row>
    <row r="6" spans="2:12" x14ac:dyDescent="0.2">
      <c r="B6" t="s">
        <v>403</v>
      </c>
      <c r="D6" s="181" t="s">
        <v>1800</v>
      </c>
      <c r="F6" t="s">
        <v>165</v>
      </c>
      <c r="L6" s="181"/>
    </row>
    <row r="7" spans="2:12" x14ac:dyDescent="0.2">
      <c r="B7" t="s">
        <v>1791</v>
      </c>
      <c r="D7" s="181" t="s">
        <v>1797</v>
      </c>
      <c r="F7" t="s">
        <v>87</v>
      </c>
      <c r="L7" s="181"/>
    </row>
    <row r="8" spans="2:12" x14ac:dyDescent="0.2">
      <c r="B8" t="s">
        <v>1792</v>
      </c>
      <c r="D8" s="181" t="s">
        <v>1799</v>
      </c>
      <c r="F8" t="s">
        <v>163</v>
      </c>
      <c r="L8" s="181"/>
    </row>
    <row r="9" spans="2:12" x14ac:dyDescent="0.2">
      <c r="B9" t="s">
        <v>1793</v>
      </c>
      <c r="D9" s="181" t="s">
        <v>1798</v>
      </c>
      <c r="F9" t="s">
        <v>88</v>
      </c>
    </row>
    <row r="10" spans="2:12" x14ac:dyDescent="0.2">
      <c r="F10" t="s">
        <v>89</v>
      </c>
    </row>
    <row r="11" spans="2:12" x14ac:dyDescent="0.2">
      <c r="F11" t="s">
        <v>154</v>
      </c>
    </row>
    <row r="12" spans="2:12" x14ac:dyDescent="0.2">
      <c r="F12" t="s">
        <v>144</v>
      </c>
    </row>
    <row r="13" spans="2:12" x14ac:dyDescent="0.2">
      <c r="F13" t="s">
        <v>172</v>
      </c>
    </row>
    <row r="14" spans="2:12" x14ac:dyDescent="0.2">
      <c r="F14" t="s">
        <v>159</v>
      </c>
    </row>
    <row r="15" spans="2:12" x14ac:dyDescent="0.2">
      <c r="F15" t="s">
        <v>90</v>
      </c>
    </row>
    <row r="16" spans="2:12" x14ac:dyDescent="0.2">
      <c r="F16" t="s">
        <v>91</v>
      </c>
    </row>
    <row r="17" spans="6:6" x14ac:dyDescent="0.2">
      <c r="F17" t="s">
        <v>93</v>
      </c>
    </row>
    <row r="18" spans="6:6" x14ac:dyDescent="0.2">
      <c r="F18" t="s">
        <v>94</v>
      </c>
    </row>
    <row r="19" spans="6:6" x14ac:dyDescent="0.2">
      <c r="F19" t="s">
        <v>95</v>
      </c>
    </row>
    <row r="20" spans="6:6" x14ac:dyDescent="0.2">
      <c r="F20" t="s">
        <v>96</v>
      </c>
    </row>
    <row r="21" spans="6:6" x14ac:dyDescent="0.2">
      <c r="F21" t="s">
        <v>97</v>
      </c>
    </row>
    <row r="22" spans="6:6" x14ac:dyDescent="0.2">
      <c r="F22" t="s">
        <v>98</v>
      </c>
    </row>
    <row r="23" spans="6:6" x14ac:dyDescent="0.2">
      <c r="F23" t="s">
        <v>156</v>
      </c>
    </row>
    <row r="24" spans="6:6" x14ac:dyDescent="0.2">
      <c r="F24" t="s">
        <v>157</v>
      </c>
    </row>
    <row r="25" spans="6:6" x14ac:dyDescent="0.2">
      <c r="F25" t="s">
        <v>175</v>
      </c>
    </row>
    <row r="26" spans="6:6" x14ac:dyDescent="0.2">
      <c r="F26" t="s">
        <v>142</v>
      </c>
    </row>
    <row r="27" spans="6:6" x14ac:dyDescent="0.2">
      <c r="F27" t="s">
        <v>99</v>
      </c>
    </row>
    <row r="28" spans="6:6" x14ac:dyDescent="0.2">
      <c r="F28" t="s">
        <v>155</v>
      </c>
    </row>
    <row r="29" spans="6:6" x14ac:dyDescent="0.2">
      <c r="F29" t="s">
        <v>100</v>
      </c>
    </row>
    <row r="30" spans="6:6" x14ac:dyDescent="0.2">
      <c r="F30" t="s">
        <v>101</v>
      </c>
    </row>
    <row r="31" spans="6:6" x14ac:dyDescent="0.2">
      <c r="F31" t="s">
        <v>102</v>
      </c>
    </row>
    <row r="32" spans="6:6" x14ac:dyDescent="0.2">
      <c r="F32" t="s">
        <v>146</v>
      </c>
    </row>
    <row r="33" spans="6:6" x14ac:dyDescent="0.2">
      <c r="F33" t="s">
        <v>103</v>
      </c>
    </row>
    <row r="34" spans="6:6" x14ac:dyDescent="0.2">
      <c r="F34" t="s">
        <v>145</v>
      </c>
    </row>
    <row r="35" spans="6:6" x14ac:dyDescent="0.2">
      <c r="F35" t="s">
        <v>104</v>
      </c>
    </row>
    <row r="36" spans="6:6" x14ac:dyDescent="0.2">
      <c r="F36" t="s">
        <v>148</v>
      </c>
    </row>
    <row r="37" spans="6:6" x14ac:dyDescent="0.2">
      <c r="F37" t="s">
        <v>150</v>
      </c>
    </row>
    <row r="38" spans="6:6" x14ac:dyDescent="0.2">
      <c r="F38" t="s">
        <v>105</v>
      </c>
    </row>
    <row r="39" spans="6:6" x14ac:dyDescent="0.2">
      <c r="F39" t="s">
        <v>106</v>
      </c>
    </row>
    <row r="40" spans="6:6" x14ac:dyDescent="0.2">
      <c r="F40" t="s">
        <v>107</v>
      </c>
    </row>
    <row r="41" spans="6:6" x14ac:dyDescent="0.2">
      <c r="F41" t="s">
        <v>108</v>
      </c>
    </row>
    <row r="42" spans="6:6" x14ac:dyDescent="0.2">
      <c r="F42" t="s">
        <v>109</v>
      </c>
    </row>
    <row r="43" spans="6:6" x14ac:dyDescent="0.2">
      <c r="F43" t="s">
        <v>164</v>
      </c>
    </row>
    <row r="44" spans="6:6" x14ac:dyDescent="0.2">
      <c r="F44" t="s">
        <v>110</v>
      </c>
    </row>
    <row r="45" spans="6:6" x14ac:dyDescent="0.2">
      <c r="F45" t="s">
        <v>168</v>
      </c>
    </row>
    <row r="46" spans="6:6" x14ac:dyDescent="0.2">
      <c r="F46" t="s">
        <v>111</v>
      </c>
    </row>
    <row r="47" spans="6:6" x14ac:dyDescent="0.2">
      <c r="F47" t="s">
        <v>112</v>
      </c>
    </row>
    <row r="48" spans="6:6" x14ac:dyDescent="0.2">
      <c r="F48" t="s">
        <v>160</v>
      </c>
    </row>
    <row r="49" spans="6:6" x14ac:dyDescent="0.2">
      <c r="F49" t="s">
        <v>113</v>
      </c>
    </row>
    <row r="50" spans="6:6" x14ac:dyDescent="0.2">
      <c r="F50" t="s">
        <v>114</v>
      </c>
    </row>
    <row r="51" spans="6:6" x14ac:dyDescent="0.2">
      <c r="F51" t="s">
        <v>152</v>
      </c>
    </row>
    <row r="52" spans="6:6" x14ac:dyDescent="0.2">
      <c r="F52" t="s">
        <v>115</v>
      </c>
    </row>
    <row r="53" spans="6:6" x14ac:dyDescent="0.2">
      <c r="F53" t="s">
        <v>116</v>
      </c>
    </row>
    <row r="54" spans="6:6" x14ac:dyDescent="0.2">
      <c r="F54" t="s">
        <v>151</v>
      </c>
    </row>
    <row r="55" spans="6:6" x14ac:dyDescent="0.2">
      <c r="F55" t="s">
        <v>117</v>
      </c>
    </row>
    <row r="56" spans="6:6" x14ac:dyDescent="0.2">
      <c r="F56" t="s">
        <v>173</v>
      </c>
    </row>
    <row r="57" spans="6:6" x14ac:dyDescent="0.2">
      <c r="F57" t="s">
        <v>118</v>
      </c>
    </row>
    <row r="58" spans="6:6" x14ac:dyDescent="0.2">
      <c r="F58" t="s">
        <v>193</v>
      </c>
    </row>
    <row r="59" spans="6:6" x14ac:dyDescent="0.2">
      <c r="F59" t="s">
        <v>158</v>
      </c>
    </row>
    <row r="60" spans="6:6" x14ac:dyDescent="0.2">
      <c r="F60" t="s">
        <v>119</v>
      </c>
    </row>
    <row r="61" spans="6:6" x14ac:dyDescent="0.2">
      <c r="F61" t="s">
        <v>120</v>
      </c>
    </row>
    <row r="62" spans="6:6" x14ac:dyDescent="0.2">
      <c r="F62" t="s">
        <v>166</v>
      </c>
    </row>
    <row r="63" spans="6:6" x14ac:dyDescent="0.2">
      <c r="F63" t="s">
        <v>162</v>
      </c>
    </row>
    <row r="64" spans="6:6" x14ac:dyDescent="0.2">
      <c r="F64" t="s">
        <v>161</v>
      </c>
    </row>
    <row r="65" spans="6:6" x14ac:dyDescent="0.2">
      <c r="F65" t="s">
        <v>121</v>
      </c>
    </row>
    <row r="66" spans="6:6" x14ac:dyDescent="0.2">
      <c r="F66" t="s">
        <v>122</v>
      </c>
    </row>
    <row r="67" spans="6:6" x14ac:dyDescent="0.2">
      <c r="F67" t="s">
        <v>123</v>
      </c>
    </row>
    <row r="68" spans="6:6" x14ac:dyDescent="0.2">
      <c r="F68" t="s">
        <v>124</v>
      </c>
    </row>
    <row r="69" spans="6:6" x14ac:dyDescent="0.2">
      <c r="F69" t="s">
        <v>147</v>
      </c>
    </row>
    <row r="70" spans="6:6" x14ac:dyDescent="0.2">
      <c r="F70" t="s">
        <v>143</v>
      </c>
    </row>
    <row r="71" spans="6:6" x14ac:dyDescent="0.2">
      <c r="F71" t="s">
        <v>125</v>
      </c>
    </row>
    <row r="72" spans="6:6" x14ac:dyDescent="0.2">
      <c r="F72" t="s">
        <v>126</v>
      </c>
    </row>
    <row r="73" spans="6:6" x14ac:dyDescent="0.2">
      <c r="F73" t="s">
        <v>127</v>
      </c>
    </row>
    <row r="74" spans="6:6" x14ac:dyDescent="0.2">
      <c r="F74" t="s">
        <v>167</v>
      </c>
    </row>
    <row r="75" spans="6:6" x14ac:dyDescent="0.2">
      <c r="F75" t="s">
        <v>128</v>
      </c>
    </row>
    <row r="76" spans="6:6" x14ac:dyDescent="0.2">
      <c r="F76" t="s">
        <v>129</v>
      </c>
    </row>
    <row r="77" spans="6:6" x14ac:dyDescent="0.2">
      <c r="F77" t="s">
        <v>153</v>
      </c>
    </row>
    <row r="78" spans="6:6" x14ac:dyDescent="0.2">
      <c r="F78" t="s">
        <v>130</v>
      </c>
    </row>
    <row r="79" spans="6:6" x14ac:dyDescent="0.2">
      <c r="F79" t="s">
        <v>171</v>
      </c>
    </row>
    <row r="80" spans="6:6" x14ac:dyDescent="0.2">
      <c r="F80" t="s">
        <v>170</v>
      </c>
    </row>
    <row r="81" spans="6:6" x14ac:dyDescent="0.2">
      <c r="F81" t="s">
        <v>149</v>
      </c>
    </row>
    <row r="82" spans="6:6" x14ac:dyDescent="0.2">
      <c r="F82" t="s">
        <v>131</v>
      </c>
    </row>
    <row r="83" spans="6:6" x14ac:dyDescent="0.2">
      <c r="F83" t="s">
        <v>132</v>
      </c>
    </row>
    <row r="84" spans="6:6" x14ac:dyDescent="0.2">
      <c r="F84" t="s">
        <v>169</v>
      </c>
    </row>
    <row r="85" spans="6:6" x14ac:dyDescent="0.2">
      <c r="F85" t="s">
        <v>133</v>
      </c>
    </row>
    <row r="86" spans="6:6" x14ac:dyDescent="0.2">
      <c r="F86" t="s">
        <v>134</v>
      </c>
    </row>
    <row r="87" spans="6:6" x14ac:dyDescent="0.2">
      <c r="F87" t="s">
        <v>135</v>
      </c>
    </row>
    <row r="88" spans="6:6" x14ac:dyDescent="0.2">
      <c r="F88" t="s">
        <v>174</v>
      </c>
    </row>
  </sheetData>
  <pageMargins left="0.7" right="0.7" top="0.75" bottom="0.75" header="0.3" footer="0.3"/>
  <pageSetup paperSize="9" orientation="portrait" r:id="rId1"/>
  <headerFooter>
    <oddFooter>&amp;C&amp;1#&amp;"Calibri"&amp;10&amp;K000000 For internal use only</oddFooter>
  </headerFooter>
  <tableParts count="3">
    <tablePart r:id="rId2"/>
    <tablePart r:id="rId3"/>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pageSetUpPr fitToPage="1"/>
  </sheetPr>
  <dimension ref="A1:O93"/>
  <sheetViews>
    <sheetView showGridLines="0" topLeftCell="A25" zoomScale="80" zoomScaleNormal="80" zoomScaleSheetLayoutView="70" workbookViewId="0">
      <selection activeCell="R1" sqref="R1:R1048576"/>
    </sheetView>
  </sheetViews>
  <sheetFormatPr defaultColWidth="9.140625" defaultRowHeight="15" x14ac:dyDescent="0.2"/>
  <cols>
    <col min="1" max="1" width="36.140625" style="16" customWidth="1"/>
    <col min="2" max="2" width="21.5703125" style="16" customWidth="1"/>
    <col min="3" max="3" width="15.140625" style="16" customWidth="1"/>
    <col min="4" max="4" width="14.85546875" style="16" customWidth="1"/>
    <col min="5" max="5" width="18.85546875" style="16" customWidth="1"/>
    <col min="6" max="6" width="10.5703125" style="16" customWidth="1"/>
    <col min="7" max="7" width="13.5703125" style="16" customWidth="1"/>
    <col min="8" max="8" width="12.140625" style="16" customWidth="1"/>
    <col min="9" max="9" width="25.7109375" style="16" customWidth="1"/>
    <col min="10" max="10" width="21.85546875" style="16" customWidth="1"/>
    <col min="11" max="11" width="14.5703125" style="16" customWidth="1"/>
    <col min="12" max="12" width="16.7109375" style="16" customWidth="1"/>
    <col min="13" max="13" width="14.140625" style="16" customWidth="1"/>
    <col min="14" max="14" width="9.140625" style="16" customWidth="1"/>
    <col min="15" max="15" width="9.140625" style="6" hidden="1" customWidth="1"/>
    <col min="16" max="17" width="9.140625" style="16"/>
    <col min="18" max="18" width="9.140625" style="16" customWidth="1"/>
    <col min="19" max="16384" width="9.140625" style="16"/>
  </cols>
  <sheetData>
    <row r="1" spans="1:15" ht="5.25" customHeight="1" thickBot="1" x14ac:dyDescent="0.25"/>
    <row r="2" spans="1:15" ht="14.25" customHeight="1" x14ac:dyDescent="0.2">
      <c r="A2" s="1671" t="str">
        <f>'Product Details'!B3</f>
        <v>Mortgage-Magnus-Unsecured</v>
      </c>
      <c r="B2" s="1945"/>
      <c r="C2" s="1945"/>
      <c r="D2" s="1939" t="s">
        <v>49</v>
      </c>
      <c r="E2" s="1939"/>
      <c r="F2" s="1939"/>
      <c r="G2" s="1939"/>
      <c r="H2" s="1939"/>
      <c r="I2" s="1939"/>
      <c r="J2" s="1939" t="s">
        <v>3</v>
      </c>
      <c r="K2" s="1942"/>
      <c r="O2" s="6" t="s">
        <v>201</v>
      </c>
    </row>
    <row r="3" spans="1:15" ht="15" customHeight="1" x14ac:dyDescent="0.2">
      <c r="A3" s="1946"/>
      <c r="B3" s="1947"/>
      <c r="C3" s="1947"/>
      <c r="D3" s="1940"/>
      <c r="E3" s="1940"/>
      <c r="F3" s="1940"/>
      <c r="G3" s="1940"/>
      <c r="H3" s="1940"/>
      <c r="I3" s="1940"/>
      <c r="J3" s="1940"/>
      <c r="K3" s="1943"/>
      <c r="O3" s="6" t="s">
        <v>84</v>
      </c>
    </row>
    <row r="4" spans="1:15" ht="14.25" customHeight="1" x14ac:dyDescent="0.2">
      <c r="A4" s="1948"/>
      <c r="B4" s="1949"/>
      <c r="C4" s="1949"/>
      <c r="D4" s="1941"/>
      <c r="E4" s="1941"/>
      <c r="F4" s="1941"/>
      <c r="G4" s="1941"/>
      <c r="H4" s="1941"/>
      <c r="I4" s="1941"/>
      <c r="J4" s="1941"/>
      <c r="K4" s="1944"/>
      <c r="O4" s="6" t="s">
        <v>85</v>
      </c>
    </row>
    <row r="5" spans="1:15" ht="14.25" customHeight="1" x14ac:dyDescent="0.2">
      <c r="A5" s="305" t="s">
        <v>1875</v>
      </c>
      <c r="B5" s="1919" t="s">
        <v>3502</v>
      </c>
      <c r="C5" s="1921"/>
      <c r="D5" s="1950" t="s">
        <v>1876</v>
      </c>
      <c r="E5" s="1951"/>
      <c r="F5" s="1959"/>
      <c r="G5" s="1960"/>
      <c r="H5" s="1961"/>
      <c r="I5" s="306" t="s">
        <v>1877</v>
      </c>
      <c r="J5" s="1952"/>
      <c r="K5" s="1953"/>
      <c r="O5" s="6" t="s">
        <v>86</v>
      </c>
    </row>
    <row r="6" spans="1:15" ht="14.25" customHeight="1" thickBot="1" x14ac:dyDescent="0.25">
      <c r="A6" s="307" t="s">
        <v>1878</v>
      </c>
      <c r="B6" s="1919" t="s">
        <v>1340</v>
      </c>
      <c r="C6" s="1921"/>
      <c r="D6" s="1954" t="s">
        <v>1879</v>
      </c>
      <c r="E6" s="1955"/>
      <c r="F6" s="1956"/>
      <c r="G6" s="1957"/>
      <c r="H6" s="1958"/>
      <c r="I6" s="306" t="s">
        <v>1880</v>
      </c>
      <c r="J6" s="1952"/>
      <c r="K6" s="1953"/>
      <c r="O6" s="384" t="s">
        <v>165</v>
      </c>
    </row>
    <row r="7" spans="1:15" ht="18" customHeight="1" thickBot="1" x14ac:dyDescent="0.25">
      <c r="A7" s="1924" t="s">
        <v>1</v>
      </c>
      <c r="B7" s="1925"/>
      <c r="C7" s="1925"/>
      <c r="D7" s="1925"/>
      <c r="E7" s="1925"/>
      <c r="F7" s="1925"/>
      <c r="G7" s="1925"/>
      <c r="H7" s="1925"/>
      <c r="I7" s="1925"/>
      <c r="J7" s="1925"/>
      <c r="K7" s="1926"/>
      <c r="O7" s="6" t="s">
        <v>87</v>
      </c>
    </row>
    <row r="8" spans="1:15" ht="18" customHeight="1" x14ac:dyDescent="0.2">
      <c r="A8" s="74" t="s">
        <v>298</v>
      </c>
      <c r="B8" s="1902" t="s">
        <v>3477</v>
      </c>
      <c r="C8" s="1903"/>
      <c r="D8" s="1903"/>
      <c r="E8" s="1903"/>
      <c r="F8" s="1903"/>
      <c r="G8" s="1903"/>
      <c r="H8" s="1904"/>
      <c r="I8" s="248" t="s">
        <v>1801</v>
      </c>
      <c r="J8" s="1900">
        <v>44407</v>
      </c>
      <c r="K8" s="1901"/>
      <c r="O8" s="384" t="s">
        <v>163</v>
      </c>
    </row>
    <row r="9" spans="1:15" ht="18" customHeight="1" x14ac:dyDescent="0.2">
      <c r="A9" s="75" t="s">
        <v>46</v>
      </c>
      <c r="B9" s="1927" t="str">
        <f>B11</f>
        <v>327 DR B C ROY ROAD P O DIGALPOTA, , Dakshin Jagatdal SO, South 24 Parganas, WEST BENGAL, 700151</v>
      </c>
      <c r="C9" s="1927"/>
      <c r="D9" s="1927"/>
      <c r="E9" s="1927"/>
      <c r="F9" s="1927"/>
      <c r="G9" s="1927"/>
      <c r="H9" s="1927"/>
      <c r="I9" s="1927"/>
      <c r="J9" s="1927"/>
      <c r="K9" s="1928"/>
      <c r="O9" s="6" t="s">
        <v>88</v>
      </c>
    </row>
    <row r="10" spans="1:15" ht="18" customHeight="1" x14ac:dyDescent="0.2">
      <c r="A10" s="75" t="s">
        <v>3232</v>
      </c>
      <c r="B10" s="1927" t="str">
        <f>GST!E10</f>
        <v>327, DR B C ROY ROAD, D JAGADDAOL, DINGELPOTA, Kolkata, West Bengal, 700151</v>
      </c>
      <c r="C10" s="1927"/>
      <c r="D10" s="1927"/>
      <c r="E10" s="1927"/>
      <c r="F10" s="1927"/>
      <c r="G10" s="1927"/>
      <c r="H10" s="1927"/>
      <c r="I10" s="1927"/>
      <c r="J10" s="1927"/>
      <c r="K10" s="1928"/>
      <c r="O10" s="6" t="s">
        <v>89</v>
      </c>
    </row>
    <row r="11" spans="1:15" ht="18" customHeight="1" x14ac:dyDescent="0.2">
      <c r="A11" s="75" t="s">
        <v>141</v>
      </c>
      <c r="B11" s="1927" t="str">
        <f>'Business Profile'!D14</f>
        <v>327 DR B C ROY ROAD P O DIGALPOTA, , Dakshin Jagatdal SO, South 24 Parganas, WEST BENGAL, 700151</v>
      </c>
      <c r="C11" s="1927"/>
      <c r="D11" s="1927"/>
      <c r="E11" s="1927"/>
      <c r="F11" s="1927"/>
      <c r="G11" s="1927"/>
      <c r="H11" s="1927"/>
      <c r="I11" s="1927"/>
      <c r="J11" s="1927"/>
      <c r="K11" s="1928"/>
      <c r="O11" s="384" t="s">
        <v>154</v>
      </c>
    </row>
    <row r="12" spans="1:15" ht="18" customHeight="1" x14ac:dyDescent="0.2">
      <c r="A12" s="76" t="s">
        <v>41</v>
      </c>
      <c r="B12" s="1936" t="str">
        <f>'Business Profile'!D10</f>
        <v>Partnership</v>
      </c>
      <c r="C12" s="1937"/>
      <c r="D12" s="1933" t="s">
        <v>48</v>
      </c>
      <c r="E12" s="1933"/>
      <c r="F12" s="1930" t="str">
        <f>ROC!E3</f>
        <v>NA</v>
      </c>
      <c r="G12" s="1931"/>
      <c r="H12" s="1931"/>
      <c r="I12" s="248" t="s">
        <v>486</v>
      </c>
      <c r="J12" s="1931">
        <f>'Business Profile'!G3</f>
        <v>1227516</v>
      </c>
      <c r="K12" s="1932"/>
      <c r="O12" s="384" t="s">
        <v>144</v>
      </c>
    </row>
    <row r="13" spans="1:15" ht="18" customHeight="1" x14ac:dyDescent="0.2">
      <c r="A13" s="75" t="s">
        <v>35</v>
      </c>
      <c r="B13" s="1938">
        <f>'Business Profile'!D9</f>
        <v>31840</v>
      </c>
      <c r="C13" s="1938"/>
      <c r="D13" s="1933" t="s">
        <v>47</v>
      </c>
      <c r="E13" s="1933"/>
      <c r="F13" s="1931" t="str">
        <f>'Business Profile'!G11</f>
        <v>Yes</v>
      </c>
      <c r="G13" s="1931"/>
      <c r="H13" s="1931"/>
      <c r="I13" s="248" t="s">
        <v>1886</v>
      </c>
      <c r="J13" s="1934">
        <v>1227516</v>
      </c>
      <c r="K13" s="1935"/>
      <c r="O13" s="384" t="s">
        <v>172</v>
      </c>
    </row>
    <row r="14" spans="1:15" ht="18" customHeight="1" x14ac:dyDescent="0.2">
      <c r="A14" s="308" t="s">
        <v>1883</v>
      </c>
      <c r="B14" s="1917" t="s">
        <v>3483</v>
      </c>
      <c r="C14" s="1917"/>
      <c r="D14" s="1918" t="s">
        <v>1884</v>
      </c>
      <c r="E14" s="1918"/>
      <c r="F14" s="1919" t="s">
        <v>1545</v>
      </c>
      <c r="G14" s="1920"/>
      <c r="H14" s="1921"/>
      <c r="I14" s="309" t="s">
        <v>42</v>
      </c>
      <c r="J14" s="1922" t="str">
        <f>'Business Profile'!D7</f>
        <v>AAFFA3584J</v>
      </c>
      <c r="K14" s="1923"/>
      <c r="O14" s="384" t="s">
        <v>159</v>
      </c>
    </row>
    <row r="15" spans="1:15" ht="18" customHeight="1" x14ac:dyDescent="0.2">
      <c r="A15" s="308" t="s">
        <v>1885</v>
      </c>
      <c r="B15" s="1917" t="s">
        <v>1340</v>
      </c>
      <c r="C15" s="1917"/>
      <c r="D15" s="1918" t="s">
        <v>1881</v>
      </c>
      <c r="E15" s="1918"/>
      <c r="F15" s="1914" t="s">
        <v>3500</v>
      </c>
      <c r="G15" s="1914"/>
      <c r="H15" s="1914"/>
      <c r="I15" s="309" t="s">
        <v>1882</v>
      </c>
      <c r="J15" s="1915" t="s">
        <v>609</v>
      </c>
      <c r="K15" s="1916"/>
      <c r="O15" s="6" t="s">
        <v>90</v>
      </c>
    </row>
    <row r="16" spans="1:15" ht="18" customHeight="1" thickBot="1" x14ac:dyDescent="0.25">
      <c r="A16" s="77" t="s">
        <v>0</v>
      </c>
      <c r="B16" s="1979" t="str">
        <f>'Business Profile'!D11</f>
        <v>Jute</v>
      </c>
      <c r="C16" s="1979"/>
      <c r="D16" s="1970" t="s">
        <v>194</v>
      </c>
      <c r="E16" s="1970"/>
      <c r="F16" s="1929" t="str">
        <f>'Business Profile'!G10</f>
        <v>Manufacturing</v>
      </c>
      <c r="G16" s="1929"/>
      <c r="H16" s="1929"/>
      <c r="I16" s="249" t="s">
        <v>43</v>
      </c>
      <c r="J16" s="1965" t="str">
        <f>'Business Profile'!D18</f>
        <v>www.aarbur.com</v>
      </c>
      <c r="K16" s="1966"/>
      <c r="O16" s="6" t="s">
        <v>91</v>
      </c>
    </row>
    <row r="17" spans="1:15" ht="18" customHeight="1" thickBot="1" x14ac:dyDescent="0.25">
      <c r="A17" s="1924" t="s">
        <v>51</v>
      </c>
      <c r="B17" s="1925"/>
      <c r="C17" s="1925"/>
      <c r="D17" s="1925"/>
      <c r="E17" s="1925"/>
      <c r="F17" s="1925"/>
      <c r="G17" s="1925"/>
      <c r="H17" s="1925"/>
      <c r="I17" s="1925"/>
      <c r="J17" s="1925"/>
      <c r="K17" s="1926"/>
      <c r="O17" s="6" t="s">
        <v>93</v>
      </c>
    </row>
    <row r="18" spans="1:15" ht="81.75" customHeight="1" x14ac:dyDescent="0.2">
      <c r="A18" s="1980" t="s">
        <v>54</v>
      </c>
      <c r="B18" s="1981"/>
      <c r="C18" s="1976" t="str">
        <f>'Business Profile'!D17</f>
        <v>Aarbur was established in 1987 as a 100% export - oriented unit specialising in the manufacture of jute bags. With over 40 years in the business, today it has established itself as the premier manufacturer and exporter of jute bags from India. Last year, the firm exported 1.2 million shopping bags to the United States, Germany, Spain, Portugal, Argentina, Sweden, Denmark, among other countries. With increased production capacities, the firm has set itself an export target of 2.00 million bags this year.
The firm has a simple philosophy which guides its activities: respect for nature and mankind. This finds expression in everything the firm does: from the purchase of raw materials to the packing of the finished products. Each stage is carefully monitored to ensure that we remain ‘eco-friendly’.Our Certifications
Our Certifications
CGTA CERTIFICATE
FIEO CERTIFICATE
NJB CERTIFICATE
Quality Compliance
Natural
Grown without pesticides
Naturally water resistant
Low thermal conductivity
High Tensile strength
Heavy-weight and durable
Antistatic properties
100% Sustainable and Biodegradable
Manufacturing Facilities
Manufacturing Facilities
Located on the outskirts of Calcutta, the Aarbur factory is an interesting contrast of modernity in its quiet, semi-urban environs. Spread over an area of 9600 square yards, the factory is equipped with state-of-the-art lamination, cutting, printing and stitching machines, a veritable 'one-stop-shop' for the manufacture of jute bags.
Conscious of its commitment to the environment, every stage in the production process remains environment friendly. The work force is skilled and trained to ensure that each product with the Aarbur label meets the most exacting standards. In fact, Aarbur is the only Jute Shopping Bag Manufacturing company in India with in-house lamination and table drying facilities. Aarbur is known not just for the quality of product as also for the warmth it extends to any relationship: be it towards its work force, suppliers or buyers.</v>
      </c>
      <c r="D18" s="1977"/>
      <c r="E18" s="1977"/>
      <c r="F18" s="1977"/>
      <c r="G18" s="1977"/>
      <c r="H18" s="1977"/>
      <c r="I18" s="1977"/>
      <c r="J18" s="1977"/>
      <c r="K18" s="1978"/>
      <c r="O18" s="6" t="s">
        <v>94</v>
      </c>
    </row>
    <row r="19" spans="1:15" ht="18" customHeight="1" x14ac:dyDescent="0.2">
      <c r="A19" s="1974" t="s">
        <v>50</v>
      </c>
      <c r="B19" s="1975"/>
      <c r="C19" s="1976" t="s">
        <v>3490</v>
      </c>
      <c r="D19" s="1977"/>
      <c r="E19" s="1977"/>
      <c r="F19" s="1977"/>
      <c r="G19" s="1977"/>
      <c r="H19" s="1977"/>
      <c r="I19" s="1977"/>
      <c r="J19" s="1977"/>
      <c r="K19" s="1978"/>
      <c r="O19" s="6" t="s">
        <v>95</v>
      </c>
    </row>
    <row r="20" spans="1:15" x14ac:dyDescent="0.2">
      <c r="A20" s="1974" t="s">
        <v>707</v>
      </c>
      <c r="B20" s="1975"/>
      <c r="C20" s="1971" t="s">
        <v>3491</v>
      </c>
      <c r="D20" s="1972"/>
      <c r="E20" s="1972"/>
      <c r="F20" s="1972"/>
      <c r="G20" s="1972"/>
      <c r="H20" s="1972"/>
      <c r="I20" s="1972"/>
      <c r="J20" s="1972"/>
      <c r="K20" s="1973"/>
      <c r="O20" s="6" t="s">
        <v>96</v>
      </c>
    </row>
    <row r="21" spans="1:15" ht="18" customHeight="1" x14ac:dyDescent="0.2">
      <c r="A21" s="1987" t="s">
        <v>37</v>
      </c>
      <c r="B21" s="1988"/>
      <c r="C21" s="1971">
        <v>1</v>
      </c>
      <c r="D21" s="1972"/>
      <c r="E21" s="1972"/>
      <c r="F21" s="1972"/>
      <c r="G21" s="1972"/>
      <c r="H21" s="1972"/>
      <c r="I21" s="1972"/>
      <c r="J21" s="1972"/>
      <c r="K21" s="1973"/>
    </row>
    <row r="22" spans="1:15" ht="18" customHeight="1" x14ac:dyDescent="0.2">
      <c r="A22" s="1987" t="s">
        <v>36</v>
      </c>
      <c r="B22" s="1988"/>
      <c r="C22" s="1971" t="s">
        <v>3492</v>
      </c>
      <c r="D22" s="1972"/>
      <c r="E22" s="1972"/>
      <c r="F22" s="1972"/>
      <c r="G22" s="1972"/>
      <c r="H22" s="1972"/>
      <c r="I22" s="1972"/>
      <c r="J22" s="1972"/>
      <c r="K22" s="1973"/>
      <c r="O22" s="6" t="s">
        <v>97</v>
      </c>
    </row>
    <row r="23" spans="1:15" ht="18" customHeight="1" thickBot="1" x14ac:dyDescent="0.25">
      <c r="A23" s="1992" t="s">
        <v>38</v>
      </c>
      <c r="B23" s="1993"/>
      <c r="C23" s="1989" t="s">
        <v>609</v>
      </c>
      <c r="D23" s="1990"/>
      <c r="E23" s="1990"/>
      <c r="F23" s="1990"/>
      <c r="G23" s="1990"/>
      <c r="H23" s="1990"/>
      <c r="I23" s="1990"/>
      <c r="J23" s="1990"/>
      <c r="K23" s="1991"/>
      <c r="O23" s="6" t="s">
        <v>98</v>
      </c>
    </row>
    <row r="24" spans="1:15" ht="18" customHeight="1" thickBot="1" x14ac:dyDescent="0.25">
      <c r="A24" s="1924" t="s">
        <v>831</v>
      </c>
      <c r="B24" s="1925"/>
      <c r="C24" s="1925"/>
      <c r="D24" s="1925"/>
      <c r="E24" s="1925"/>
      <c r="F24" s="1925"/>
      <c r="G24" s="1925"/>
      <c r="H24" s="1925"/>
      <c r="I24" s="1925"/>
      <c r="J24" s="1925"/>
      <c r="K24" s="1926"/>
      <c r="O24" s="384" t="s">
        <v>156</v>
      </c>
    </row>
    <row r="25" spans="1:15" ht="34.5" customHeight="1" x14ac:dyDescent="0.2">
      <c r="A25" s="1905" t="s">
        <v>1887</v>
      </c>
      <c r="B25" s="1906"/>
      <c r="C25" s="1907" t="s">
        <v>3519</v>
      </c>
      <c r="D25" s="1908"/>
      <c r="E25" s="1908"/>
      <c r="F25" s="1909"/>
      <c r="G25" s="1906" t="s">
        <v>1888</v>
      </c>
      <c r="H25" s="1906"/>
      <c r="I25" s="1906"/>
      <c r="J25" s="1907" t="s">
        <v>609</v>
      </c>
      <c r="K25" s="1913"/>
      <c r="O25" s="384" t="s">
        <v>157</v>
      </c>
    </row>
    <row r="26" spans="1:15" ht="45.75" customHeight="1" x14ac:dyDescent="0.2">
      <c r="A26" s="1905" t="s">
        <v>178</v>
      </c>
      <c r="B26" s="1906"/>
      <c r="C26" s="1907"/>
      <c r="D26" s="1908"/>
      <c r="E26" s="1908"/>
      <c r="F26" s="1909"/>
      <c r="G26" s="1906" t="s">
        <v>1889</v>
      </c>
      <c r="H26" s="1906"/>
      <c r="I26" s="1969"/>
      <c r="J26" s="1967"/>
      <c r="K26" s="1968"/>
      <c r="O26" s="384" t="s">
        <v>175</v>
      </c>
    </row>
    <row r="27" spans="1:15" x14ac:dyDescent="0.2">
      <c r="A27" s="1905" t="s">
        <v>1890</v>
      </c>
      <c r="B27" s="1906"/>
      <c r="C27" s="1907"/>
      <c r="D27" s="1908"/>
      <c r="E27" s="1908"/>
      <c r="F27" s="1909"/>
      <c r="G27" s="1910" t="s">
        <v>1891</v>
      </c>
      <c r="H27" s="1911"/>
      <c r="I27" s="1912"/>
      <c r="J27" s="1907"/>
      <c r="K27" s="1913"/>
      <c r="O27" s="384" t="s">
        <v>142</v>
      </c>
    </row>
    <row r="28" spans="1:15" x14ac:dyDescent="0.2">
      <c r="A28" s="1905" t="s">
        <v>1892</v>
      </c>
      <c r="B28" s="1906"/>
      <c r="C28" s="1907"/>
      <c r="D28" s="1908"/>
      <c r="E28" s="1908"/>
      <c r="F28" s="1909"/>
      <c r="G28" s="1910" t="s">
        <v>1893</v>
      </c>
      <c r="H28" s="1911"/>
      <c r="I28" s="1912"/>
      <c r="J28" s="1907"/>
      <c r="K28" s="1913"/>
      <c r="O28" s="384" t="s">
        <v>99</v>
      </c>
    </row>
    <row r="29" spans="1:15" x14ac:dyDescent="0.2">
      <c r="A29" s="1905" t="s">
        <v>2550</v>
      </c>
      <c r="B29" s="1906"/>
      <c r="C29" s="1907" t="s">
        <v>609</v>
      </c>
      <c r="D29" s="1908"/>
      <c r="E29" s="1908"/>
      <c r="F29" s="1909"/>
      <c r="G29" s="1910" t="s">
        <v>2551</v>
      </c>
      <c r="H29" s="1911"/>
      <c r="I29" s="1912"/>
      <c r="J29" s="1907" t="s">
        <v>609</v>
      </c>
      <c r="K29" s="1913"/>
      <c r="O29" s="384"/>
    </row>
    <row r="30" spans="1:15" ht="15.75" x14ac:dyDescent="0.2">
      <c r="A30" s="1962" t="s">
        <v>1894</v>
      </c>
      <c r="B30" s="1963"/>
      <c r="C30" s="1963"/>
      <c r="D30" s="1963"/>
      <c r="E30" s="1963"/>
      <c r="F30" s="1963"/>
      <c r="G30" s="1963"/>
      <c r="H30" s="1963"/>
      <c r="I30" s="1963"/>
      <c r="J30" s="1963"/>
      <c r="K30" s="1964"/>
      <c r="O30" s="384" t="s">
        <v>155</v>
      </c>
    </row>
    <row r="31" spans="1:15" ht="47.25" x14ac:dyDescent="0.2">
      <c r="A31" s="890" t="s">
        <v>200</v>
      </c>
      <c r="B31" s="891" t="s">
        <v>2</v>
      </c>
      <c r="C31" s="892" t="s">
        <v>1305</v>
      </c>
      <c r="D31" s="893" t="s">
        <v>1895</v>
      </c>
      <c r="E31" s="894" t="s">
        <v>1306</v>
      </c>
      <c r="F31" s="893" t="s">
        <v>21</v>
      </c>
      <c r="G31" s="893" t="s">
        <v>52</v>
      </c>
      <c r="H31" s="893" t="s">
        <v>138</v>
      </c>
      <c r="I31" s="893" t="s">
        <v>1896</v>
      </c>
      <c r="J31" s="893" t="s">
        <v>1897</v>
      </c>
      <c r="K31" s="891" t="s">
        <v>1898</v>
      </c>
      <c r="L31" s="891" t="s">
        <v>3120</v>
      </c>
      <c r="M31" s="891" t="s">
        <v>3121</v>
      </c>
      <c r="O31" s="6" t="s">
        <v>100</v>
      </c>
    </row>
    <row r="32" spans="1:15" ht="75" x14ac:dyDescent="0.2">
      <c r="A32" s="310" t="s">
        <v>3493</v>
      </c>
      <c r="B32" s="311" t="s">
        <v>3483</v>
      </c>
      <c r="C32" s="870">
        <v>20773</v>
      </c>
      <c r="D32" s="869"/>
      <c r="E32" s="869" t="s">
        <v>3494</v>
      </c>
      <c r="F32" s="312">
        <v>0.5</v>
      </c>
      <c r="G32" s="869" t="s">
        <v>3496</v>
      </c>
      <c r="H32" s="869" t="s">
        <v>3497</v>
      </c>
      <c r="I32" s="313" t="s">
        <v>3503</v>
      </c>
      <c r="J32" s="32" t="s">
        <v>3500</v>
      </c>
      <c r="K32" s="869" t="s">
        <v>3498</v>
      </c>
      <c r="L32" s="869" t="s">
        <v>3499</v>
      </c>
      <c r="M32" s="869">
        <v>744</v>
      </c>
      <c r="O32" s="6" t="s">
        <v>101</v>
      </c>
    </row>
    <row r="33" spans="1:15" ht="75" x14ac:dyDescent="0.2">
      <c r="A33" s="310" t="s">
        <v>3493</v>
      </c>
      <c r="B33" s="311" t="s">
        <v>3484</v>
      </c>
      <c r="C33" s="870">
        <v>21130</v>
      </c>
      <c r="D33" s="869"/>
      <c r="E33" s="869" t="s">
        <v>3495</v>
      </c>
      <c r="F33" s="312">
        <v>0.5</v>
      </c>
      <c r="G33" s="869" t="s">
        <v>3496</v>
      </c>
      <c r="H33" s="1506" t="s">
        <v>3497</v>
      </c>
      <c r="I33" s="313" t="s">
        <v>3505</v>
      </c>
      <c r="J33" s="32" t="s">
        <v>3504</v>
      </c>
      <c r="K33" s="1506" t="s">
        <v>3498</v>
      </c>
      <c r="L33" s="1506" t="s">
        <v>3499</v>
      </c>
      <c r="M33" s="869">
        <v>763</v>
      </c>
      <c r="O33" s="6" t="s">
        <v>102</v>
      </c>
    </row>
    <row r="34" spans="1:15" x14ac:dyDescent="0.2">
      <c r="A34" s="310"/>
      <c r="B34" s="311"/>
      <c r="C34" s="870"/>
      <c r="D34" s="869"/>
      <c r="E34" s="869"/>
      <c r="F34" s="312"/>
      <c r="G34" s="869"/>
      <c r="H34" s="869"/>
      <c r="I34" s="313"/>
      <c r="J34" s="32"/>
      <c r="K34" s="869"/>
      <c r="L34" s="869"/>
      <c r="M34" s="869"/>
      <c r="O34" s="384" t="s">
        <v>146</v>
      </c>
    </row>
    <row r="35" spans="1:15" x14ac:dyDescent="0.2">
      <c r="A35" s="310"/>
      <c r="B35" s="311"/>
      <c r="C35" s="869"/>
      <c r="D35" s="869"/>
      <c r="E35" s="869"/>
      <c r="F35" s="312"/>
      <c r="G35" s="869"/>
      <c r="H35" s="869"/>
      <c r="I35" s="314"/>
      <c r="J35" s="314"/>
      <c r="K35" s="869"/>
      <c r="L35" s="869"/>
      <c r="M35" s="869"/>
      <c r="O35" s="6" t="s">
        <v>103</v>
      </c>
    </row>
    <row r="36" spans="1:15" x14ac:dyDescent="0.2">
      <c r="A36" s="310"/>
      <c r="B36" s="311"/>
      <c r="C36" s="869"/>
      <c r="D36" s="869"/>
      <c r="E36" s="869"/>
      <c r="F36" s="312"/>
      <c r="G36" s="869"/>
      <c r="H36" s="869"/>
      <c r="I36" s="314"/>
      <c r="J36" s="314"/>
      <c r="K36" s="869"/>
      <c r="L36" s="869"/>
      <c r="M36" s="869"/>
      <c r="O36" s="384" t="s">
        <v>145</v>
      </c>
    </row>
    <row r="37" spans="1:15" x14ac:dyDescent="0.2">
      <c r="A37" s="310"/>
      <c r="B37" s="311"/>
      <c r="C37" s="870"/>
      <c r="D37" s="869"/>
      <c r="E37" s="869"/>
      <c r="F37" s="312"/>
      <c r="G37" s="869"/>
      <c r="H37" s="869"/>
      <c r="I37" s="314"/>
      <c r="J37" s="314"/>
      <c r="K37" s="869"/>
      <c r="L37" s="869"/>
      <c r="M37" s="869"/>
      <c r="O37" s="6" t="s">
        <v>104</v>
      </c>
    </row>
    <row r="38" spans="1:15" x14ac:dyDescent="0.2">
      <c r="A38" s="310"/>
      <c r="B38" s="311"/>
      <c r="C38" s="869"/>
      <c r="D38" s="869"/>
      <c r="E38" s="869"/>
      <c r="F38" s="312"/>
      <c r="G38" s="869"/>
      <c r="H38" s="869"/>
      <c r="I38" s="314"/>
      <c r="J38" s="314"/>
      <c r="K38" s="869"/>
      <c r="L38" s="869"/>
      <c r="M38" s="869"/>
      <c r="O38" s="384" t="s">
        <v>148</v>
      </c>
    </row>
    <row r="39" spans="1:15" x14ac:dyDescent="0.2">
      <c r="A39" s="310"/>
      <c r="B39" s="311"/>
      <c r="C39" s="869"/>
      <c r="D39" s="869"/>
      <c r="E39" s="869"/>
      <c r="F39" s="312"/>
      <c r="G39" s="869"/>
      <c r="H39" s="869"/>
      <c r="I39" s="314"/>
      <c r="J39" s="314"/>
      <c r="K39" s="869"/>
      <c r="L39" s="869"/>
      <c r="M39" s="869"/>
      <c r="O39" s="384" t="s">
        <v>150</v>
      </c>
    </row>
    <row r="40" spans="1:15" ht="31.5" customHeight="1" x14ac:dyDescent="0.2">
      <c r="A40" s="929" t="s">
        <v>3122</v>
      </c>
      <c r="B40" s="311" t="s">
        <v>3501</v>
      </c>
      <c r="C40" s="1982" t="s">
        <v>3225</v>
      </c>
      <c r="D40" s="1983"/>
      <c r="E40" s="1983"/>
      <c r="F40" s="1983"/>
      <c r="G40" s="1983"/>
      <c r="H40" s="1983"/>
      <c r="I40" s="1984"/>
      <c r="J40" s="895"/>
      <c r="K40" s="895"/>
      <c r="L40" s="930" t="s">
        <v>1899</v>
      </c>
      <c r="M40" s="896">
        <f>IFERROR(AVERAGE(M32:M39),"")</f>
        <v>753.5</v>
      </c>
      <c r="O40" s="6" t="s">
        <v>105</v>
      </c>
    </row>
    <row r="41" spans="1:15" ht="18" customHeight="1" x14ac:dyDescent="0.2">
      <c r="A41" s="929" t="s">
        <v>3123</v>
      </c>
      <c r="B41" s="311"/>
      <c r="C41" s="930" t="s">
        <v>55</v>
      </c>
      <c r="D41" s="914"/>
      <c r="E41" s="930" t="s">
        <v>3223</v>
      </c>
      <c r="F41" s="914"/>
      <c r="G41" s="1985" t="s">
        <v>3224</v>
      </c>
      <c r="H41" s="1986"/>
      <c r="I41" s="914"/>
      <c r="J41" s="931" t="s">
        <v>3226</v>
      </c>
      <c r="K41" s="932"/>
      <c r="L41" s="897"/>
      <c r="M41" s="898"/>
      <c r="O41" s="6" t="s">
        <v>106</v>
      </c>
    </row>
    <row r="42" spans="1:15" x14ac:dyDescent="0.2">
      <c r="O42" s="6" t="s">
        <v>107</v>
      </c>
    </row>
    <row r="43" spans="1:15" x14ac:dyDescent="0.2">
      <c r="O43" s="6" t="s">
        <v>108</v>
      </c>
    </row>
    <row r="44" spans="1:15" x14ac:dyDescent="0.2">
      <c r="O44" s="6" t="s">
        <v>109</v>
      </c>
    </row>
    <row r="45" spans="1:15" x14ac:dyDescent="0.2">
      <c r="O45" s="384" t="s">
        <v>164</v>
      </c>
    </row>
    <row r="46" spans="1:15" x14ac:dyDescent="0.2">
      <c r="O46" s="6" t="s">
        <v>110</v>
      </c>
    </row>
    <row r="47" spans="1:15" x14ac:dyDescent="0.2">
      <c r="O47" s="384" t="s">
        <v>168</v>
      </c>
    </row>
    <row r="48" spans="1:15" x14ac:dyDescent="0.2">
      <c r="O48" s="6" t="s">
        <v>111</v>
      </c>
    </row>
    <row r="49" spans="15:15" x14ac:dyDescent="0.2">
      <c r="O49" s="6" t="s">
        <v>112</v>
      </c>
    </row>
    <row r="50" spans="15:15" x14ac:dyDescent="0.2">
      <c r="O50" s="384" t="s">
        <v>160</v>
      </c>
    </row>
    <row r="51" spans="15:15" x14ac:dyDescent="0.2">
      <c r="O51" s="6" t="s">
        <v>113</v>
      </c>
    </row>
    <row r="52" spans="15:15" x14ac:dyDescent="0.2">
      <c r="O52" s="6" t="s">
        <v>114</v>
      </c>
    </row>
    <row r="53" spans="15:15" x14ac:dyDescent="0.2">
      <c r="O53" s="384" t="s">
        <v>152</v>
      </c>
    </row>
    <row r="54" spans="15:15" x14ac:dyDescent="0.2">
      <c r="O54" s="6" t="s">
        <v>115</v>
      </c>
    </row>
    <row r="55" spans="15:15" x14ac:dyDescent="0.2">
      <c r="O55" s="6" t="s">
        <v>116</v>
      </c>
    </row>
    <row r="56" spans="15:15" x14ac:dyDescent="0.2">
      <c r="O56" s="384" t="s">
        <v>151</v>
      </c>
    </row>
    <row r="57" spans="15:15" x14ac:dyDescent="0.2">
      <c r="O57" s="6" t="s">
        <v>117</v>
      </c>
    </row>
    <row r="58" spans="15:15" x14ac:dyDescent="0.2">
      <c r="O58" s="384" t="s">
        <v>173</v>
      </c>
    </row>
    <row r="59" spans="15:15" x14ac:dyDescent="0.2">
      <c r="O59" s="6" t="s">
        <v>118</v>
      </c>
    </row>
    <row r="60" spans="15:15" x14ac:dyDescent="0.2">
      <c r="O60" s="6" t="s">
        <v>193</v>
      </c>
    </row>
    <row r="61" spans="15:15" x14ac:dyDescent="0.2">
      <c r="O61" s="384" t="s">
        <v>158</v>
      </c>
    </row>
    <row r="62" spans="15:15" x14ac:dyDescent="0.2">
      <c r="O62" s="6" t="s">
        <v>119</v>
      </c>
    </row>
    <row r="63" spans="15:15" x14ac:dyDescent="0.2">
      <c r="O63" s="6" t="s">
        <v>120</v>
      </c>
    </row>
    <row r="64" spans="15:15" x14ac:dyDescent="0.2">
      <c r="O64" s="384" t="s">
        <v>166</v>
      </c>
    </row>
    <row r="65" spans="15:15" x14ac:dyDescent="0.2">
      <c r="O65" s="384" t="s">
        <v>162</v>
      </c>
    </row>
    <row r="66" spans="15:15" x14ac:dyDescent="0.2">
      <c r="O66" s="384" t="s">
        <v>161</v>
      </c>
    </row>
    <row r="67" spans="15:15" x14ac:dyDescent="0.2">
      <c r="O67" s="6" t="s">
        <v>121</v>
      </c>
    </row>
    <row r="68" spans="15:15" x14ac:dyDescent="0.2">
      <c r="O68" s="6" t="s">
        <v>122</v>
      </c>
    </row>
    <row r="69" spans="15:15" x14ac:dyDescent="0.2">
      <c r="O69" s="6" t="s">
        <v>123</v>
      </c>
    </row>
    <row r="70" spans="15:15" x14ac:dyDescent="0.2">
      <c r="O70" s="6" t="s">
        <v>124</v>
      </c>
    </row>
    <row r="71" spans="15:15" x14ac:dyDescent="0.2">
      <c r="O71" s="384" t="s">
        <v>147</v>
      </c>
    </row>
    <row r="72" spans="15:15" x14ac:dyDescent="0.2">
      <c r="O72" s="384" t="s">
        <v>143</v>
      </c>
    </row>
    <row r="73" spans="15:15" x14ac:dyDescent="0.2">
      <c r="O73" s="6" t="s">
        <v>125</v>
      </c>
    </row>
    <row r="74" spans="15:15" x14ac:dyDescent="0.2">
      <c r="O74" s="6" t="s">
        <v>126</v>
      </c>
    </row>
    <row r="75" spans="15:15" x14ac:dyDescent="0.2">
      <c r="O75" s="6" t="s">
        <v>127</v>
      </c>
    </row>
    <row r="76" spans="15:15" x14ac:dyDescent="0.2">
      <c r="O76" s="384" t="s">
        <v>167</v>
      </c>
    </row>
    <row r="77" spans="15:15" x14ac:dyDescent="0.2">
      <c r="O77" s="6" t="s">
        <v>128</v>
      </c>
    </row>
    <row r="78" spans="15:15" x14ac:dyDescent="0.2">
      <c r="O78" s="6" t="s">
        <v>129</v>
      </c>
    </row>
    <row r="79" spans="15:15" x14ac:dyDescent="0.2">
      <c r="O79" s="384" t="s">
        <v>153</v>
      </c>
    </row>
    <row r="80" spans="15:15" x14ac:dyDescent="0.2">
      <c r="O80" s="6" t="s">
        <v>130</v>
      </c>
    </row>
    <row r="81" spans="15:15" x14ac:dyDescent="0.2">
      <c r="O81" s="384" t="s">
        <v>171</v>
      </c>
    </row>
    <row r="82" spans="15:15" x14ac:dyDescent="0.2">
      <c r="O82" s="384" t="s">
        <v>170</v>
      </c>
    </row>
    <row r="83" spans="15:15" x14ac:dyDescent="0.2">
      <c r="O83" s="384" t="s">
        <v>149</v>
      </c>
    </row>
    <row r="84" spans="15:15" x14ac:dyDescent="0.2">
      <c r="O84" s="6" t="s">
        <v>131</v>
      </c>
    </row>
    <row r="85" spans="15:15" x14ac:dyDescent="0.2">
      <c r="O85" s="6" t="s">
        <v>132</v>
      </c>
    </row>
    <row r="86" spans="15:15" x14ac:dyDescent="0.2">
      <c r="O86" s="384" t="s">
        <v>169</v>
      </c>
    </row>
    <row r="87" spans="15:15" x14ac:dyDescent="0.2">
      <c r="O87" s="6" t="s">
        <v>133</v>
      </c>
    </row>
    <row r="88" spans="15:15" x14ac:dyDescent="0.2">
      <c r="O88" s="6" t="s">
        <v>134</v>
      </c>
    </row>
    <row r="89" spans="15:15" x14ac:dyDescent="0.2">
      <c r="O89" s="6" t="s">
        <v>135</v>
      </c>
    </row>
    <row r="90" spans="15:15" x14ac:dyDescent="0.2">
      <c r="O90" s="384" t="s">
        <v>174</v>
      </c>
    </row>
    <row r="91" spans="15:15" ht="14.25" x14ac:dyDescent="0.2">
      <c r="O91" s="385"/>
    </row>
    <row r="92" spans="15:15" ht="14.25" x14ac:dyDescent="0.2">
      <c r="O92" s="385"/>
    </row>
    <row r="93" spans="15:15" ht="14.25" x14ac:dyDescent="0.2">
      <c r="O93" s="385"/>
    </row>
  </sheetData>
  <sheetProtection formatColumns="0" formatRows="0"/>
  <sortState xmlns:xlrd2="http://schemas.microsoft.com/office/spreadsheetml/2017/richdata2" ref="O2:O38">
    <sortCondition ref="O1:O37"/>
  </sortState>
  <mergeCells count="75">
    <mergeCell ref="C40:I40"/>
    <mergeCell ref="G41:H41"/>
    <mergeCell ref="A19:B19"/>
    <mergeCell ref="C25:F25"/>
    <mergeCell ref="C26:F26"/>
    <mergeCell ref="A21:B21"/>
    <mergeCell ref="A22:B22"/>
    <mergeCell ref="C21:K21"/>
    <mergeCell ref="C22:K22"/>
    <mergeCell ref="C23:K23"/>
    <mergeCell ref="A23:B23"/>
    <mergeCell ref="A29:B29"/>
    <mergeCell ref="C29:F29"/>
    <mergeCell ref="G29:I29"/>
    <mergeCell ref="J29:K29"/>
    <mergeCell ref="A28:B28"/>
    <mergeCell ref="A30:K30"/>
    <mergeCell ref="A25:B25"/>
    <mergeCell ref="J16:K16"/>
    <mergeCell ref="A24:K24"/>
    <mergeCell ref="J25:K25"/>
    <mergeCell ref="J26:K26"/>
    <mergeCell ref="A26:B26"/>
    <mergeCell ref="G26:I26"/>
    <mergeCell ref="G25:I25"/>
    <mergeCell ref="D16:E16"/>
    <mergeCell ref="C20:K20"/>
    <mergeCell ref="A20:B20"/>
    <mergeCell ref="C18:K18"/>
    <mergeCell ref="C19:K19"/>
    <mergeCell ref="B16:C16"/>
    <mergeCell ref="A18:B18"/>
    <mergeCell ref="B11:K11"/>
    <mergeCell ref="B13:C13"/>
    <mergeCell ref="B10:K10"/>
    <mergeCell ref="J2:J4"/>
    <mergeCell ref="K2:K4"/>
    <mergeCell ref="A2:C4"/>
    <mergeCell ref="D2:I4"/>
    <mergeCell ref="A7:K7"/>
    <mergeCell ref="B5:C5"/>
    <mergeCell ref="D5:E5"/>
    <mergeCell ref="J5:K5"/>
    <mergeCell ref="B6:C6"/>
    <mergeCell ref="D6:E6"/>
    <mergeCell ref="F6:H6"/>
    <mergeCell ref="J6:K6"/>
    <mergeCell ref="F5:H5"/>
    <mergeCell ref="C28:F28"/>
    <mergeCell ref="G28:I28"/>
    <mergeCell ref="J28:K28"/>
    <mergeCell ref="F16:H16"/>
    <mergeCell ref="F12:H12"/>
    <mergeCell ref="J12:K12"/>
    <mergeCell ref="D13:E13"/>
    <mergeCell ref="D12:E12"/>
    <mergeCell ref="J13:K13"/>
    <mergeCell ref="B12:C12"/>
    <mergeCell ref="F13:H13"/>
    <mergeCell ref="J8:K8"/>
    <mergeCell ref="B8:H8"/>
    <mergeCell ref="A27:B27"/>
    <mergeCell ref="C27:F27"/>
    <mergeCell ref="G27:I27"/>
    <mergeCell ref="J27:K27"/>
    <mergeCell ref="F15:H15"/>
    <mergeCell ref="J15:K15"/>
    <mergeCell ref="B14:C14"/>
    <mergeCell ref="D14:E14"/>
    <mergeCell ref="F14:H14"/>
    <mergeCell ref="J14:K14"/>
    <mergeCell ref="A17:K17"/>
    <mergeCell ref="B15:C15"/>
    <mergeCell ref="D15:E15"/>
    <mergeCell ref="B9:K9"/>
  </mergeCells>
  <dataValidations count="13">
    <dataValidation type="list" allowBlank="1" showInputMessage="1" showErrorMessage="1" sqref="F13:H13" xr:uid="{00000000-0002-0000-1200-000000000000}">
      <formula1>"Yes, No"</formula1>
    </dataValidation>
    <dataValidation type="list" allowBlank="1" showInputMessage="1" showErrorMessage="1" sqref="B16:C16" xr:uid="{00000000-0002-0000-1200-000001000000}">
      <formula1>Sector</formula1>
    </dataValidation>
    <dataValidation type="list" allowBlank="1" showInputMessage="1" showErrorMessage="1" sqref="F16:H16" xr:uid="{00000000-0002-0000-1200-000002000000}">
      <formula1>"Manufacturing,Trading,Service"</formula1>
    </dataValidation>
    <dataValidation type="list" allowBlank="1" showInputMessage="1" showErrorMessage="1" sqref="C20:K20" xr:uid="{00000000-0002-0000-1200-000003000000}">
      <formula1>"HRP, Non HRP"</formula1>
    </dataValidation>
    <dataValidation type="list" allowBlank="1" showInputMessage="1" showErrorMessage="1" sqref="B12:C12" xr:uid="{00000000-0002-0000-1200-000004000000}">
      <formula1>Constitution</formula1>
    </dataValidation>
    <dataValidation type="list" allowBlank="1" showInputMessage="1" showErrorMessage="1" sqref="B5:C5" xr:uid="{00000000-0002-0000-1200-000005000000}">
      <formula1>"New, Renewal, Enhancement"</formula1>
    </dataValidation>
    <dataValidation type="list" allowBlank="1" showInputMessage="1" showErrorMessage="1" sqref="B6:C6 B15:C15 F14:G14" xr:uid="{00000000-0002-0000-1200-000006000000}">
      <formula1>"Yes,No"</formula1>
    </dataValidation>
    <dataValidation type="list" allowBlank="1" showInputMessage="1" showErrorMessage="1" sqref="A32:A39" xr:uid="{00000000-0002-0000-1200-000007000000}">
      <formula1>"Proprietor,Partner,Director, Shareholder, Director and Shareholder, Guarantor (property owenr), Guarantor (non property owner)"</formula1>
    </dataValidation>
    <dataValidation type="list" allowBlank="1" showInputMessage="1" showErrorMessage="1" sqref="H32:H39" xr:uid="{00000000-0002-0000-1200-000008000000}">
      <formula1>"Married, Unmarried, Other, NA"</formula1>
    </dataValidation>
    <dataValidation type="list" allowBlank="1" showInputMessage="1" showErrorMessage="1" sqref="G32:G39" xr:uid="{00000000-0002-0000-1200-000009000000}">
      <formula1>"Male,Female"</formula1>
    </dataValidation>
    <dataValidation type="list" allowBlank="1" showInputMessage="1" showErrorMessage="1" sqref="J28:K28" xr:uid="{00000000-0002-0000-1200-00000A000000}">
      <formula1>"Yes,No,Partial"</formula1>
    </dataValidation>
    <dataValidation type="list" allowBlank="1" showInputMessage="1" showErrorMessage="1" sqref="C28:F28" xr:uid="{00000000-0002-0000-1200-00000B000000}">
      <formula1>"BT of facility, BT of facility and collateral, No BT"</formula1>
    </dataValidation>
    <dataValidation type="list" allowBlank="1" showInputMessage="1" showErrorMessage="1" sqref="I41" xr:uid="{00000000-0002-0000-1200-00000C000000}">
      <formula1>"Medium Term Working Capital, Working Capital"</formula1>
    </dataValidation>
  </dataValidations>
  <printOptions horizontalCentered="1" verticalCentered="1"/>
  <pageMargins left="0" right="0" top="0" bottom="0" header="0" footer="0"/>
  <pageSetup paperSize="9" scale="62"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pageSetUpPr fitToPage="1"/>
  </sheetPr>
  <dimension ref="A1:S112"/>
  <sheetViews>
    <sheetView showGridLines="0" zoomScale="80" zoomScaleNormal="80" zoomScaleSheetLayoutView="71" workbookViewId="0">
      <selection activeCell="R1" sqref="R1:R1048576"/>
    </sheetView>
  </sheetViews>
  <sheetFormatPr defaultColWidth="0" defaultRowHeight="15" x14ac:dyDescent="0.2"/>
  <cols>
    <col min="1" max="1" width="40" style="6" customWidth="1"/>
    <col min="2" max="2" width="33" style="6" customWidth="1"/>
    <col min="3" max="3" width="25" style="6" customWidth="1"/>
    <col min="4" max="4" width="31.5703125" style="6" customWidth="1"/>
    <col min="5" max="5" width="30.28515625" style="6" customWidth="1"/>
    <col min="6" max="6" width="31.42578125" style="6" customWidth="1"/>
    <col min="7" max="7" width="22" style="6" customWidth="1"/>
    <col min="8" max="8" width="23.7109375" style="6" customWidth="1"/>
    <col min="9" max="9" width="19.28515625" style="6" customWidth="1"/>
    <col min="10" max="10" width="14.42578125" style="6" bestFit="1" customWidth="1"/>
    <col min="11" max="14" width="9.28515625" style="6" customWidth="1"/>
    <col min="15" max="16384" width="9.28515625" style="6" hidden="1"/>
  </cols>
  <sheetData>
    <row r="1" spans="1:7" x14ac:dyDescent="0.2">
      <c r="A1" s="2032" t="str">
        <f>'Borrower Details'!A2</f>
        <v>Mortgage-Magnus-Unsecured</v>
      </c>
      <c r="B1" s="2033"/>
      <c r="C1" s="2033"/>
      <c r="D1" s="2033"/>
      <c r="E1" s="2041" t="s">
        <v>3</v>
      </c>
      <c r="F1" s="315"/>
    </row>
    <row r="2" spans="1:7" x14ac:dyDescent="0.2">
      <c r="A2" s="2034"/>
      <c r="B2" s="2035"/>
      <c r="C2" s="2035"/>
      <c r="D2" s="2035"/>
      <c r="E2" s="2042"/>
      <c r="F2" s="316"/>
    </row>
    <row r="3" spans="1:7" ht="15.75" thickBot="1" x14ac:dyDescent="0.25">
      <c r="A3" s="2036"/>
      <c r="B3" s="2037"/>
      <c r="C3" s="2037"/>
      <c r="D3" s="2037"/>
      <c r="E3" s="2043"/>
      <c r="F3" s="512"/>
    </row>
    <row r="4" spans="1:7" ht="21" customHeight="1" x14ac:dyDescent="0.2">
      <c r="A4" s="1994" t="s">
        <v>2500</v>
      </c>
      <c r="B4" s="1995"/>
      <c r="C4" s="1995"/>
      <c r="D4" s="1995"/>
      <c r="E4" s="1995"/>
      <c r="F4" s="1996"/>
    </row>
    <row r="5" spans="1:7" ht="24" customHeight="1" thickBot="1" x14ac:dyDescent="0.25">
      <c r="A5" s="509" t="s">
        <v>1091</v>
      </c>
      <c r="B5" s="2038" t="str">
        <f>'Borrower Details'!B8</f>
        <v>AARBUR</v>
      </c>
      <c r="C5" s="2039"/>
      <c r="D5" s="2039"/>
      <c r="E5" s="2039"/>
      <c r="F5" s="2040"/>
    </row>
    <row r="6" spans="1:7" ht="25.15" customHeight="1" thickBot="1" x14ac:dyDescent="0.25">
      <c r="A6" s="2044" t="s">
        <v>56</v>
      </c>
      <c r="B6" s="2045"/>
      <c r="C6" s="2045"/>
      <c r="D6" s="2045"/>
      <c r="E6" s="2045"/>
      <c r="F6" s="2046"/>
    </row>
    <row r="7" spans="1:7" ht="38.25" customHeight="1" x14ac:dyDescent="0.2">
      <c r="A7" s="295" t="s">
        <v>1858</v>
      </c>
      <c r="B7" s="296" t="s">
        <v>1859</v>
      </c>
      <c r="C7" s="296" t="s">
        <v>1860</v>
      </c>
      <c r="D7" s="297" t="s">
        <v>55</v>
      </c>
      <c r="E7" s="2047"/>
      <c r="F7" s="2048"/>
    </row>
    <row r="8" spans="1:7" ht="22.5" customHeight="1" x14ac:dyDescent="0.2">
      <c r="A8" s="298" t="s">
        <v>1861</v>
      </c>
      <c r="B8" s="4"/>
      <c r="C8" s="299"/>
      <c r="D8" s="26"/>
      <c r="E8" s="2049"/>
      <c r="F8" s="2050"/>
    </row>
    <row r="9" spans="1:7" ht="22.5" customHeight="1" x14ac:dyDescent="0.2">
      <c r="A9" s="298" t="s">
        <v>1862</v>
      </c>
      <c r="B9" s="4"/>
      <c r="C9" s="299"/>
      <c r="D9" s="26"/>
      <c r="E9" s="2049"/>
      <c r="F9" s="2050"/>
      <c r="G9" s="6" t="s">
        <v>1900</v>
      </c>
    </row>
    <row r="10" spans="1:7" ht="22.5" customHeight="1" x14ac:dyDescent="0.2">
      <c r="A10" s="298" t="s">
        <v>1863</v>
      </c>
      <c r="B10" s="4"/>
      <c r="C10" s="299"/>
      <c r="D10" s="26"/>
      <c r="E10" s="2049"/>
      <c r="F10" s="2050"/>
    </row>
    <row r="11" spans="1:7" ht="22.5" customHeight="1" x14ac:dyDescent="0.2">
      <c r="A11" s="298" t="s">
        <v>1864</v>
      </c>
      <c r="B11" s="4"/>
      <c r="C11" s="299"/>
      <c r="D11" s="26"/>
      <c r="E11" s="2049"/>
      <c r="F11" s="2050"/>
    </row>
    <row r="12" spans="1:7" ht="22.5" customHeight="1" x14ac:dyDescent="0.2">
      <c r="A12" s="298" t="s">
        <v>1865</v>
      </c>
      <c r="B12" s="4"/>
      <c r="C12" s="299"/>
      <c r="D12" s="26"/>
      <c r="E12" s="2049"/>
      <c r="F12" s="2050"/>
    </row>
    <row r="13" spans="1:7" ht="36" customHeight="1" x14ac:dyDescent="0.2">
      <c r="A13" s="298" t="s">
        <v>1866</v>
      </c>
      <c r="B13" s="4"/>
      <c r="C13" s="299"/>
      <c r="D13" s="26"/>
      <c r="E13" s="2049"/>
      <c r="F13" s="2050"/>
    </row>
    <row r="14" spans="1:7" ht="22.5" customHeight="1" x14ac:dyDescent="0.2">
      <c r="A14" s="298" t="s">
        <v>1867</v>
      </c>
      <c r="B14" s="4"/>
      <c r="C14" s="299"/>
      <c r="D14" s="26"/>
      <c r="E14" s="2049"/>
      <c r="F14" s="2050"/>
    </row>
    <row r="15" spans="1:7" ht="22.5" customHeight="1" x14ac:dyDescent="0.2">
      <c r="A15" s="298" t="s">
        <v>1868</v>
      </c>
      <c r="B15" s="4"/>
      <c r="C15" s="299"/>
      <c r="D15" s="26"/>
      <c r="E15" s="2049"/>
      <c r="F15" s="2050"/>
    </row>
    <row r="16" spans="1:7" ht="22.5" customHeight="1" x14ac:dyDescent="0.2">
      <c r="A16" s="298" t="s">
        <v>1868</v>
      </c>
      <c r="B16" s="4"/>
      <c r="C16" s="299"/>
      <c r="D16" s="26"/>
      <c r="E16" s="2049"/>
      <c r="F16" s="2050"/>
    </row>
    <row r="17" spans="1:19" ht="22.5" customHeight="1" x14ac:dyDescent="0.2">
      <c r="A17" s="298" t="s">
        <v>1868</v>
      </c>
      <c r="B17" s="4"/>
      <c r="C17" s="299"/>
      <c r="D17" s="26"/>
      <c r="E17" s="2049"/>
      <c r="F17" s="2050"/>
    </row>
    <row r="18" spans="1:19" ht="22.5" customHeight="1" thickBot="1" x14ac:dyDescent="0.25">
      <c r="A18" s="2053" t="s">
        <v>1869</v>
      </c>
      <c r="B18" s="2054"/>
      <c r="C18" s="2055"/>
      <c r="D18" s="300"/>
      <c r="E18" s="2051"/>
      <c r="F18" s="2052"/>
    </row>
    <row r="19" spans="1:19" ht="37.5" customHeight="1" x14ac:dyDescent="0.2">
      <c r="A19" s="301" t="s">
        <v>1870</v>
      </c>
      <c r="B19" s="2056" t="s">
        <v>1871</v>
      </c>
      <c r="C19" s="2056"/>
      <c r="D19" s="302" t="s">
        <v>1872</v>
      </c>
      <c r="E19" s="303" t="s">
        <v>1873</v>
      </c>
      <c r="F19" s="304" t="s">
        <v>1874</v>
      </c>
    </row>
    <row r="20" spans="1:19" ht="25.15" customHeight="1" thickBot="1" x14ac:dyDescent="0.25">
      <c r="A20" s="2024" t="s">
        <v>1901</v>
      </c>
      <c r="B20" s="2025"/>
      <c r="C20" s="2025"/>
      <c r="D20" s="2025"/>
      <c r="E20" s="2025"/>
      <c r="F20" s="2026"/>
    </row>
    <row r="21" spans="1:19" ht="54" customHeight="1" thickBot="1" x14ac:dyDescent="0.25">
      <c r="A21" s="317" t="s">
        <v>25</v>
      </c>
      <c r="B21" s="2057" t="s">
        <v>24</v>
      </c>
      <c r="C21" s="2057"/>
      <c r="D21" s="435" t="s">
        <v>195</v>
      </c>
      <c r="E21" s="435" t="s">
        <v>1902</v>
      </c>
      <c r="F21" s="318" t="s">
        <v>57</v>
      </c>
      <c r="G21" s="319"/>
      <c r="H21" s="319"/>
      <c r="I21" s="319"/>
      <c r="J21" s="319"/>
      <c r="K21" s="319"/>
      <c r="L21" s="319"/>
    </row>
    <row r="22" spans="1:19" ht="22.5" customHeight="1" x14ac:dyDescent="0.2">
      <c r="A22" s="511"/>
      <c r="B22" s="2027" t="e">
        <f t="shared" ref="B22:B29" si="0">VLOOKUP(A22,$H$22:$I$36,2,0)</f>
        <v>#N/A</v>
      </c>
      <c r="C22" s="2027"/>
      <c r="D22" s="320"/>
      <c r="E22" s="321"/>
      <c r="F22" s="322">
        <f t="shared" ref="F22:F29" si="1">D22*E22</f>
        <v>0</v>
      </c>
      <c r="G22" s="510" t="s">
        <v>1904</v>
      </c>
      <c r="H22" s="323" t="s">
        <v>1905</v>
      </c>
      <c r="I22" s="323" t="s">
        <v>1906</v>
      </c>
      <c r="J22" s="324"/>
      <c r="K22" s="324"/>
      <c r="L22" s="324"/>
    </row>
    <row r="23" spans="1:19" ht="22.5" customHeight="1" x14ac:dyDescent="0.2">
      <c r="A23" s="511"/>
      <c r="B23" s="2027" t="e">
        <f t="shared" si="0"/>
        <v>#N/A</v>
      </c>
      <c r="C23" s="2027"/>
      <c r="D23" s="320"/>
      <c r="E23" s="321"/>
      <c r="F23" s="325">
        <f t="shared" si="1"/>
        <v>0</v>
      </c>
      <c r="G23" s="510"/>
      <c r="H23" s="323" t="s">
        <v>1907</v>
      </c>
      <c r="I23" s="323" t="s">
        <v>1906</v>
      </c>
      <c r="J23" s="324"/>
      <c r="K23" s="324"/>
      <c r="L23" s="324"/>
      <c r="Q23" s="6" t="s">
        <v>1908</v>
      </c>
      <c r="R23" s="6">
        <f>IF(B41="",1,IF(B41="Individual",1,IF(B41="Firm",1,2)))</f>
        <v>1</v>
      </c>
    </row>
    <row r="24" spans="1:19" ht="22.5" customHeight="1" x14ac:dyDescent="0.2">
      <c r="A24" s="511"/>
      <c r="B24" s="2027" t="e">
        <f t="shared" si="0"/>
        <v>#N/A</v>
      </c>
      <c r="C24" s="2027"/>
      <c r="D24" s="320"/>
      <c r="E24" s="321"/>
      <c r="F24" s="325">
        <f t="shared" si="1"/>
        <v>0</v>
      </c>
      <c r="G24" s="510"/>
      <c r="H24" s="323" t="s">
        <v>1909</v>
      </c>
      <c r="I24" s="323" t="s">
        <v>1910</v>
      </c>
      <c r="J24" s="324"/>
      <c r="K24" s="324"/>
      <c r="L24" s="324"/>
      <c r="Q24" s="6" t="s">
        <v>1911</v>
      </c>
      <c r="R24" s="6">
        <f>IF(B51="",1,IF(B51="Individual",1,IF(B51="Firm",1,2)))</f>
        <v>1</v>
      </c>
    </row>
    <row r="25" spans="1:19" ht="22.5" customHeight="1" x14ac:dyDescent="0.2">
      <c r="A25" s="511"/>
      <c r="B25" s="2027" t="e">
        <f t="shared" si="0"/>
        <v>#N/A</v>
      </c>
      <c r="C25" s="2027"/>
      <c r="D25" s="320"/>
      <c r="E25" s="321"/>
      <c r="F25" s="325">
        <f t="shared" si="1"/>
        <v>0</v>
      </c>
      <c r="G25" s="510"/>
      <c r="H25" s="323" t="s">
        <v>1912</v>
      </c>
      <c r="I25" s="323" t="s">
        <v>1913</v>
      </c>
      <c r="J25" s="324"/>
      <c r="K25" s="324"/>
      <c r="L25" s="324"/>
      <c r="Q25" s="6" t="s">
        <v>1914</v>
      </c>
      <c r="R25" s="6">
        <f>IF(B61="",1,IF(B61="Individual",1,IF(B61="Firm",1,2)))</f>
        <v>1</v>
      </c>
    </row>
    <row r="26" spans="1:19" ht="22.5" customHeight="1" x14ac:dyDescent="0.2">
      <c r="A26" s="511"/>
      <c r="B26" s="2027" t="e">
        <f t="shared" si="0"/>
        <v>#N/A</v>
      </c>
      <c r="C26" s="2027"/>
      <c r="D26" s="320"/>
      <c r="E26" s="321"/>
      <c r="F26" s="325">
        <f t="shared" si="1"/>
        <v>0</v>
      </c>
      <c r="G26" s="510"/>
      <c r="H26" s="323" t="s">
        <v>1915</v>
      </c>
      <c r="I26" s="323" t="s">
        <v>1916</v>
      </c>
      <c r="J26" s="324"/>
      <c r="K26" s="324"/>
      <c r="L26" s="324"/>
      <c r="Q26" s="6" t="s">
        <v>1917</v>
      </c>
      <c r="R26" s="6">
        <f>IF(B71="",1,IF(B71="Individual",1,IF(B71="Firm",1,2)))</f>
        <v>1</v>
      </c>
    </row>
    <row r="27" spans="1:19" ht="22.5" customHeight="1" x14ac:dyDescent="0.2">
      <c r="A27" s="511"/>
      <c r="B27" s="2027" t="e">
        <f t="shared" si="0"/>
        <v>#N/A</v>
      </c>
      <c r="C27" s="2027"/>
      <c r="D27" s="320"/>
      <c r="E27" s="321"/>
      <c r="F27" s="325">
        <f t="shared" si="1"/>
        <v>0</v>
      </c>
      <c r="G27" s="510"/>
      <c r="H27" s="323" t="s">
        <v>1918</v>
      </c>
      <c r="I27" s="323" t="s">
        <v>1916</v>
      </c>
      <c r="J27" s="324"/>
      <c r="K27" s="324"/>
      <c r="L27" s="324"/>
      <c r="Q27" s="6" t="s">
        <v>1919</v>
      </c>
      <c r="R27" s="6">
        <f>IF(B81="",1,IF(B81="Individual",1,IF(B81="Firm",1,2)))</f>
        <v>1</v>
      </c>
      <c r="S27" s="6">
        <f>MAX(R23:R27)</f>
        <v>1</v>
      </c>
    </row>
    <row r="28" spans="1:19" ht="22.5" customHeight="1" x14ac:dyDescent="0.2">
      <c r="A28" s="511"/>
      <c r="B28" s="2027" t="e">
        <f t="shared" si="0"/>
        <v>#N/A</v>
      </c>
      <c r="C28" s="2027"/>
      <c r="D28" s="320"/>
      <c r="E28" s="321"/>
      <c r="F28" s="325">
        <f t="shared" si="1"/>
        <v>0</v>
      </c>
      <c r="G28" s="510"/>
      <c r="H28" s="323" t="s">
        <v>1920</v>
      </c>
      <c r="I28" s="323" t="s">
        <v>1916</v>
      </c>
      <c r="J28" s="324"/>
      <c r="K28" s="324"/>
      <c r="L28" s="324"/>
    </row>
    <row r="29" spans="1:19" ht="22.5" customHeight="1" x14ac:dyDescent="0.2">
      <c r="A29" s="511"/>
      <c r="B29" s="2027" t="e">
        <f t="shared" si="0"/>
        <v>#N/A</v>
      </c>
      <c r="C29" s="2027"/>
      <c r="D29" s="320"/>
      <c r="E29" s="321"/>
      <c r="F29" s="325">
        <f t="shared" si="1"/>
        <v>0</v>
      </c>
      <c r="G29" s="510"/>
      <c r="H29" s="323" t="s">
        <v>1921</v>
      </c>
      <c r="I29" s="323" t="s">
        <v>1913</v>
      </c>
      <c r="J29" s="324"/>
      <c r="K29" s="324"/>
      <c r="L29" s="324"/>
    </row>
    <row r="30" spans="1:19" ht="22.5" customHeight="1" x14ac:dyDescent="0.2">
      <c r="A30" s="2028" t="s">
        <v>1922</v>
      </c>
      <c r="B30" s="2029"/>
      <c r="C30" s="2029"/>
      <c r="D30" s="2029"/>
      <c r="E30" s="2029"/>
      <c r="F30" s="325">
        <f>SUM(F22:F29)</f>
        <v>0</v>
      </c>
      <c r="G30" s="326"/>
      <c r="H30" s="323" t="s">
        <v>1923</v>
      </c>
      <c r="I30" s="323" t="s">
        <v>1924</v>
      </c>
      <c r="J30" s="324"/>
      <c r="K30" s="324"/>
      <c r="L30" s="324"/>
    </row>
    <row r="31" spans="1:19" ht="22.5" customHeight="1" x14ac:dyDescent="0.2">
      <c r="A31" s="2028" t="s">
        <v>1925</v>
      </c>
      <c r="B31" s="2029"/>
      <c r="C31" s="2029"/>
      <c r="D31" s="2029"/>
      <c r="E31" s="2029"/>
      <c r="F31" s="33"/>
      <c r="G31" s="510"/>
      <c r="H31" s="327" t="s">
        <v>1926</v>
      </c>
      <c r="I31" s="327" t="s">
        <v>1927</v>
      </c>
      <c r="J31" s="324"/>
      <c r="K31" s="324"/>
      <c r="L31" s="324"/>
    </row>
    <row r="32" spans="1:19" ht="22.5" customHeight="1" thickBot="1" x14ac:dyDescent="0.25">
      <c r="A32" s="2030" t="s">
        <v>1928</v>
      </c>
      <c r="B32" s="2031"/>
      <c r="C32" s="2031"/>
      <c r="D32" s="2031"/>
      <c r="E32" s="2031"/>
      <c r="F32" s="328">
        <f>F30-F31</f>
        <v>0</v>
      </c>
      <c r="G32" s="510"/>
      <c r="H32" s="323" t="s">
        <v>1929</v>
      </c>
      <c r="I32" s="323" t="s">
        <v>1930</v>
      </c>
      <c r="J32" s="324"/>
      <c r="K32" s="324"/>
      <c r="L32" s="324"/>
    </row>
    <row r="33" spans="1:12" ht="22.5" customHeight="1" thickBot="1" x14ac:dyDescent="0.25">
      <c r="A33" s="2024" t="s">
        <v>1931</v>
      </c>
      <c r="B33" s="2025"/>
      <c r="C33" s="2025"/>
      <c r="D33" s="2025"/>
      <c r="E33" s="2025"/>
      <c r="F33" s="2026"/>
      <c r="G33" s="326"/>
      <c r="H33" s="323" t="s">
        <v>1903</v>
      </c>
      <c r="I33" s="323" t="s">
        <v>1932</v>
      </c>
      <c r="J33" s="324"/>
      <c r="K33" s="324"/>
      <c r="L33" s="324"/>
    </row>
    <row r="34" spans="1:12" ht="42" customHeight="1" x14ac:dyDescent="0.2">
      <c r="A34" s="329" t="s">
        <v>1933</v>
      </c>
      <c r="B34" s="2016"/>
      <c r="C34" s="2016"/>
      <c r="D34" s="2016"/>
      <c r="E34" s="330" t="s">
        <v>1934</v>
      </c>
      <c r="F34" s="118"/>
      <c r="G34" s="326"/>
      <c r="H34" s="327" t="s">
        <v>1935</v>
      </c>
      <c r="I34" s="323" t="s">
        <v>1936</v>
      </c>
      <c r="J34" s="324"/>
      <c r="K34" s="324"/>
      <c r="L34" s="324"/>
    </row>
    <row r="35" spans="1:12" ht="22.5" customHeight="1" x14ac:dyDescent="0.2">
      <c r="A35" s="331" t="s">
        <v>1937</v>
      </c>
      <c r="B35" s="10"/>
      <c r="C35" s="332" t="s">
        <v>1938</v>
      </c>
      <c r="D35" s="10"/>
      <c r="E35" s="333" t="s">
        <v>1939</v>
      </c>
      <c r="F35" s="15"/>
      <c r="G35" s="326"/>
      <c r="H35" s="327" t="s">
        <v>1940</v>
      </c>
      <c r="I35" s="327" t="s">
        <v>1941</v>
      </c>
      <c r="J35" s="324"/>
      <c r="K35" s="324"/>
      <c r="L35" s="324"/>
    </row>
    <row r="36" spans="1:12" ht="22.5" customHeight="1" x14ac:dyDescent="0.2">
      <c r="A36" s="334" t="s">
        <v>1942</v>
      </c>
      <c r="B36" s="335"/>
      <c r="C36" s="332" t="s">
        <v>1943</v>
      </c>
      <c r="D36" s="10"/>
      <c r="E36" s="333" t="s">
        <v>1944</v>
      </c>
      <c r="F36" s="15"/>
      <c r="G36" s="326"/>
      <c r="H36" s="327" t="s">
        <v>3185</v>
      </c>
      <c r="I36" s="336" t="s">
        <v>3186</v>
      </c>
      <c r="J36" s="324"/>
      <c r="K36" s="324"/>
      <c r="L36" s="324"/>
    </row>
    <row r="37" spans="1:12" ht="22.5" customHeight="1" x14ac:dyDescent="0.2">
      <c r="A37" s="331" t="s">
        <v>1945</v>
      </c>
      <c r="B37" s="10"/>
      <c r="C37" s="332" t="s">
        <v>1938</v>
      </c>
      <c r="D37" s="10"/>
      <c r="E37" s="333" t="s">
        <v>1939</v>
      </c>
      <c r="F37" s="15"/>
      <c r="G37" s="326"/>
      <c r="H37" s="337"/>
      <c r="I37" s="337"/>
      <c r="J37" s="324"/>
      <c r="K37" s="324"/>
      <c r="L37" s="324"/>
    </row>
    <row r="38" spans="1:12" ht="22.5" customHeight="1" x14ac:dyDescent="0.2">
      <c r="A38" s="334" t="s">
        <v>1942</v>
      </c>
      <c r="B38" s="10"/>
      <c r="C38" s="332" t="s">
        <v>1943</v>
      </c>
      <c r="D38" s="10"/>
      <c r="E38" s="333" t="s">
        <v>1944</v>
      </c>
      <c r="F38" s="15"/>
      <c r="G38" s="326"/>
      <c r="H38" s="337"/>
      <c r="I38" s="337"/>
      <c r="J38" s="324"/>
      <c r="K38" s="324"/>
      <c r="L38" s="324"/>
    </row>
    <row r="39" spans="1:12" ht="22.5" customHeight="1" x14ac:dyDescent="0.2">
      <c r="A39" s="334" t="s">
        <v>1946</v>
      </c>
      <c r="B39" s="10"/>
      <c r="C39" s="332" t="s">
        <v>1306</v>
      </c>
      <c r="D39" s="10"/>
      <c r="E39" s="333" t="s">
        <v>1305</v>
      </c>
      <c r="F39" s="338"/>
      <c r="G39" s="326"/>
      <c r="H39" s="337"/>
      <c r="I39" s="337"/>
      <c r="J39" s="324"/>
      <c r="K39" s="324"/>
      <c r="L39" s="324"/>
    </row>
    <row r="40" spans="1:12" ht="33" customHeight="1" x14ac:dyDescent="0.2">
      <c r="A40" s="334" t="s">
        <v>2549</v>
      </c>
      <c r="B40" s="10"/>
      <c r="C40" s="332" t="s">
        <v>2534</v>
      </c>
      <c r="D40" s="10"/>
      <c r="E40" s="333"/>
      <c r="F40" s="338"/>
      <c r="G40" s="326"/>
      <c r="H40" s="337"/>
      <c r="I40" s="337"/>
      <c r="J40" s="324"/>
      <c r="K40" s="324"/>
      <c r="L40" s="324"/>
    </row>
    <row r="41" spans="1:12" ht="34.5" customHeight="1" x14ac:dyDescent="0.2">
      <c r="A41" s="334" t="s">
        <v>1947</v>
      </c>
      <c r="B41" s="10"/>
      <c r="C41" s="339" t="s">
        <v>1948</v>
      </c>
      <c r="D41" s="10"/>
      <c r="E41" s="333" t="s">
        <v>1949</v>
      </c>
      <c r="F41" s="15"/>
      <c r="G41" s="326"/>
      <c r="H41" s="337"/>
      <c r="I41" s="337"/>
      <c r="J41" s="324"/>
      <c r="K41" s="324"/>
      <c r="L41" s="324"/>
    </row>
    <row r="42" spans="1:12" ht="22.5" customHeight="1" x14ac:dyDescent="0.2">
      <c r="A42" s="334" t="s">
        <v>1950</v>
      </c>
      <c r="B42" s="2023"/>
      <c r="C42" s="2023"/>
      <c r="D42" s="2023"/>
      <c r="E42" s="333" t="s">
        <v>1951</v>
      </c>
      <c r="F42" s="15"/>
      <c r="G42" s="326"/>
      <c r="H42" s="337"/>
      <c r="I42" s="337"/>
      <c r="J42" s="324"/>
      <c r="K42" s="324"/>
      <c r="L42" s="324"/>
    </row>
    <row r="43" spans="1:12" ht="34.5" customHeight="1" thickBot="1" x14ac:dyDescent="0.25">
      <c r="A43" s="2021" t="s">
        <v>1952</v>
      </c>
      <c r="B43" s="2022"/>
      <c r="C43" s="340" t="s">
        <v>1953</v>
      </c>
      <c r="D43" s="341"/>
      <c r="E43" s="340" t="s">
        <v>1954</v>
      </c>
      <c r="F43" s="341"/>
      <c r="G43" s="342" t="s">
        <v>1955</v>
      </c>
      <c r="H43" s="337"/>
      <c r="I43" s="337"/>
      <c r="J43" s="324"/>
      <c r="K43" s="324"/>
      <c r="L43" s="324"/>
    </row>
    <row r="44" spans="1:12" ht="22.5" customHeight="1" x14ac:dyDescent="0.2">
      <c r="A44" s="329" t="s">
        <v>1956</v>
      </c>
      <c r="B44" s="2016"/>
      <c r="C44" s="2016"/>
      <c r="D44" s="2016"/>
      <c r="E44" s="330" t="s">
        <v>1957</v>
      </c>
      <c r="F44" s="118"/>
      <c r="G44" s="326"/>
      <c r="H44" s="337"/>
      <c r="I44" s="337"/>
      <c r="J44" s="324"/>
      <c r="K44" s="324"/>
      <c r="L44" s="324"/>
    </row>
    <row r="45" spans="1:12" ht="22.5" customHeight="1" x14ac:dyDescent="0.2">
      <c r="A45" s="331" t="s">
        <v>1958</v>
      </c>
      <c r="B45" s="10"/>
      <c r="C45" s="332" t="s">
        <v>1959</v>
      </c>
      <c r="D45" s="10"/>
      <c r="E45" s="333" t="s">
        <v>1960</v>
      </c>
      <c r="F45" s="15"/>
      <c r="G45" s="326"/>
      <c r="H45" s="337"/>
      <c r="I45" s="337"/>
      <c r="J45" s="324"/>
      <c r="K45" s="324"/>
      <c r="L45" s="324"/>
    </row>
    <row r="46" spans="1:12" ht="22.5" customHeight="1" x14ac:dyDescent="0.2">
      <c r="A46" s="334" t="s">
        <v>1961</v>
      </c>
      <c r="B46" s="335"/>
      <c r="C46" s="332" t="s">
        <v>1962</v>
      </c>
      <c r="D46" s="10"/>
      <c r="E46" s="333" t="s">
        <v>1963</v>
      </c>
      <c r="F46" s="15"/>
      <c r="G46" s="326"/>
      <c r="H46" s="337"/>
      <c r="I46" s="337"/>
      <c r="J46" s="324"/>
      <c r="K46" s="324"/>
      <c r="L46" s="324"/>
    </row>
    <row r="47" spans="1:12" ht="22.5" customHeight="1" x14ac:dyDescent="0.2">
      <c r="A47" s="331" t="s">
        <v>1964</v>
      </c>
      <c r="B47" s="10"/>
      <c r="C47" s="332" t="s">
        <v>1959</v>
      </c>
      <c r="D47" s="10"/>
      <c r="E47" s="333" t="s">
        <v>1960</v>
      </c>
      <c r="F47" s="15"/>
      <c r="G47" s="326"/>
      <c r="H47" s="337"/>
      <c r="I47" s="337"/>
      <c r="J47" s="324"/>
      <c r="K47" s="324"/>
      <c r="L47" s="324"/>
    </row>
    <row r="48" spans="1:12" ht="21.75" customHeight="1" x14ac:dyDescent="0.2">
      <c r="A48" s="334" t="s">
        <v>1961</v>
      </c>
      <c r="B48" s="10"/>
      <c r="C48" s="332" t="s">
        <v>1962</v>
      </c>
      <c r="D48" s="10"/>
      <c r="E48" s="333" t="s">
        <v>1963</v>
      </c>
      <c r="F48" s="15"/>
      <c r="G48" s="326"/>
      <c r="H48" s="337"/>
      <c r="I48" s="337"/>
      <c r="J48" s="324"/>
      <c r="K48" s="324"/>
      <c r="L48" s="324"/>
    </row>
    <row r="49" spans="1:12" ht="32.25" customHeight="1" x14ac:dyDescent="0.2">
      <c r="A49" s="334" t="s">
        <v>1946</v>
      </c>
      <c r="B49" s="10"/>
      <c r="C49" s="332" t="s">
        <v>1306</v>
      </c>
      <c r="D49" s="10"/>
      <c r="E49" s="333" t="s">
        <v>1305</v>
      </c>
      <c r="F49" s="338"/>
      <c r="G49" s="326"/>
      <c r="H49" s="337"/>
      <c r="I49" s="337"/>
      <c r="J49" s="324"/>
      <c r="K49" s="324"/>
      <c r="L49" s="324"/>
    </row>
    <row r="50" spans="1:12" ht="34.5" customHeight="1" x14ac:dyDescent="0.2">
      <c r="A50" s="334" t="s">
        <v>2549</v>
      </c>
      <c r="B50" s="10"/>
      <c r="C50" s="332" t="s">
        <v>2534</v>
      </c>
      <c r="D50" s="10"/>
      <c r="E50" s="333"/>
      <c r="F50" s="338"/>
      <c r="G50" s="326"/>
      <c r="H50" s="337"/>
      <c r="I50" s="337"/>
      <c r="J50" s="324"/>
      <c r="K50" s="324"/>
      <c r="L50" s="324"/>
    </row>
    <row r="51" spans="1:12" ht="22.5" customHeight="1" x14ac:dyDescent="0.2">
      <c r="A51" s="334" t="s">
        <v>1947</v>
      </c>
      <c r="B51" s="10"/>
      <c r="C51" s="339" t="s">
        <v>1948</v>
      </c>
      <c r="D51" s="10"/>
      <c r="E51" s="333" t="s">
        <v>1965</v>
      </c>
      <c r="F51" s="15"/>
      <c r="G51" s="326"/>
      <c r="H51" s="337"/>
      <c r="I51" s="337"/>
      <c r="J51" s="324"/>
      <c r="K51" s="324"/>
      <c r="L51" s="324"/>
    </row>
    <row r="52" spans="1:12" ht="36" customHeight="1" x14ac:dyDescent="0.2">
      <c r="A52" s="334" t="s">
        <v>1950</v>
      </c>
      <c r="B52" s="2023"/>
      <c r="C52" s="2023"/>
      <c r="D52" s="2023"/>
      <c r="E52" s="333" t="s">
        <v>1951</v>
      </c>
      <c r="F52" s="15"/>
      <c r="G52" s="326"/>
      <c r="H52" s="337"/>
      <c r="I52" s="337"/>
      <c r="J52" s="324"/>
      <c r="K52" s="324"/>
      <c r="L52" s="324"/>
    </row>
    <row r="53" spans="1:12" ht="22.5" customHeight="1" thickBot="1" x14ac:dyDescent="0.25">
      <c r="A53" s="2021" t="s">
        <v>1966</v>
      </c>
      <c r="B53" s="2022"/>
      <c r="C53" s="340" t="s">
        <v>1953</v>
      </c>
      <c r="D53" s="341"/>
      <c r="E53" s="340" t="s">
        <v>1954</v>
      </c>
      <c r="F53" s="341"/>
      <c r="G53" s="342" t="s">
        <v>1955</v>
      </c>
      <c r="H53" s="337"/>
      <c r="I53" s="337"/>
      <c r="J53" s="324"/>
      <c r="K53" s="324"/>
      <c r="L53" s="324"/>
    </row>
    <row r="54" spans="1:12" ht="22.5" customHeight="1" x14ac:dyDescent="0.2">
      <c r="A54" s="329" t="s">
        <v>1967</v>
      </c>
      <c r="B54" s="2016"/>
      <c r="C54" s="2016"/>
      <c r="D54" s="2016"/>
      <c r="E54" s="330" t="s">
        <v>1968</v>
      </c>
      <c r="F54" s="118"/>
      <c r="G54" s="326"/>
      <c r="H54" s="337"/>
      <c r="I54" s="337"/>
      <c r="J54" s="324"/>
      <c r="K54" s="324"/>
      <c r="L54" s="324"/>
    </row>
    <row r="55" spans="1:12" ht="22.5" customHeight="1" x14ac:dyDescent="0.2">
      <c r="A55" s="331" t="s">
        <v>1969</v>
      </c>
      <c r="B55" s="10"/>
      <c r="C55" s="332" t="s">
        <v>1970</v>
      </c>
      <c r="D55" s="10"/>
      <c r="E55" s="333" t="s">
        <v>1971</v>
      </c>
      <c r="F55" s="15"/>
      <c r="G55" s="326"/>
      <c r="H55" s="337"/>
      <c r="I55" s="337"/>
      <c r="J55" s="324"/>
      <c r="K55" s="324"/>
      <c r="L55" s="324"/>
    </row>
    <row r="56" spans="1:12" ht="22.5" customHeight="1" x14ac:dyDescent="0.2">
      <c r="A56" s="334" t="s">
        <v>1972</v>
      </c>
      <c r="B56" s="335"/>
      <c r="C56" s="332" t="s">
        <v>1973</v>
      </c>
      <c r="D56" s="10"/>
      <c r="E56" s="333" t="s">
        <v>1974</v>
      </c>
      <c r="F56" s="15"/>
      <c r="G56" s="326"/>
      <c r="H56" s="337"/>
      <c r="I56" s="337"/>
      <c r="J56" s="324"/>
      <c r="K56" s="324"/>
      <c r="L56" s="324"/>
    </row>
    <row r="57" spans="1:12" ht="27" customHeight="1" x14ac:dyDescent="0.2">
      <c r="A57" s="331" t="s">
        <v>1975</v>
      </c>
      <c r="B57" s="10"/>
      <c r="C57" s="332" t="s">
        <v>1970</v>
      </c>
      <c r="D57" s="10"/>
      <c r="E57" s="333" t="s">
        <v>1971</v>
      </c>
      <c r="F57" s="15"/>
      <c r="G57" s="326"/>
      <c r="H57" s="337"/>
      <c r="I57" s="337"/>
      <c r="J57" s="324"/>
      <c r="K57" s="324"/>
      <c r="L57" s="324"/>
    </row>
    <row r="58" spans="1:12" ht="34.5" customHeight="1" x14ac:dyDescent="0.2">
      <c r="A58" s="334" t="s">
        <v>1972</v>
      </c>
      <c r="B58" s="10"/>
      <c r="C58" s="332" t="s">
        <v>1973</v>
      </c>
      <c r="D58" s="10"/>
      <c r="E58" s="333" t="s">
        <v>1974</v>
      </c>
      <c r="F58" s="15"/>
      <c r="G58" s="326"/>
      <c r="H58" s="337"/>
      <c r="I58" s="337"/>
      <c r="J58" s="324"/>
      <c r="K58" s="324"/>
      <c r="L58" s="324"/>
    </row>
    <row r="59" spans="1:12" ht="34.5" customHeight="1" x14ac:dyDescent="0.2">
      <c r="A59" s="334" t="s">
        <v>1946</v>
      </c>
      <c r="B59" s="10"/>
      <c r="C59" s="332" t="s">
        <v>1306</v>
      </c>
      <c r="D59" s="10"/>
      <c r="E59" s="333" t="s">
        <v>1305</v>
      </c>
      <c r="F59" s="338"/>
      <c r="G59" s="326"/>
      <c r="H59" s="337"/>
      <c r="I59" s="337"/>
      <c r="J59" s="324"/>
      <c r="K59" s="324"/>
      <c r="L59" s="324"/>
    </row>
    <row r="60" spans="1:12" ht="22.5" customHeight="1" x14ac:dyDescent="0.2">
      <c r="A60" s="334" t="s">
        <v>2549</v>
      </c>
      <c r="B60" s="10"/>
      <c r="C60" s="332" t="s">
        <v>2534</v>
      </c>
      <c r="D60" s="10"/>
      <c r="E60" s="333"/>
      <c r="F60" s="338"/>
      <c r="G60" s="326"/>
      <c r="H60" s="337"/>
      <c r="I60" s="337"/>
      <c r="J60" s="324"/>
      <c r="K60" s="324"/>
      <c r="L60" s="324"/>
    </row>
    <row r="61" spans="1:12" ht="29.65" customHeight="1" x14ac:dyDescent="0.2">
      <c r="A61" s="334" t="s">
        <v>1947</v>
      </c>
      <c r="B61" s="10"/>
      <c r="C61" s="339" t="s">
        <v>1948</v>
      </c>
      <c r="D61" s="10"/>
      <c r="E61" s="333" t="s">
        <v>1976</v>
      </c>
      <c r="F61" s="15"/>
      <c r="G61" s="326"/>
      <c r="H61" s="337"/>
      <c r="I61" s="337"/>
      <c r="J61" s="324"/>
      <c r="K61" s="324"/>
      <c r="L61" s="324"/>
    </row>
    <row r="62" spans="1:12" ht="22.5" customHeight="1" x14ac:dyDescent="0.2">
      <c r="A62" s="334" t="s">
        <v>1950</v>
      </c>
      <c r="B62" s="2023"/>
      <c r="C62" s="2023"/>
      <c r="D62" s="2023"/>
      <c r="E62" s="333" t="s">
        <v>1951</v>
      </c>
      <c r="F62" s="15"/>
      <c r="G62" s="326"/>
      <c r="H62" s="337"/>
      <c r="I62" s="337"/>
      <c r="J62" s="324"/>
      <c r="K62" s="324"/>
      <c r="L62" s="324"/>
    </row>
    <row r="63" spans="1:12" ht="22.5" customHeight="1" thickBot="1" x14ac:dyDescent="0.25">
      <c r="A63" s="2021" t="s">
        <v>1977</v>
      </c>
      <c r="B63" s="2022"/>
      <c r="C63" s="340" t="s">
        <v>1953</v>
      </c>
      <c r="D63" s="341"/>
      <c r="E63" s="340" t="s">
        <v>1954</v>
      </c>
      <c r="F63" s="341"/>
      <c r="G63" s="342" t="s">
        <v>1955</v>
      </c>
      <c r="H63" s="337"/>
      <c r="I63" s="337"/>
      <c r="J63" s="324"/>
      <c r="K63" s="324"/>
      <c r="L63" s="324"/>
    </row>
    <row r="64" spans="1:12" ht="22.5" customHeight="1" x14ac:dyDescent="0.2">
      <c r="A64" s="329" t="s">
        <v>1978</v>
      </c>
      <c r="B64" s="2016"/>
      <c r="C64" s="2016"/>
      <c r="D64" s="2016"/>
      <c r="E64" s="330" t="s">
        <v>1979</v>
      </c>
      <c r="F64" s="118"/>
      <c r="G64" s="342"/>
      <c r="H64" s="337"/>
      <c r="I64" s="337"/>
      <c r="J64" s="324"/>
      <c r="K64" s="324"/>
      <c r="L64" s="324"/>
    </row>
    <row r="65" spans="1:12" ht="22.5" customHeight="1" x14ac:dyDescent="0.2">
      <c r="A65" s="331" t="s">
        <v>1980</v>
      </c>
      <c r="B65" s="10"/>
      <c r="C65" s="332" t="s">
        <v>1981</v>
      </c>
      <c r="D65" s="10"/>
      <c r="E65" s="333" t="s">
        <v>1982</v>
      </c>
      <c r="F65" s="15"/>
      <c r="G65" s="342"/>
      <c r="H65" s="337"/>
      <c r="I65" s="337"/>
      <c r="J65" s="324"/>
      <c r="K65" s="324"/>
      <c r="L65" s="324"/>
    </row>
    <row r="66" spans="1:12" ht="22.5" customHeight="1" x14ac:dyDescent="0.2">
      <c r="A66" s="334" t="s">
        <v>1983</v>
      </c>
      <c r="B66" s="335"/>
      <c r="C66" s="332" t="s">
        <v>1984</v>
      </c>
      <c r="D66" s="10"/>
      <c r="E66" s="333" t="s">
        <v>1985</v>
      </c>
      <c r="F66" s="15"/>
      <c r="G66" s="342"/>
      <c r="H66" s="337"/>
      <c r="I66" s="337"/>
      <c r="J66" s="324"/>
      <c r="K66" s="324"/>
      <c r="L66" s="324"/>
    </row>
    <row r="67" spans="1:12" ht="22.5" customHeight="1" x14ac:dyDescent="0.2">
      <c r="A67" s="331" t="s">
        <v>1986</v>
      </c>
      <c r="B67" s="10"/>
      <c r="C67" s="332" t="s">
        <v>1981</v>
      </c>
      <c r="D67" s="10"/>
      <c r="E67" s="333" t="s">
        <v>1982</v>
      </c>
      <c r="F67" s="15"/>
      <c r="G67" s="342"/>
      <c r="H67" s="337"/>
      <c r="I67" s="337"/>
      <c r="J67" s="324"/>
      <c r="K67" s="324"/>
      <c r="L67" s="324"/>
    </row>
    <row r="68" spans="1:12" ht="22.5" customHeight="1" x14ac:dyDescent="0.2">
      <c r="A68" s="334" t="s">
        <v>1983</v>
      </c>
      <c r="B68" s="10"/>
      <c r="C68" s="332" t="s">
        <v>1984</v>
      </c>
      <c r="D68" s="10"/>
      <c r="E68" s="333" t="s">
        <v>1985</v>
      </c>
      <c r="F68" s="15"/>
      <c r="G68" s="342"/>
      <c r="H68" s="337"/>
      <c r="I68" s="337"/>
      <c r="J68" s="324"/>
      <c r="K68" s="324"/>
      <c r="L68" s="324"/>
    </row>
    <row r="69" spans="1:12" ht="22.5" customHeight="1" x14ac:dyDescent="0.2">
      <c r="A69" s="334" t="s">
        <v>1946</v>
      </c>
      <c r="B69" s="10"/>
      <c r="C69" s="332" t="s">
        <v>1306</v>
      </c>
      <c r="D69" s="10"/>
      <c r="E69" s="333" t="s">
        <v>1305</v>
      </c>
      <c r="F69" s="338"/>
      <c r="G69" s="342"/>
      <c r="H69" s="337"/>
      <c r="I69" s="337"/>
      <c r="J69" s="324"/>
      <c r="K69" s="324"/>
      <c r="L69" s="324"/>
    </row>
    <row r="70" spans="1:12" ht="27" customHeight="1" x14ac:dyDescent="0.2">
      <c r="A70" s="334" t="s">
        <v>2549</v>
      </c>
      <c r="B70" s="10"/>
      <c r="C70" s="332" t="s">
        <v>2534</v>
      </c>
      <c r="D70" s="10"/>
      <c r="E70" s="333"/>
      <c r="F70" s="338"/>
      <c r="G70" s="326"/>
      <c r="H70" s="337"/>
      <c r="I70" s="337"/>
      <c r="J70" s="324"/>
      <c r="K70" s="324"/>
      <c r="L70" s="324"/>
    </row>
    <row r="71" spans="1:12" ht="22.5" customHeight="1" x14ac:dyDescent="0.2">
      <c r="A71" s="334" t="s">
        <v>1947</v>
      </c>
      <c r="B71" s="10"/>
      <c r="C71" s="339" t="s">
        <v>1948</v>
      </c>
      <c r="D71" s="10"/>
      <c r="E71" s="333" t="s">
        <v>1987</v>
      </c>
      <c r="F71" s="15"/>
      <c r="G71" s="342"/>
      <c r="H71" s="337"/>
      <c r="I71" s="337"/>
      <c r="J71" s="324"/>
      <c r="K71" s="324"/>
      <c r="L71" s="324"/>
    </row>
    <row r="72" spans="1:12" ht="22.5" customHeight="1" x14ac:dyDescent="0.2">
      <c r="A72" s="334" t="s">
        <v>1950</v>
      </c>
      <c r="B72" s="2023"/>
      <c r="C72" s="2023"/>
      <c r="D72" s="2023"/>
      <c r="E72" s="333" t="s">
        <v>1951</v>
      </c>
      <c r="F72" s="15"/>
      <c r="G72" s="342"/>
      <c r="H72" s="337"/>
      <c r="I72" s="337"/>
      <c r="J72" s="324"/>
      <c r="K72" s="324"/>
      <c r="L72" s="324"/>
    </row>
    <row r="73" spans="1:12" ht="22.5" customHeight="1" thickBot="1" x14ac:dyDescent="0.25">
      <c r="A73" s="2021" t="s">
        <v>1988</v>
      </c>
      <c r="B73" s="2022"/>
      <c r="C73" s="340" t="s">
        <v>1953</v>
      </c>
      <c r="D73" s="341"/>
      <c r="E73" s="340" t="s">
        <v>1954</v>
      </c>
      <c r="F73" s="341"/>
      <c r="G73" s="342"/>
      <c r="H73" s="337"/>
      <c r="I73" s="337"/>
      <c r="J73" s="324"/>
      <c r="K73" s="324"/>
      <c r="L73" s="324"/>
    </row>
    <row r="74" spans="1:12" ht="22.5" customHeight="1" x14ac:dyDescent="0.2">
      <c r="A74" s="329" t="s">
        <v>1989</v>
      </c>
      <c r="B74" s="2016"/>
      <c r="C74" s="2016"/>
      <c r="D74" s="2016"/>
      <c r="E74" s="330" t="s">
        <v>1990</v>
      </c>
      <c r="F74" s="118"/>
      <c r="G74" s="342"/>
      <c r="H74" s="337"/>
      <c r="I74" s="337"/>
      <c r="J74" s="324"/>
      <c r="K74" s="324"/>
      <c r="L74" s="324"/>
    </row>
    <row r="75" spans="1:12" ht="22.5" customHeight="1" x14ac:dyDescent="0.2">
      <c r="A75" s="331" t="s">
        <v>1991</v>
      </c>
      <c r="B75" s="10"/>
      <c r="C75" s="332" t="s">
        <v>1992</v>
      </c>
      <c r="D75" s="10"/>
      <c r="E75" s="333" t="s">
        <v>1993</v>
      </c>
      <c r="F75" s="15"/>
      <c r="G75" s="342"/>
      <c r="H75" s="337"/>
      <c r="I75" s="337"/>
      <c r="J75" s="324"/>
      <c r="K75" s="324"/>
      <c r="L75" s="324"/>
    </row>
    <row r="76" spans="1:12" ht="22.5" customHeight="1" x14ac:dyDescent="0.2">
      <c r="A76" s="334" t="s">
        <v>1994</v>
      </c>
      <c r="B76" s="335"/>
      <c r="C76" s="332" t="s">
        <v>1995</v>
      </c>
      <c r="D76" s="10"/>
      <c r="E76" s="333" t="s">
        <v>1996</v>
      </c>
      <c r="F76" s="15"/>
      <c r="G76" s="342"/>
      <c r="H76" s="337"/>
      <c r="I76" s="337"/>
      <c r="J76" s="324"/>
      <c r="K76" s="324"/>
      <c r="L76" s="324"/>
    </row>
    <row r="77" spans="1:12" ht="22.5" customHeight="1" x14ac:dyDescent="0.2">
      <c r="A77" s="331" t="s">
        <v>1997</v>
      </c>
      <c r="B77" s="10"/>
      <c r="C77" s="332" t="s">
        <v>1992</v>
      </c>
      <c r="D77" s="10"/>
      <c r="E77" s="333" t="s">
        <v>1993</v>
      </c>
      <c r="F77" s="15"/>
      <c r="G77" s="342"/>
      <c r="H77" s="337"/>
      <c r="I77" s="337"/>
      <c r="J77" s="324"/>
      <c r="K77" s="324"/>
      <c r="L77" s="324"/>
    </row>
    <row r="78" spans="1:12" ht="22.5" customHeight="1" x14ac:dyDescent="0.2">
      <c r="A78" s="334" t="s">
        <v>1994</v>
      </c>
      <c r="B78" s="10"/>
      <c r="C78" s="332" t="s">
        <v>1995</v>
      </c>
      <c r="D78" s="10"/>
      <c r="E78" s="333" t="s">
        <v>1996</v>
      </c>
      <c r="F78" s="15"/>
      <c r="G78" s="342"/>
      <c r="H78" s="337"/>
      <c r="I78" s="337"/>
      <c r="J78" s="324"/>
      <c r="K78" s="324"/>
      <c r="L78" s="324"/>
    </row>
    <row r="79" spans="1:12" ht="22.5" customHeight="1" x14ac:dyDescent="0.2">
      <c r="A79" s="334" t="s">
        <v>1946</v>
      </c>
      <c r="B79" s="10"/>
      <c r="C79" s="332" t="s">
        <v>1306</v>
      </c>
      <c r="D79" s="10"/>
      <c r="E79" s="333" t="s">
        <v>1305</v>
      </c>
      <c r="F79" s="338"/>
      <c r="G79" s="342"/>
      <c r="H79" s="337"/>
      <c r="I79" s="337"/>
      <c r="J79" s="324"/>
      <c r="K79" s="324"/>
      <c r="L79" s="324"/>
    </row>
    <row r="80" spans="1:12" ht="22.5" customHeight="1" x14ac:dyDescent="0.2">
      <c r="A80" s="334" t="s">
        <v>2549</v>
      </c>
      <c r="B80" s="10"/>
      <c r="C80" s="332" t="s">
        <v>2534</v>
      </c>
      <c r="D80" s="10"/>
      <c r="E80" s="333"/>
      <c r="F80" s="338"/>
      <c r="G80" s="326"/>
      <c r="H80" s="337"/>
      <c r="I80" s="337"/>
      <c r="J80" s="324"/>
      <c r="K80" s="324"/>
      <c r="L80" s="324"/>
    </row>
    <row r="81" spans="1:12" ht="22.5" customHeight="1" x14ac:dyDescent="0.2">
      <c r="A81" s="334" t="s">
        <v>1947</v>
      </c>
      <c r="B81" s="10"/>
      <c r="C81" s="339" t="s">
        <v>1948</v>
      </c>
      <c r="D81" s="10"/>
      <c r="E81" s="333" t="s">
        <v>1998</v>
      </c>
      <c r="F81" s="15"/>
      <c r="G81" s="342"/>
      <c r="H81" s="337"/>
      <c r="I81" s="337"/>
      <c r="J81" s="324"/>
      <c r="K81" s="324"/>
      <c r="L81" s="324"/>
    </row>
    <row r="82" spans="1:12" ht="22.5" customHeight="1" x14ac:dyDescent="0.2">
      <c r="A82" s="334" t="s">
        <v>1950</v>
      </c>
      <c r="B82" s="2023"/>
      <c r="C82" s="2023"/>
      <c r="D82" s="2023"/>
      <c r="E82" s="333" t="s">
        <v>1951</v>
      </c>
      <c r="F82" s="15"/>
      <c r="G82" s="342"/>
      <c r="H82" s="337"/>
      <c r="I82" s="337"/>
      <c r="J82" s="324"/>
      <c r="K82" s="324"/>
      <c r="L82" s="324"/>
    </row>
    <row r="83" spans="1:12" ht="22.5" customHeight="1" thickBot="1" x14ac:dyDescent="0.25">
      <c r="A83" s="2021" t="s">
        <v>1999</v>
      </c>
      <c r="B83" s="2022"/>
      <c r="C83" s="340" t="s">
        <v>1953</v>
      </c>
      <c r="D83" s="341"/>
      <c r="E83" s="340" t="s">
        <v>1954</v>
      </c>
      <c r="F83" s="341"/>
      <c r="G83" s="342"/>
      <c r="H83" s="337"/>
      <c r="I83" s="337"/>
      <c r="J83" s="324"/>
      <c r="K83" s="324"/>
      <c r="L83" s="324"/>
    </row>
    <row r="84" spans="1:12" ht="22.5" customHeight="1" thickBot="1" x14ac:dyDescent="0.25">
      <c r="A84" s="2011" t="s">
        <v>192</v>
      </c>
      <c r="B84" s="2012"/>
      <c r="C84" s="2012"/>
      <c r="D84" s="2012"/>
      <c r="E84" s="2012"/>
      <c r="F84" s="2013"/>
      <c r="G84" s="326"/>
      <c r="H84" s="337"/>
      <c r="I84" s="337"/>
      <c r="J84" s="324"/>
      <c r="K84" s="324"/>
      <c r="L84" s="324"/>
    </row>
    <row r="85" spans="1:12" ht="22.5" customHeight="1" x14ac:dyDescent="0.2">
      <c r="A85" s="343" t="s">
        <v>189</v>
      </c>
      <c r="B85" s="344"/>
      <c r="C85" s="345" t="s">
        <v>136</v>
      </c>
      <c r="D85" s="7"/>
      <c r="E85" s="345" t="s">
        <v>188</v>
      </c>
      <c r="F85" s="8"/>
      <c r="G85" s="326"/>
      <c r="H85" s="337"/>
      <c r="I85" s="337"/>
      <c r="J85" s="324"/>
      <c r="K85" s="324"/>
      <c r="L85" s="324"/>
    </row>
    <row r="86" spans="1:12" ht="22.5" customHeight="1" thickBot="1" x14ac:dyDescent="0.25">
      <c r="A86" s="346" t="s">
        <v>92</v>
      </c>
      <c r="B86" s="294"/>
      <c r="C86" s="347" t="s">
        <v>140</v>
      </c>
      <c r="D86" s="348"/>
      <c r="E86" s="2014"/>
      <c r="F86" s="2015"/>
      <c r="G86" s="326"/>
      <c r="H86" s="337"/>
      <c r="I86" s="337"/>
      <c r="J86" s="324"/>
      <c r="K86" s="324"/>
      <c r="L86" s="324"/>
    </row>
    <row r="87" spans="1:12" ht="22.5" customHeight="1" x14ac:dyDescent="0.2">
      <c r="A87" s="343" t="s">
        <v>190</v>
      </c>
      <c r="B87" s="344"/>
      <c r="C87" s="345" t="s">
        <v>136</v>
      </c>
      <c r="D87" s="7"/>
      <c r="E87" s="345" t="s">
        <v>188</v>
      </c>
      <c r="F87" s="8"/>
      <c r="G87" s="326"/>
      <c r="H87" s="337"/>
      <c r="I87" s="337"/>
      <c r="J87" s="324"/>
      <c r="K87" s="324"/>
      <c r="L87" s="324"/>
    </row>
    <row r="88" spans="1:12" ht="22.5" customHeight="1" thickBot="1" x14ac:dyDescent="0.25">
      <c r="A88" s="349" t="s">
        <v>92</v>
      </c>
      <c r="B88" s="350"/>
      <c r="C88" s="351" t="s">
        <v>140</v>
      </c>
      <c r="D88" s="352"/>
      <c r="E88" s="2014"/>
      <c r="F88" s="2015"/>
      <c r="G88" s="326"/>
      <c r="H88" s="337"/>
      <c r="I88" s="337"/>
      <c r="J88" s="324"/>
      <c r="K88" s="324"/>
      <c r="L88" s="324"/>
    </row>
    <row r="89" spans="1:12" ht="22.5" customHeight="1" x14ac:dyDescent="0.2">
      <c r="A89" s="353" t="s">
        <v>191</v>
      </c>
      <c r="B89" s="344"/>
      <c r="C89" s="354" t="s">
        <v>136</v>
      </c>
      <c r="D89" s="9"/>
      <c r="E89" s="354" t="s">
        <v>188</v>
      </c>
      <c r="F89" s="8"/>
      <c r="G89" s="326"/>
      <c r="H89" s="337"/>
      <c r="I89" s="337"/>
      <c r="J89" s="324"/>
      <c r="K89" s="324"/>
      <c r="L89" s="324"/>
    </row>
    <row r="90" spans="1:12" ht="25.15" customHeight="1" thickBot="1" x14ac:dyDescent="0.25">
      <c r="A90" s="349" t="s">
        <v>92</v>
      </c>
      <c r="B90" s="350"/>
      <c r="C90" s="351" t="s">
        <v>140</v>
      </c>
      <c r="D90" s="352"/>
      <c r="E90" s="2014"/>
      <c r="F90" s="2015"/>
      <c r="G90" s="326"/>
    </row>
    <row r="91" spans="1:12" ht="30.75" customHeight="1" x14ac:dyDescent="0.2">
      <c r="A91" s="353" t="s">
        <v>295</v>
      </c>
      <c r="B91" s="344"/>
      <c r="C91" s="354" t="s">
        <v>136</v>
      </c>
      <c r="D91" s="9"/>
      <c r="E91" s="354" t="s">
        <v>188</v>
      </c>
      <c r="F91" s="8"/>
      <c r="G91" s="326"/>
    </row>
    <row r="92" spans="1:12" ht="15.75" thickBot="1" x14ac:dyDescent="0.25">
      <c r="A92" s="349" t="s">
        <v>92</v>
      </c>
      <c r="B92" s="350"/>
      <c r="C92" s="351" t="s">
        <v>140</v>
      </c>
      <c r="D92" s="352"/>
      <c r="E92" s="2014"/>
      <c r="F92" s="2015"/>
      <c r="G92" s="326"/>
    </row>
    <row r="93" spans="1:12" ht="22.5" customHeight="1" x14ac:dyDescent="0.2">
      <c r="A93" s="353" t="s">
        <v>2000</v>
      </c>
      <c r="B93" s="344"/>
      <c r="C93" s="354" t="s">
        <v>136</v>
      </c>
      <c r="D93" s="9"/>
      <c r="E93" s="354" t="s">
        <v>188</v>
      </c>
      <c r="F93" s="8"/>
      <c r="G93" s="326"/>
    </row>
    <row r="94" spans="1:12" ht="20.25" customHeight="1" thickBot="1" x14ac:dyDescent="0.25">
      <c r="A94" s="349" t="s">
        <v>92</v>
      </c>
      <c r="B94" s="350"/>
      <c r="C94" s="351" t="s">
        <v>140</v>
      </c>
      <c r="D94" s="352"/>
      <c r="E94" s="2014"/>
      <c r="F94" s="2015"/>
      <c r="G94" s="326"/>
    </row>
    <row r="95" spans="1:12" ht="25.15" customHeight="1" thickBot="1" x14ac:dyDescent="0.25">
      <c r="A95" s="2011" t="s">
        <v>2001</v>
      </c>
      <c r="B95" s="2012"/>
      <c r="C95" s="2012"/>
      <c r="D95" s="2012"/>
      <c r="E95" s="2012"/>
      <c r="F95" s="2013"/>
      <c r="G95" s="6" t="s">
        <v>2002</v>
      </c>
    </row>
    <row r="96" spans="1:12" ht="22.5" customHeight="1" x14ac:dyDescent="0.2">
      <c r="A96" s="355" t="s">
        <v>2003</v>
      </c>
      <c r="B96" s="2016"/>
      <c r="C96" s="2016"/>
      <c r="D96" s="356" t="s">
        <v>2004</v>
      </c>
      <c r="E96" s="2017"/>
      <c r="F96" s="2018"/>
    </row>
    <row r="97" spans="1:7" ht="22.5" customHeight="1" x14ac:dyDescent="0.2">
      <c r="A97" s="357" t="s">
        <v>802</v>
      </c>
      <c r="B97" s="2019"/>
      <c r="C97" s="2019"/>
      <c r="D97" s="358" t="s">
        <v>2005</v>
      </c>
      <c r="E97" s="2020"/>
      <c r="F97" s="2007"/>
    </row>
    <row r="98" spans="1:7" ht="22.5" customHeight="1" x14ac:dyDescent="0.2">
      <c r="A98" s="357" t="s">
        <v>2006</v>
      </c>
      <c r="B98" s="2005"/>
      <c r="C98" s="2005"/>
      <c r="D98" s="358" t="s">
        <v>2007</v>
      </c>
      <c r="E98" s="2006"/>
      <c r="F98" s="2007"/>
    </row>
    <row r="99" spans="1:7" ht="25.15" customHeight="1" thickBot="1" x14ac:dyDescent="0.25">
      <c r="A99" s="359" t="s">
        <v>2008</v>
      </c>
      <c r="B99" s="2008"/>
      <c r="C99" s="2008"/>
      <c r="D99" s="360" t="s">
        <v>1898</v>
      </c>
      <c r="E99" s="2009"/>
      <c r="F99" s="2010"/>
    </row>
    <row r="100" spans="1:7" ht="22.5" customHeight="1" thickBot="1" x14ac:dyDescent="0.25">
      <c r="A100" s="2011" t="s">
        <v>2009</v>
      </c>
      <c r="B100" s="2012"/>
      <c r="C100" s="2012"/>
      <c r="D100" s="2012"/>
      <c r="E100" s="2012"/>
      <c r="F100" s="2013"/>
    </row>
    <row r="101" spans="1:7" ht="22.5" customHeight="1" x14ac:dyDescent="0.2">
      <c r="A101" s="357" t="s">
        <v>2010</v>
      </c>
      <c r="B101" s="1997"/>
      <c r="C101" s="1998"/>
      <c r="D101" s="1999"/>
      <c r="E101" s="358" t="s">
        <v>2011</v>
      </c>
      <c r="F101" s="361"/>
      <c r="G101" s="2000" t="s">
        <v>2012</v>
      </c>
    </row>
    <row r="102" spans="1:7" ht="30.75" customHeight="1" thickBot="1" x14ac:dyDescent="0.25">
      <c r="A102" s="357" t="s">
        <v>2013</v>
      </c>
      <c r="B102" s="1997"/>
      <c r="C102" s="1998"/>
      <c r="D102" s="1999"/>
      <c r="E102" s="358" t="s">
        <v>2014</v>
      </c>
      <c r="F102" s="361"/>
      <c r="G102" s="2001"/>
    </row>
    <row r="103" spans="1:7" ht="22.5" customHeight="1" thickBot="1" x14ac:dyDescent="0.25">
      <c r="A103" s="359" t="s">
        <v>2015</v>
      </c>
      <c r="B103" s="2002"/>
      <c r="C103" s="2003"/>
      <c r="D103" s="2004"/>
      <c r="E103" s="360" t="s">
        <v>2016</v>
      </c>
      <c r="F103" s="362"/>
    </row>
    <row r="104" spans="1:7" ht="22.5" customHeight="1" x14ac:dyDescent="0.2"/>
    <row r="105" spans="1:7" ht="22.5" customHeight="1" x14ac:dyDescent="0.2"/>
    <row r="106" spans="1:7" ht="21.75" customHeight="1" x14ac:dyDescent="0.2"/>
    <row r="107" spans="1:7" ht="43.5" customHeight="1" x14ac:dyDescent="0.2"/>
    <row r="108" spans="1:7" ht="76.5" customHeight="1" x14ac:dyDescent="0.2"/>
    <row r="109" spans="1:7" ht="76.5" customHeight="1" x14ac:dyDescent="0.2"/>
    <row r="110" spans="1:7" ht="69.75" customHeight="1" x14ac:dyDescent="0.2"/>
    <row r="111" spans="1:7" ht="22.5" customHeight="1" x14ac:dyDescent="0.2"/>
    <row r="112" spans="1:7" ht="22.5" customHeight="1" x14ac:dyDescent="0.2"/>
  </sheetData>
  <sheetProtection formatCells="0" formatColumns="0" formatRows="0" insertColumns="0" selectLockedCells="1"/>
  <mergeCells count="57">
    <mergeCell ref="A63:B63"/>
    <mergeCell ref="A1:D3"/>
    <mergeCell ref="B5:F5"/>
    <mergeCell ref="E1:E3"/>
    <mergeCell ref="A6:F6"/>
    <mergeCell ref="B29:C29"/>
    <mergeCell ref="B27:C27"/>
    <mergeCell ref="E7:F18"/>
    <mergeCell ref="A18:C18"/>
    <mergeCell ref="B19:C19"/>
    <mergeCell ref="A20:F20"/>
    <mergeCell ref="B21:C21"/>
    <mergeCell ref="B22:C22"/>
    <mergeCell ref="B23:C23"/>
    <mergeCell ref="B24:C24"/>
    <mergeCell ref="B25:C25"/>
    <mergeCell ref="B26:C26"/>
    <mergeCell ref="B28:C28"/>
    <mergeCell ref="A30:E30"/>
    <mergeCell ref="A31:E31"/>
    <mergeCell ref="A32:E32"/>
    <mergeCell ref="A33:F33"/>
    <mergeCell ref="B62:D62"/>
    <mergeCell ref="B42:D42"/>
    <mergeCell ref="B54:D54"/>
    <mergeCell ref="B34:D34"/>
    <mergeCell ref="A43:B43"/>
    <mergeCell ref="B44:D44"/>
    <mergeCell ref="B52:D52"/>
    <mergeCell ref="A53:B53"/>
    <mergeCell ref="B64:D64"/>
    <mergeCell ref="B72:D72"/>
    <mergeCell ref="A73:B73"/>
    <mergeCell ref="B74:D74"/>
    <mergeCell ref="B82:D82"/>
    <mergeCell ref="A83:B83"/>
    <mergeCell ref="A84:F84"/>
    <mergeCell ref="E86:F86"/>
    <mergeCell ref="E90:F90"/>
    <mergeCell ref="E92:F92"/>
    <mergeCell ref="E88:F88"/>
    <mergeCell ref="A4:F4"/>
    <mergeCell ref="B101:D101"/>
    <mergeCell ref="G101:G102"/>
    <mergeCell ref="B102:D102"/>
    <mergeCell ref="B103:D103"/>
    <mergeCell ref="B98:C98"/>
    <mergeCell ref="E98:F98"/>
    <mergeCell ref="B99:C99"/>
    <mergeCell ref="E99:F99"/>
    <mergeCell ref="A100:F100"/>
    <mergeCell ref="E94:F94"/>
    <mergeCell ref="A95:F95"/>
    <mergeCell ref="B96:C96"/>
    <mergeCell ref="E96:F96"/>
    <mergeCell ref="B97:C97"/>
    <mergeCell ref="E97:F97"/>
  </mergeCells>
  <conditionalFormatting sqref="F83">
    <cfRule type="cellIs" dxfId="329" priority="1" operator="equal">
      <formula>""</formula>
    </cfRule>
  </conditionalFormatting>
  <conditionalFormatting sqref="B19:C19 D18">
    <cfRule type="cellIs" dxfId="328" priority="11" operator="equal">
      <formula>""</formula>
    </cfRule>
  </conditionalFormatting>
  <conditionalFormatting sqref="D43">
    <cfRule type="cellIs" dxfId="327" priority="10" operator="equal">
      <formula>""</formula>
    </cfRule>
  </conditionalFormatting>
  <conditionalFormatting sqref="F43">
    <cfRule type="cellIs" dxfId="326" priority="9" operator="equal">
      <formula>""</formula>
    </cfRule>
  </conditionalFormatting>
  <conditionalFormatting sqref="D53">
    <cfRule type="cellIs" dxfId="325" priority="8" operator="equal">
      <formula>""</formula>
    </cfRule>
  </conditionalFormatting>
  <conditionalFormatting sqref="F53">
    <cfRule type="cellIs" dxfId="324" priority="7" operator="equal">
      <formula>""</formula>
    </cfRule>
  </conditionalFormatting>
  <conditionalFormatting sqref="D63">
    <cfRule type="cellIs" dxfId="323" priority="6" operator="equal">
      <formula>""</formula>
    </cfRule>
  </conditionalFormatting>
  <conditionalFormatting sqref="F63">
    <cfRule type="cellIs" dxfId="322" priority="5" operator="equal">
      <formula>""</formula>
    </cfRule>
  </conditionalFormatting>
  <conditionalFormatting sqref="D73">
    <cfRule type="cellIs" dxfId="321" priority="4" operator="equal">
      <formula>""</formula>
    </cfRule>
  </conditionalFormatting>
  <conditionalFormatting sqref="F73">
    <cfRule type="cellIs" dxfId="320" priority="3" operator="equal">
      <formula>""</formula>
    </cfRule>
  </conditionalFormatting>
  <conditionalFormatting sqref="D83">
    <cfRule type="cellIs" dxfId="319" priority="2" operator="equal">
      <formula>""</formula>
    </cfRule>
  </conditionalFormatting>
  <dataValidations count="9">
    <dataValidation type="list" allowBlank="1" showInputMessage="1" showErrorMessage="1" sqref="D86 D88 D90 D92 D94" xr:uid="{00000000-0002-0000-1300-000000000000}">
      <formula1>"Home Loan, LAP, Personal Loan, BIL, SBOD"</formula1>
    </dataValidation>
    <dataValidation type="list" allowBlank="1" showInputMessage="1" showErrorMessage="1" sqref="B19:C19" xr:uid="{00000000-0002-0000-1300-000001000000}">
      <formula1>"Stock and Book Debts, Current Assets, Plant and Machinery, Current Assets and Plant and Machinery, NA"</formula1>
    </dataValidation>
    <dataValidation type="list" allowBlank="1" showInputMessage="1" showErrorMessage="1" sqref="E19" xr:uid="{00000000-0002-0000-1300-000002000000}">
      <formula1>"Working capital Finance, Working capital Finance and Forex Hedging,Buying Commercial Property, Buying Industrial Property, Purchasing Fixed Assets, Other"</formula1>
    </dataValidation>
    <dataValidation type="list" allowBlank="1" showInputMessage="1" showErrorMessage="1" sqref="F34 F44 F54 F64 F74" xr:uid="{00000000-0002-0000-1300-000003000000}">
      <formula1>"Self Occupied Residential 19R,  Self Occupied Commercial 20C,  Let Out Residential 19R,  Let Out Commercial 20C, Vacant Residential 19R, Vacant Commercial 20C, Godown 19G, Residential Plot 19P, Factory (Land &amp; Building) 19F"</formula1>
    </dataValidation>
    <dataValidation type="list" allowBlank="1" showInputMessage="1" showErrorMessage="1" sqref="B41 B51 B61 B71 B81" xr:uid="{00000000-0002-0000-1300-000004000000}">
      <formula1>"Individual, Firm, Private Limited Co, Limited Co, LLP"</formula1>
    </dataValidation>
    <dataValidation type="list" allowBlank="1" showInputMessage="1" showErrorMessage="1" sqref="A22:A29" xr:uid="{00000000-0002-0000-1300-000005000000}">
      <formula1>$H$22:$H$36</formula1>
    </dataValidation>
    <dataValidation type="list" allowBlank="1" showInputMessage="1" showErrorMessage="1" sqref="F41 F51 F61 F71 F81" xr:uid="{00000000-0002-0000-1300-000006000000}">
      <formula1>"Residential, Commercial, Residendial cum commercial"</formula1>
    </dataValidation>
    <dataValidation type="list" allowBlank="1" showInputMessage="1" showErrorMessage="1" sqref="B97:C97" xr:uid="{00000000-0002-0000-1300-000007000000}">
      <formula1>"Individual,Proprietorship,Partnership, Pvt. Ltd Co.,Ltd.Co., Individual &amp; Non Individual, More than 1 non individual"</formula1>
    </dataValidation>
    <dataValidation type="list" allowBlank="1" showInputMessage="1" showErrorMessage="1" sqref="B40 B50 B60 B70 B80" xr:uid="{00000000-0002-0000-1300-000008000000}">
      <formula1>"Yes,No"</formula1>
    </dataValidation>
  </dataValidations>
  <printOptions horizontalCentered="1" verticalCentered="1"/>
  <pageMargins left="0" right="0" top="0" bottom="0" header="0" footer="0"/>
  <pageSetup paperSize="9" scale="37"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pageSetUpPr fitToPage="1"/>
  </sheetPr>
  <dimension ref="A1:BF23"/>
  <sheetViews>
    <sheetView showGridLines="0" workbookViewId="0">
      <selection activeCell="R1" sqref="R1:R1048576"/>
    </sheetView>
  </sheetViews>
  <sheetFormatPr defaultRowHeight="12.75" x14ac:dyDescent="0.2"/>
  <cols>
    <col min="1" max="1" width="9.140625" style="163"/>
    <col min="2" max="2" width="32.42578125" customWidth="1"/>
    <col min="3" max="3" width="16.28515625" customWidth="1"/>
    <col min="4" max="4" width="9.140625" customWidth="1"/>
    <col min="5" max="5" width="16.42578125" customWidth="1"/>
    <col min="6" max="40" width="9.140625" customWidth="1"/>
  </cols>
  <sheetData>
    <row r="1" spans="1:16" s="181" customFormat="1" x14ac:dyDescent="0.2"/>
    <row r="2" spans="1:16" s="163" customFormat="1" ht="13.5" thickBot="1" x14ac:dyDescent="0.25">
      <c r="B2" s="2058" t="s">
        <v>2495</v>
      </c>
      <c r="C2" s="2058"/>
      <c r="D2" s="2059"/>
      <c r="E2" s="2059"/>
      <c r="F2" s="2059"/>
      <c r="G2" s="2059"/>
      <c r="H2" s="2059"/>
      <c r="I2" s="2058"/>
      <c r="J2" s="2058"/>
      <c r="K2" s="2058"/>
      <c r="L2" s="2058"/>
      <c r="M2" s="2058"/>
      <c r="N2" s="2059"/>
      <c r="O2" s="2059"/>
      <c r="P2" s="2059"/>
    </row>
    <row r="3" spans="1:16" s="163" customFormat="1" ht="13.5" thickBot="1" x14ac:dyDescent="0.25">
      <c r="B3" s="556" t="s">
        <v>1039</v>
      </c>
      <c r="C3" s="557" t="s">
        <v>705</v>
      </c>
      <c r="I3" s="558" t="s">
        <v>1071</v>
      </c>
      <c r="J3" s="559"/>
      <c r="K3" s="559"/>
      <c r="L3" s="559"/>
      <c r="M3" s="544"/>
    </row>
    <row r="4" spans="1:16" s="163" customFormat="1" ht="13.5" thickBot="1" x14ac:dyDescent="0.25">
      <c r="I4" s="2060"/>
      <c r="J4" s="2061"/>
      <c r="K4" s="2061"/>
      <c r="L4" s="2061"/>
      <c r="M4" s="2062"/>
    </row>
    <row r="5" spans="1:16" s="163" customFormat="1" ht="13.5" thickBot="1" x14ac:dyDescent="0.25">
      <c r="B5" s="171" t="s">
        <v>1070</v>
      </c>
    </row>
    <row r="6" spans="1:16" s="163" customFormat="1" x14ac:dyDescent="0.2">
      <c r="A6" s="163">
        <v>1</v>
      </c>
      <c r="B6" s="543" t="s">
        <v>1055</v>
      </c>
      <c r="C6" s="544"/>
    </row>
    <row r="7" spans="1:16" s="163" customFormat="1" x14ac:dyDescent="0.2">
      <c r="B7" s="545" t="s">
        <v>1065</v>
      </c>
      <c r="C7" s="546" t="s">
        <v>1085</v>
      </c>
    </row>
    <row r="8" spans="1:16" s="163" customFormat="1" x14ac:dyDescent="0.2">
      <c r="B8" s="545" t="s">
        <v>1066</v>
      </c>
      <c r="C8" s="547"/>
    </row>
    <row r="9" spans="1:16" s="167" customFormat="1" x14ac:dyDescent="0.2">
      <c r="B9" s="548" t="s">
        <v>1067</v>
      </c>
      <c r="C9" s="549"/>
      <c r="I9" s="163"/>
      <c r="J9" s="163"/>
      <c r="K9" s="163"/>
      <c r="L9" s="163"/>
      <c r="M9" s="163"/>
      <c r="N9" s="163"/>
    </row>
    <row r="10" spans="1:16" s="164" customFormat="1" x14ac:dyDescent="0.2">
      <c r="A10" s="163">
        <v>2</v>
      </c>
      <c r="B10" s="550" t="s">
        <v>821</v>
      </c>
      <c r="C10" s="551"/>
      <c r="D10" s="165"/>
      <c r="E10" s="165"/>
      <c r="I10" s="163"/>
      <c r="J10" s="163"/>
      <c r="K10" s="163"/>
      <c r="L10" s="163"/>
      <c r="M10" s="163"/>
      <c r="N10" s="163"/>
    </row>
    <row r="11" spans="1:16" s="164" customFormat="1" x14ac:dyDescent="0.2">
      <c r="B11" s="545" t="s">
        <v>1065</v>
      </c>
      <c r="C11" s="552"/>
      <c r="D11" s="165"/>
      <c r="E11" s="165"/>
      <c r="I11" s="163"/>
      <c r="J11" s="163"/>
      <c r="K11" s="163"/>
      <c r="L11" s="163"/>
      <c r="M11" s="163"/>
      <c r="N11" s="163"/>
    </row>
    <row r="12" spans="1:16" s="164" customFormat="1" x14ac:dyDescent="0.2">
      <c r="B12" s="545" t="s">
        <v>1066</v>
      </c>
      <c r="C12" s="552"/>
      <c r="D12" s="165"/>
      <c r="E12" s="165"/>
      <c r="I12" s="163"/>
      <c r="J12" s="163"/>
      <c r="K12" s="163"/>
      <c r="L12" s="163"/>
      <c r="M12" s="163"/>
      <c r="N12" s="163"/>
    </row>
    <row r="13" spans="1:16" s="164" customFormat="1" x14ac:dyDescent="0.2">
      <c r="B13" s="548" t="s">
        <v>1067</v>
      </c>
      <c r="C13" s="552"/>
      <c r="D13" s="165"/>
      <c r="E13" s="165"/>
    </row>
    <row r="14" spans="1:16" s="164" customFormat="1" ht="54.75" customHeight="1" x14ac:dyDescent="0.2">
      <c r="A14" s="560">
        <v>3</v>
      </c>
      <c r="B14" s="561" t="s">
        <v>1068</v>
      </c>
      <c r="C14" s="553"/>
      <c r="E14" s="165"/>
    </row>
    <row r="15" spans="1:16" s="164" customFormat="1" ht="13.5" thickBot="1" x14ac:dyDescent="0.25">
      <c r="A15" s="163">
        <v>4</v>
      </c>
      <c r="B15" s="554" t="s">
        <v>1069</v>
      </c>
      <c r="C15" s="555"/>
      <c r="E15" s="165"/>
    </row>
    <row r="16" spans="1:16" s="164" customFormat="1" ht="13.5" thickBot="1" x14ac:dyDescent="0.25">
      <c r="B16" s="170"/>
      <c r="C16" s="165"/>
      <c r="E16" s="165"/>
    </row>
    <row r="17" spans="1:58" ht="104.25" customHeight="1" x14ac:dyDescent="0.2">
      <c r="A17" s="536" t="s">
        <v>293</v>
      </c>
      <c r="B17" s="537" t="s">
        <v>1034</v>
      </c>
      <c r="C17" s="538" t="s">
        <v>1035</v>
      </c>
      <c r="D17" s="538" t="s">
        <v>1036</v>
      </c>
      <c r="E17" s="537" t="s">
        <v>802</v>
      </c>
      <c r="F17" s="537" t="s">
        <v>803</v>
      </c>
      <c r="G17" s="537" t="s">
        <v>804</v>
      </c>
      <c r="H17" s="537" t="s">
        <v>805</v>
      </c>
      <c r="I17" s="537" t="s">
        <v>806</v>
      </c>
      <c r="J17" s="537" t="s">
        <v>807</v>
      </c>
      <c r="K17" s="537" t="s">
        <v>808</v>
      </c>
      <c r="L17" s="537" t="s">
        <v>809</v>
      </c>
      <c r="M17" s="537" t="s">
        <v>810</v>
      </c>
      <c r="N17" s="538" t="s">
        <v>811</v>
      </c>
      <c r="O17" s="538" t="s">
        <v>1037</v>
      </c>
      <c r="P17" s="537" t="s">
        <v>812</v>
      </c>
      <c r="Q17" s="537" t="s">
        <v>813</v>
      </c>
      <c r="R17" s="537" t="s">
        <v>814</v>
      </c>
      <c r="S17" s="538" t="s">
        <v>1038</v>
      </c>
      <c r="T17" s="537" t="s">
        <v>1039</v>
      </c>
      <c r="U17" s="538" t="s">
        <v>1040</v>
      </c>
      <c r="V17" s="538" t="s">
        <v>1041</v>
      </c>
      <c r="W17" s="538" t="s">
        <v>1042</v>
      </c>
      <c r="X17" s="538" t="s">
        <v>1043</v>
      </c>
      <c r="Y17" s="537" t="s">
        <v>1044</v>
      </c>
      <c r="Z17" s="537" t="s">
        <v>815</v>
      </c>
      <c r="AA17" s="537" t="s">
        <v>816</v>
      </c>
      <c r="AB17" s="537" t="s">
        <v>817</v>
      </c>
      <c r="AC17" s="538" t="s">
        <v>1045</v>
      </c>
      <c r="AD17" s="538" t="s">
        <v>1046</v>
      </c>
      <c r="AE17" s="538" t="s">
        <v>1047</v>
      </c>
      <c r="AF17" s="538" t="s">
        <v>1048</v>
      </c>
      <c r="AG17" s="538" t="s">
        <v>1049</v>
      </c>
      <c r="AH17" s="538" t="s">
        <v>1050</v>
      </c>
      <c r="AI17" s="538" t="s">
        <v>1051</v>
      </c>
      <c r="AJ17" s="538" t="s">
        <v>1052</v>
      </c>
      <c r="AK17" s="538" t="s">
        <v>1053</v>
      </c>
      <c r="AL17" s="538" t="s">
        <v>1050</v>
      </c>
      <c r="AM17" s="538" t="s">
        <v>1054</v>
      </c>
      <c r="AN17" s="538" t="s">
        <v>1055</v>
      </c>
      <c r="AO17" s="537" t="s">
        <v>818</v>
      </c>
      <c r="AP17" s="537" t="s">
        <v>819</v>
      </c>
      <c r="AQ17" s="537" t="s">
        <v>820</v>
      </c>
      <c r="AR17" s="538" t="s">
        <v>821</v>
      </c>
      <c r="AS17" s="537" t="s">
        <v>818</v>
      </c>
      <c r="AT17" s="537" t="s">
        <v>819</v>
      </c>
      <c r="AU17" s="537" t="s">
        <v>822</v>
      </c>
      <c r="AV17" s="537" t="s">
        <v>823</v>
      </c>
      <c r="AW17" s="537" t="s">
        <v>824</v>
      </c>
      <c r="AX17" s="537" t="s">
        <v>825</v>
      </c>
      <c r="AY17" s="537" t="s">
        <v>826</v>
      </c>
      <c r="AZ17" s="537" t="s">
        <v>827</v>
      </c>
      <c r="BA17" s="537" t="s">
        <v>828</v>
      </c>
      <c r="BB17" s="537" t="s">
        <v>829</v>
      </c>
      <c r="BC17" s="537" t="s">
        <v>830</v>
      </c>
      <c r="BD17" s="537" t="s">
        <v>1056</v>
      </c>
      <c r="BE17" s="537" t="s">
        <v>1057</v>
      </c>
      <c r="BF17" s="539" t="s">
        <v>1058</v>
      </c>
    </row>
    <row r="18" spans="1:58" x14ac:dyDescent="0.2">
      <c r="A18" s="31" t="s">
        <v>1059</v>
      </c>
      <c r="B18" s="20" t="str">
        <f>'Borrower Details'!B8</f>
        <v>AARBUR</v>
      </c>
      <c r="C18" s="20" t="s">
        <v>1059</v>
      </c>
      <c r="D18" s="20" t="s">
        <v>1059</v>
      </c>
      <c r="E18" s="20" t="str">
        <f>'Borrower Details'!B12</f>
        <v>Partnership</v>
      </c>
      <c r="F18" s="20" t="str">
        <f>'Borrower Details'!B32&amp;" "&amp;'Borrower Details'!B33&amp;" "&amp;'Borrower Details'!B34&amp;" "&amp;'Borrower Details'!B35&amp;" "&amp;'Borrower Details'!B36&amp;" "&amp;'Borrower Details'!B37</f>
        <v xml:space="preserve">SHEKHAR BURMAN SATYAJEET BURMAN    </v>
      </c>
      <c r="G18" s="20" t="s">
        <v>1062</v>
      </c>
      <c r="H18" s="20" t="str">
        <f>'Borrower Details'!B16</f>
        <v>Jute</v>
      </c>
      <c r="I18" s="20" t="s">
        <v>1062</v>
      </c>
      <c r="J18" s="533" t="str">
        <f>'Borrower Details'!C25</f>
        <v>DB</v>
      </c>
      <c r="K18" s="533"/>
      <c r="L18" s="20" t="str">
        <f>'Borrower Details'!C23</f>
        <v>NA</v>
      </c>
      <c r="M18" s="20" t="s">
        <v>1062</v>
      </c>
      <c r="N18" s="20" t="s">
        <v>1061</v>
      </c>
      <c r="O18" s="20" t="s">
        <v>1059</v>
      </c>
      <c r="P18" s="534" t="str">
        <f>Rating_NonIndividuals!I34</f>
        <v>C3</v>
      </c>
      <c r="Q18" s="20" t="s">
        <v>609</v>
      </c>
      <c r="R18" s="20" t="e">
        <f>#REF!</f>
        <v>#REF!</v>
      </c>
      <c r="S18" s="20" t="s">
        <v>1059</v>
      </c>
      <c r="T18" s="20" t="str">
        <f>C3</f>
        <v xml:space="preserve"> </v>
      </c>
      <c r="U18" s="20" t="s">
        <v>1059</v>
      </c>
      <c r="V18" s="20" t="s">
        <v>1059</v>
      </c>
      <c r="W18" s="20" t="s">
        <v>1059</v>
      </c>
      <c r="X18" s="20" t="s">
        <v>1059</v>
      </c>
      <c r="Y18" s="20" t="s">
        <v>1063</v>
      </c>
      <c r="Z18" s="20" t="s">
        <v>1062</v>
      </c>
      <c r="AA18" s="20" t="s">
        <v>832</v>
      </c>
      <c r="AB18" s="535" t="s">
        <v>1072</v>
      </c>
      <c r="AC18" s="20" t="s">
        <v>1060</v>
      </c>
      <c r="AD18" s="20" t="s">
        <v>1059</v>
      </c>
      <c r="AE18" s="20" t="s">
        <v>1059</v>
      </c>
      <c r="AF18" s="20" t="s">
        <v>1059</v>
      </c>
      <c r="AG18" s="20" t="s">
        <v>1059</v>
      </c>
      <c r="AH18" s="20" t="s">
        <v>1059</v>
      </c>
      <c r="AI18" s="20" t="s">
        <v>1059</v>
      </c>
      <c r="AJ18" s="20" t="s">
        <v>1059</v>
      </c>
      <c r="AK18" s="20" t="s">
        <v>1059</v>
      </c>
      <c r="AL18" s="20" t="s">
        <v>1059</v>
      </c>
      <c r="AM18" s="20" t="s">
        <v>1060</v>
      </c>
      <c r="AN18" s="20" t="s">
        <v>1060</v>
      </c>
      <c r="AO18" s="20" t="str">
        <f>C7</f>
        <v xml:space="preserve">  </v>
      </c>
      <c r="AP18" s="20">
        <f>C8</f>
        <v>0</v>
      </c>
      <c r="AQ18" s="20">
        <f>C9</f>
        <v>0</v>
      </c>
      <c r="AR18" s="20" t="s">
        <v>1060</v>
      </c>
      <c r="AS18" s="20">
        <f>C11</f>
        <v>0</v>
      </c>
      <c r="AT18" s="20">
        <f>C12</f>
        <v>0</v>
      </c>
      <c r="AU18" s="20">
        <f>C13</f>
        <v>0</v>
      </c>
      <c r="AV18" s="20">
        <f>C14</f>
        <v>0</v>
      </c>
      <c r="AW18" s="20">
        <f>C14</f>
        <v>0</v>
      </c>
      <c r="AX18" s="20" t="s">
        <v>834</v>
      </c>
      <c r="AY18" s="382" t="s">
        <v>609</v>
      </c>
      <c r="AZ18" s="382" t="s">
        <v>609</v>
      </c>
      <c r="BA18" s="382" t="s">
        <v>609</v>
      </c>
      <c r="BB18" s="382" t="s">
        <v>609</v>
      </c>
      <c r="BC18" s="20" t="s">
        <v>834</v>
      </c>
      <c r="BD18" s="20">
        <f>I4</f>
        <v>0</v>
      </c>
      <c r="BE18" s="535" t="s">
        <v>1062</v>
      </c>
      <c r="BF18" s="540" t="s">
        <v>1062</v>
      </c>
    </row>
    <row r="19" spans="1:58" ht="13.5" thickBot="1" x14ac:dyDescent="0.25">
      <c r="A19" s="541"/>
      <c r="B19" s="542"/>
      <c r="C19" s="542"/>
      <c r="D19" s="542"/>
      <c r="E19" s="542"/>
      <c r="F19" s="452"/>
      <c r="G19" s="542"/>
      <c r="H19" s="542"/>
      <c r="I19" s="542"/>
      <c r="J19" s="542"/>
      <c r="K19" s="542"/>
      <c r="L19" s="542"/>
      <c r="M19" s="542"/>
      <c r="N19" s="542"/>
      <c r="O19" s="542"/>
      <c r="P19" s="542"/>
      <c r="Q19" s="542"/>
      <c r="R19" s="542"/>
      <c r="S19" s="542"/>
      <c r="T19" s="542"/>
      <c r="U19" s="542"/>
      <c r="V19" s="542"/>
      <c r="W19" s="542"/>
      <c r="X19" s="542"/>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c r="AV19" s="542"/>
      <c r="AW19" s="542"/>
      <c r="AX19" s="542"/>
      <c r="AY19" s="542"/>
      <c r="AZ19" s="542"/>
      <c r="BA19" s="542"/>
      <c r="BB19" s="542"/>
      <c r="BC19" s="542"/>
      <c r="BD19" s="542"/>
      <c r="BE19" s="542"/>
      <c r="BF19" s="383"/>
    </row>
    <row r="20" spans="1:58" x14ac:dyDescent="0.2">
      <c r="B20" s="163"/>
      <c r="C20" s="163"/>
      <c r="D20" s="163"/>
      <c r="E20" s="163"/>
      <c r="F20" s="163"/>
      <c r="G20" s="163"/>
      <c r="H20" s="163"/>
      <c r="I20" s="163"/>
      <c r="J20" s="163"/>
      <c r="K20" s="163"/>
      <c r="L20" s="163"/>
      <c r="M20" s="163"/>
      <c r="N20" s="163"/>
      <c r="O20" s="163"/>
      <c r="P20" s="163"/>
    </row>
    <row r="21" spans="1:58" x14ac:dyDescent="0.2">
      <c r="A21" s="168" t="s">
        <v>1061</v>
      </c>
      <c r="B21" s="169" t="s">
        <v>833</v>
      </c>
      <c r="C21" s="163"/>
      <c r="D21" s="163"/>
      <c r="E21" s="163"/>
      <c r="F21" s="163"/>
      <c r="G21" s="163"/>
      <c r="H21" s="163"/>
      <c r="I21" s="163"/>
      <c r="J21" s="163"/>
      <c r="K21" s="163"/>
      <c r="L21" s="163"/>
      <c r="M21" s="163"/>
      <c r="N21" s="163"/>
      <c r="O21" s="163"/>
      <c r="P21" s="163"/>
    </row>
    <row r="22" spans="1:58" x14ac:dyDescent="0.2">
      <c r="A22" s="163" t="s">
        <v>1063</v>
      </c>
      <c r="B22" s="163" t="s">
        <v>1064</v>
      </c>
      <c r="C22" s="163"/>
      <c r="D22" s="163"/>
      <c r="E22" s="163"/>
      <c r="F22" s="163"/>
      <c r="G22" s="163"/>
      <c r="H22" s="163"/>
      <c r="I22" s="163"/>
      <c r="J22" s="163"/>
      <c r="K22" s="163"/>
      <c r="L22" s="163"/>
      <c r="M22" s="163"/>
      <c r="N22" s="163"/>
      <c r="O22" s="163"/>
      <c r="P22" s="163"/>
    </row>
    <row r="23" spans="1:58" x14ac:dyDescent="0.2">
      <c r="A23" s="172" t="s">
        <v>1072</v>
      </c>
      <c r="B23" s="169" t="s">
        <v>1033</v>
      </c>
      <c r="C23" s="163"/>
      <c r="D23" s="163"/>
      <c r="E23" s="163"/>
      <c r="F23" s="163"/>
      <c r="G23" s="163"/>
      <c r="H23" s="163"/>
      <c r="I23" s="163"/>
      <c r="J23" s="163"/>
      <c r="K23" s="163"/>
      <c r="L23" s="163"/>
      <c r="M23" s="163"/>
      <c r="N23" s="163"/>
      <c r="O23" s="163"/>
      <c r="P23" s="163"/>
    </row>
  </sheetData>
  <mergeCells count="2">
    <mergeCell ref="B2:P2"/>
    <mergeCell ref="I4:M4"/>
  </mergeCells>
  <pageMargins left="0.25" right="0.25" top="0.75" bottom="0.75" header="0.3" footer="0.3"/>
  <pageSetup paperSize="9" scale="26" fitToHeight="0" orientation="landscape" horizontalDpi="4294967292" verticalDpi="4294967292"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M97"/>
  <sheetViews>
    <sheetView zoomScale="75" zoomScaleNormal="75" workbookViewId="0">
      <selection activeCell="R1" sqref="R1:R1048576"/>
    </sheetView>
  </sheetViews>
  <sheetFormatPr defaultColWidth="9.140625" defaultRowHeight="0" customHeight="1" zeroHeight="1" x14ac:dyDescent="0.2"/>
  <cols>
    <col min="1" max="1" width="53.140625" style="113" customWidth="1"/>
    <col min="2" max="5" width="23.85546875" style="113" customWidth="1"/>
    <col min="6" max="8" width="18.28515625" style="113" customWidth="1"/>
    <col min="9" max="9" width="38.42578125" style="113" customWidth="1"/>
    <col min="10" max="10" width="16.140625" style="1435" hidden="1" customWidth="1"/>
    <col min="11" max="12" width="9.140625" style="113" customWidth="1"/>
    <col min="13" max="13" width="25.140625" style="113" customWidth="1"/>
    <col min="14" max="16384" width="9.140625" style="113"/>
  </cols>
  <sheetData>
    <row r="1" spans="1:13" ht="14.25" customHeight="1" x14ac:dyDescent="0.2">
      <c r="A1" s="2095" t="str">
        <f>'Borrower Details'!A2</f>
        <v>Mortgage-Magnus-Unsecured</v>
      </c>
      <c r="B1" s="2096"/>
      <c r="C1" s="2096"/>
      <c r="D1" s="2096"/>
      <c r="E1" s="2096"/>
      <c r="F1" s="933"/>
      <c r="G1" s="933"/>
      <c r="H1" s="933"/>
      <c r="I1" s="934"/>
      <c r="K1" s="2101" t="s">
        <v>186</v>
      </c>
      <c r="L1" s="2101"/>
      <c r="M1" s="2101"/>
    </row>
    <row r="2" spans="1:13" ht="18" x14ac:dyDescent="0.2">
      <c r="A2" s="2097"/>
      <c r="B2" s="2098"/>
      <c r="C2" s="2098"/>
      <c r="D2" s="2098"/>
      <c r="E2" s="2098"/>
      <c r="F2" s="935"/>
      <c r="G2" s="935"/>
      <c r="H2" s="935"/>
      <c r="I2" s="936" t="s">
        <v>3</v>
      </c>
      <c r="K2" s="2101"/>
      <c r="L2" s="2101"/>
      <c r="M2" s="2101"/>
    </row>
    <row r="3" spans="1:13" ht="14.25" customHeight="1" x14ac:dyDescent="0.2">
      <c r="A3" s="2099"/>
      <c r="B3" s="2100"/>
      <c r="C3" s="2100"/>
      <c r="D3" s="2100"/>
      <c r="E3" s="2100"/>
      <c r="F3" s="935"/>
      <c r="G3" s="935"/>
      <c r="H3" s="935"/>
      <c r="I3" s="937"/>
      <c r="K3" s="2101"/>
      <c r="L3" s="2101"/>
      <c r="M3" s="2101"/>
    </row>
    <row r="4" spans="1:13" ht="15.75" x14ac:dyDescent="0.2">
      <c r="A4" s="19" t="str">
        <f>'Borrower Details'!A8</f>
        <v>Name of  Main Applicant</v>
      </c>
      <c r="B4" s="2110" t="str">
        <f>'Borrower Details'!B8</f>
        <v>AARBUR</v>
      </c>
      <c r="C4" s="2111"/>
      <c r="D4" s="2111"/>
      <c r="E4" s="2111"/>
      <c r="F4" s="940" t="s">
        <v>3231</v>
      </c>
      <c r="G4" s="1505" t="s">
        <v>3466</v>
      </c>
      <c r="H4" s="940" t="s">
        <v>1804</v>
      </c>
      <c r="I4" s="1378"/>
      <c r="K4" s="941"/>
      <c r="L4" s="941"/>
      <c r="M4" s="941"/>
    </row>
    <row r="5" spans="1:13" ht="24.95" customHeight="1" x14ac:dyDescent="0.2">
      <c r="A5" s="2102" t="s">
        <v>58</v>
      </c>
      <c r="B5" s="2103"/>
      <c r="C5" s="2103"/>
      <c r="D5" s="2103"/>
      <c r="E5" s="2104"/>
      <c r="F5" s="2104"/>
      <c r="G5" s="2104"/>
      <c r="H5" s="2105"/>
      <c r="I5" s="2106"/>
      <c r="K5" s="941"/>
      <c r="L5" s="941"/>
      <c r="M5" s="941"/>
    </row>
    <row r="6" spans="1:13" ht="24.95" customHeight="1" x14ac:dyDescent="0.2">
      <c r="A6" s="942" t="s">
        <v>3233</v>
      </c>
      <c r="B6" s="1380" t="s">
        <v>3234</v>
      </c>
      <c r="C6" s="1380" t="s">
        <v>3235</v>
      </c>
      <c r="D6" s="1381" t="s">
        <v>3236</v>
      </c>
      <c r="E6" s="1381" t="s">
        <v>3237</v>
      </c>
      <c r="F6" s="1382"/>
      <c r="G6" s="1382"/>
      <c r="H6" s="1382"/>
      <c r="I6" s="78"/>
      <c r="J6" s="1435" t="s">
        <v>3305</v>
      </c>
      <c r="K6" s="941"/>
      <c r="L6" s="941"/>
      <c r="M6" s="941"/>
    </row>
    <row r="7" spans="1:13" ht="31.5" customHeight="1" x14ac:dyDescent="0.2">
      <c r="A7" s="942" t="s">
        <v>3238</v>
      </c>
      <c r="B7" s="1384">
        <f>EDATE(C7,12)</f>
        <v>44286</v>
      </c>
      <c r="C7" s="1384">
        <v>43921</v>
      </c>
      <c r="D7" s="1383">
        <f>EDATE(C7,-12)</f>
        <v>43555</v>
      </c>
      <c r="E7" s="1383">
        <f t="shared" ref="E7" si="0">EDATE(D7,-12)</f>
        <v>43190</v>
      </c>
      <c r="F7" s="1376" t="str">
        <f>YEAR(B7) &amp; " to " &amp; YEAR(C7)</f>
        <v>2021 to 2020</v>
      </c>
      <c r="G7" s="1376" t="str">
        <f xml:space="preserve"> YEAR(C7) &amp; " to " &amp; YEAR(D7)</f>
        <v>2020 to 2019</v>
      </c>
      <c r="H7" s="1376" t="str">
        <f>YEAR(D7) &amp; " to " &amp; YEAR(E7)</f>
        <v>2019 to 2018</v>
      </c>
      <c r="I7" s="78" t="s">
        <v>296</v>
      </c>
      <c r="J7" s="1435" t="s">
        <v>3306</v>
      </c>
      <c r="K7" s="941"/>
      <c r="L7" s="941"/>
      <c r="M7" s="941"/>
    </row>
    <row r="8" spans="1:13" ht="15.75" customHeight="1" x14ac:dyDescent="0.2">
      <c r="A8" s="942" t="s">
        <v>1802</v>
      </c>
      <c r="B8" s="386"/>
      <c r="C8" s="386" t="s">
        <v>3506</v>
      </c>
      <c r="D8" s="386" t="s">
        <v>3506</v>
      </c>
      <c r="E8" s="386"/>
      <c r="F8" s="1377" t="s">
        <v>3230</v>
      </c>
      <c r="G8" s="1377" t="s">
        <v>3230</v>
      </c>
      <c r="H8" s="1377" t="s">
        <v>3230</v>
      </c>
      <c r="I8" s="78"/>
      <c r="J8" s="1435" t="s">
        <v>3307</v>
      </c>
      <c r="K8" s="941"/>
      <c r="L8" s="941"/>
      <c r="M8" s="941"/>
    </row>
    <row r="9" spans="1:13" ht="16.5" customHeight="1" thickBot="1" x14ac:dyDescent="0.25">
      <c r="A9" s="943" t="s">
        <v>1803</v>
      </c>
      <c r="B9" s="387"/>
      <c r="C9" s="387" t="s">
        <v>3507</v>
      </c>
      <c r="D9" s="387" t="s">
        <v>3508</v>
      </c>
      <c r="E9" s="387"/>
      <c r="F9" s="1377"/>
      <c r="G9" s="1377"/>
      <c r="H9" s="1377"/>
      <c r="I9" s="251"/>
      <c r="J9" s="1435" t="s">
        <v>3308</v>
      </c>
      <c r="K9" s="941"/>
      <c r="L9" s="941"/>
      <c r="M9" s="941"/>
    </row>
    <row r="10" spans="1:13" ht="16.5" thickBot="1" x14ac:dyDescent="0.25">
      <c r="A10" s="2107" t="s">
        <v>69</v>
      </c>
      <c r="B10" s="2108"/>
      <c r="C10" s="2108"/>
      <c r="D10" s="2108"/>
      <c r="E10" s="2108"/>
      <c r="F10" s="2067"/>
      <c r="G10" s="2067"/>
      <c r="H10" s="2067"/>
      <c r="I10" s="2109"/>
      <c r="K10" s="941"/>
      <c r="L10" s="941"/>
      <c r="M10" s="941"/>
    </row>
    <row r="11" spans="1:13" ht="15" x14ac:dyDescent="0.2">
      <c r="A11" s="944" t="s">
        <v>4</v>
      </c>
      <c r="B11" s="963">
        <f>SUM(B12:B13)</f>
        <v>0</v>
      </c>
      <c r="C11" s="963">
        <f>SUM(C12:C13)</f>
        <v>67905203.25</v>
      </c>
      <c r="D11" s="963">
        <f t="shared" ref="D11:E11" si="1">SUM(D12:D13)</f>
        <v>77950161.870000005</v>
      </c>
      <c r="E11" s="963">
        <f t="shared" si="1"/>
        <v>0</v>
      </c>
      <c r="F11" s="178">
        <f>IF(ISERROR((B11-C11)/C11),0,(B11-C11)/C11)</f>
        <v>-1</v>
      </c>
      <c r="G11" s="178">
        <f t="shared" ref="F11:G35" si="2">IF(ISERROR((C11-D11)/D11),0,(C11-D11)/D11)</f>
        <v>-0.12886385838110645</v>
      </c>
      <c r="H11" s="178">
        <f t="shared" ref="H11:H35" si="3">IF(ISERROR((D11-E11)/E11),0,(D11-E11)/E11)</f>
        <v>0</v>
      </c>
      <c r="I11" s="2088" t="s">
        <v>499</v>
      </c>
      <c r="J11" s="1435" t="s">
        <v>3309</v>
      </c>
      <c r="K11" s="945"/>
      <c r="L11" s="945"/>
      <c r="M11" s="946"/>
    </row>
    <row r="12" spans="1:13" s="365" customFormat="1" ht="12.75" x14ac:dyDescent="0.2">
      <c r="A12" s="947" t="s">
        <v>1749</v>
      </c>
      <c r="B12" s="363"/>
      <c r="C12" s="363">
        <v>57148575.670000002</v>
      </c>
      <c r="D12" s="363">
        <f>66572818.57</f>
        <v>66572818.57</v>
      </c>
      <c r="E12" s="363"/>
      <c r="F12" s="364">
        <f>IF(ISERROR((B12-C12)/C12),0,(B12-C12)/C12)</f>
        <v>-1</v>
      </c>
      <c r="G12" s="364">
        <f t="shared" si="2"/>
        <v>-0.14156292466557643</v>
      </c>
      <c r="H12" s="364">
        <f t="shared" si="3"/>
        <v>0</v>
      </c>
      <c r="I12" s="2088"/>
      <c r="J12" s="1436" t="s">
        <v>3310</v>
      </c>
      <c r="K12" s="948"/>
      <c r="L12" s="948"/>
      <c r="M12" s="949"/>
    </row>
    <row r="13" spans="1:13" s="365" customFormat="1" ht="12.75" x14ac:dyDescent="0.2">
      <c r="A13" s="947" t="s">
        <v>1752</v>
      </c>
      <c r="B13" s="363"/>
      <c r="C13" s="363">
        <f>88800+10667827.58</f>
        <v>10756627.58</v>
      </c>
      <c r="D13" s="363">
        <f>61714+11315629.3</f>
        <v>11377343.300000001</v>
      </c>
      <c r="E13" s="363"/>
      <c r="F13" s="364">
        <f t="shared" si="2"/>
        <v>-1</v>
      </c>
      <c r="G13" s="364">
        <f t="shared" si="2"/>
        <v>-5.4557175927002273E-2</v>
      </c>
      <c r="H13" s="364">
        <f t="shared" si="3"/>
        <v>0</v>
      </c>
      <c r="I13" s="2088"/>
      <c r="J13" s="1436" t="s">
        <v>3311</v>
      </c>
      <c r="K13" s="948"/>
      <c r="L13" s="948"/>
      <c r="M13" s="949"/>
    </row>
    <row r="14" spans="1:13" ht="15" x14ac:dyDescent="0.2">
      <c r="A14" s="944" t="s">
        <v>480</v>
      </c>
      <c r="B14" s="1"/>
      <c r="C14" s="1">
        <f>53756+208527.64+7475520+288384.44+997</f>
        <v>8027185.0800000001</v>
      </c>
      <c r="D14" s="1">
        <f>360986+1180282+183324+697703+1206728.57+1180</f>
        <v>3630203.5700000003</v>
      </c>
      <c r="E14" s="3"/>
      <c r="F14" s="178">
        <f t="shared" si="2"/>
        <v>-1</v>
      </c>
      <c r="G14" s="178">
        <f t="shared" si="2"/>
        <v>1.2112217469942048</v>
      </c>
      <c r="H14" s="178">
        <f t="shared" si="3"/>
        <v>0</v>
      </c>
      <c r="I14" s="2093"/>
      <c r="J14" s="1435" t="s">
        <v>3312</v>
      </c>
      <c r="K14" s="945"/>
      <c r="L14" s="945"/>
      <c r="M14" s="946"/>
    </row>
    <row r="15" spans="1:13" ht="15" x14ac:dyDescent="0.2">
      <c r="A15" s="950" t="s">
        <v>481</v>
      </c>
      <c r="B15" s="1"/>
      <c r="C15" s="1">
        <f>3856477+205210.9+871023</f>
        <v>4932710.9000000004</v>
      </c>
      <c r="D15" s="1">
        <f>2705182+72472.02+904323</f>
        <v>3681977.02</v>
      </c>
      <c r="E15" s="1"/>
      <c r="F15" s="49">
        <f t="shared" si="2"/>
        <v>-1</v>
      </c>
      <c r="G15" s="49">
        <f t="shared" si="2"/>
        <v>0.33969084358924118</v>
      </c>
      <c r="H15" s="49">
        <f t="shared" si="3"/>
        <v>0</v>
      </c>
      <c r="I15" s="2093"/>
      <c r="J15" s="1435" t="s">
        <v>3313</v>
      </c>
      <c r="K15" s="946"/>
      <c r="L15" s="946"/>
      <c r="M15" s="946"/>
    </row>
    <row r="16" spans="1:13" ht="15.75" x14ac:dyDescent="0.2">
      <c r="A16" s="952" t="s">
        <v>6</v>
      </c>
      <c r="B16" s="2">
        <f>B15+B11</f>
        <v>0</v>
      </c>
      <c r="C16" s="2">
        <f>C15+C11</f>
        <v>72837914.150000006</v>
      </c>
      <c r="D16" s="2">
        <f>D15+D11</f>
        <v>81632138.890000001</v>
      </c>
      <c r="E16" s="2">
        <f>E15+E11</f>
        <v>0</v>
      </c>
      <c r="F16" s="49">
        <f t="shared" si="2"/>
        <v>-1</v>
      </c>
      <c r="G16" s="49">
        <f t="shared" si="2"/>
        <v>-0.10772993161247786</v>
      </c>
      <c r="H16" s="49">
        <f t="shared" si="3"/>
        <v>0</v>
      </c>
      <c r="I16" s="2093"/>
      <c r="J16" s="1435" t="s">
        <v>3314</v>
      </c>
      <c r="K16" s="946"/>
      <c r="L16" s="946"/>
      <c r="M16" s="946"/>
    </row>
    <row r="17" spans="1:13" ht="15" x14ac:dyDescent="0.2">
      <c r="A17" s="950" t="s">
        <v>27</v>
      </c>
      <c r="B17" s="1"/>
      <c r="C17" s="1">
        <f>38665987+36411604.97-34339063</f>
        <v>40738528.969999999</v>
      </c>
      <c r="D17" s="1">
        <f>38817282+36243129.45-38665987</f>
        <v>36394424.450000003</v>
      </c>
      <c r="E17" s="1"/>
      <c r="F17" s="49">
        <f t="shared" si="2"/>
        <v>-1</v>
      </c>
      <c r="G17" s="49">
        <f t="shared" si="2"/>
        <v>0.11936181394949895</v>
      </c>
      <c r="H17" s="49">
        <f t="shared" si="3"/>
        <v>0</v>
      </c>
      <c r="I17" s="2093"/>
      <c r="J17" s="1435" t="s">
        <v>3315</v>
      </c>
      <c r="K17" s="946"/>
      <c r="L17" s="946"/>
      <c r="M17" s="946"/>
    </row>
    <row r="18" spans="1:13" ht="15" x14ac:dyDescent="0.2">
      <c r="A18" s="950" t="s">
        <v>2019</v>
      </c>
      <c r="B18" s="1"/>
      <c r="C18" s="1">
        <f>348203+396270.15+107981.36+237110+4427548.96+116306+6263919.5+1791987+876000+4384518.15</f>
        <v>18949844.119999997</v>
      </c>
      <c r="D18" s="1">
        <f>822941.03+542505.5+526839.82+112127+5466908.07+42770+182373+10426308.75+4725020+912000+3295675.35</f>
        <v>27055468.520000003</v>
      </c>
      <c r="E18" s="1"/>
      <c r="F18" s="49">
        <f t="shared" si="2"/>
        <v>-1</v>
      </c>
      <c r="G18" s="49">
        <f t="shared" si="2"/>
        <v>-0.29959283070659626</v>
      </c>
      <c r="H18" s="49">
        <f t="shared" si="3"/>
        <v>0</v>
      </c>
      <c r="I18" s="2093"/>
      <c r="J18" s="1435" t="s">
        <v>3316</v>
      </c>
      <c r="K18" s="946"/>
      <c r="L18" s="946"/>
      <c r="M18" s="946"/>
    </row>
    <row r="19" spans="1:13" ht="15" x14ac:dyDescent="0.2">
      <c r="A19" s="950" t="s">
        <v>1761</v>
      </c>
      <c r="B19" s="1"/>
      <c r="C19" s="1">
        <v>-791646</v>
      </c>
      <c r="D19" s="1">
        <f>3000000-1258976.61</f>
        <v>1741023.39</v>
      </c>
      <c r="E19" s="1"/>
      <c r="F19" s="49">
        <f t="shared" si="2"/>
        <v>-1</v>
      </c>
      <c r="G19" s="49">
        <f t="shared" si="2"/>
        <v>-1.4547015304601967</v>
      </c>
      <c r="H19" s="49">
        <f t="shared" si="3"/>
        <v>0</v>
      </c>
      <c r="I19" s="2093"/>
      <c r="J19" s="1435" t="s">
        <v>3317</v>
      </c>
      <c r="K19" s="946"/>
      <c r="L19" s="946"/>
      <c r="M19" s="946"/>
    </row>
    <row r="20" spans="1:13" ht="15.75" x14ac:dyDescent="0.2">
      <c r="A20" s="952" t="s">
        <v>28</v>
      </c>
      <c r="B20" s="2">
        <f>B11-(B17+B18)</f>
        <v>0</v>
      </c>
      <c r="C20" s="2">
        <f>C11-(C17+C18)</f>
        <v>8216830.1600000039</v>
      </c>
      <c r="D20" s="2">
        <f t="shared" ref="D20:E20" si="4">D11-(D17+D18)</f>
        <v>14500268.899999999</v>
      </c>
      <c r="E20" s="2">
        <f t="shared" si="4"/>
        <v>0</v>
      </c>
      <c r="F20" s="49">
        <f t="shared" si="2"/>
        <v>-1</v>
      </c>
      <c r="G20" s="49">
        <f t="shared" si="2"/>
        <v>-0.43333256668088377</v>
      </c>
      <c r="H20" s="49">
        <f t="shared" si="3"/>
        <v>0</v>
      </c>
      <c r="I20" s="2093"/>
      <c r="J20" s="1435" t="s">
        <v>3318</v>
      </c>
      <c r="K20" s="946"/>
      <c r="L20" s="946"/>
      <c r="M20" s="946"/>
    </row>
    <row r="21" spans="1:13" ht="15.75" x14ac:dyDescent="0.2">
      <c r="A21" s="952" t="s">
        <v>30</v>
      </c>
      <c r="B21" s="17" t="e">
        <f>B20/B11</f>
        <v>#DIV/0!</v>
      </c>
      <c r="C21" s="17">
        <f>C20/C11</f>
        <v>0.12100442626979405</v>
      </c>
      <c r="D21" s="17">
        <f>D20/D11</f>
        <v>0.18601974071821126</v>
      </c>
      <c r="E21" s="17" t="e">
        <f>E20/E11</f>
        <v>#DIV/0!</v>
      </c>
      <c r="F21" s="49">
        <f t="shared" si="2"/>
        <v>0</v>
      </c>
      <c r="G21" s="49">
        <f t="shared" si="2"/>
        <v>-0.34950760708189849</v>
      </c>
      <c r="H21" s="49">
        <f t="shared" si="3"/>
        <v>0</v>
      </c>
      <c r="I21" s="2093"/>
      <c r="J21" s="1435" t="s">
        <v>3319</v>
      </c>
      <c r="K21" s="945"/>
      <c r="L21" s="945"/>
      <c r="M21" s="946"/>
    </row>
    <row r="22" spans="1:13" ht="15" x14ac:dyDescent="0.2">
      <c r="A22" s="950" t="s">
        <v>81</v>
      </c>
      <c r="B22" s="1"/>
      <c r="C22" s="1"/>
      <c r="D22" s="1"/>
      <c r="E22" s="1"/>
      <c r="F22" s="49">
        <f t="shared" si="2"/>
        <v>0</v>
      </c>
      <c r="G22" s="49">
        <f t="shared" si="2"/>
        <v>0</v>
      </c>
      <c r="H22" s="49">
        <f t="shared" si="3"/>
        <v>0</v>
      </c>
      <c r="I22" s="2093"/>
      <c r="J22" s="1435" t="s">
        <v>3320</v>
      </c>
      <c r="K22" s="946"/>
      <c r="L22" s="946"/>
      <c r="M22" s="946"/>
    </row>
    <row r="23" spans="1:13" ht="15" x14ac:dyDescent="0.2">
      <c r="A23" s="950" t="s">
        <v>82</v>
      </c>
      <c r="B23" s="1"/>
      <c r="C23" s="1"/>
      <c r="D23" s="1"/>
      <c r="E23" s="1"/>
      <c r="F23" s="49">
        <f t="shared" si="2"/>
        <v>0</v>
      </c>
      <c r="G23" s="49">
        <f t="shared" si="2"/>
        <v>0</v>
      </c>
      <c r="H23" s="49">
        <f t="shared" si="3"/>
        <v>0</v>
      </c>
      <c r="I23" s="2093"/>
      <c r="J23" s="1435" t="s">
        <v>3321</v>
      </c>
      <c r="K23" s="946"/>
      <c r="L23" s="946"/>
      <c r="M23" s="946"/>
    </row>
    <row r="24" spans="1:13" ht="30" x14ac:dyDescent="0.2">
      <c r="A24" s="953" t="s">
        <v>83</v>
      </c>
      <c r="B24" s="1"/>
      <c r="C24" s="1">
        <f>150000+93400+480000+156802+504567.99+5902242.5+44370+65259+1478517.96+43040+214762+1154097.62+122116+5734+2500+142176.85+97363+903.79+18500+61887+19089.28+1856075.6+299810+77400+98406</f>
        <v>13089020.589999998</v>
      </c>
      <c r="D24" s="1">
        <f>230000+496667+65480+100630.11+9724202.98+90575.78+684778.92+1171533+101538.91+173134+450026.35+96647+2500+326189+33851+22000+255360+372650+67500+30000+70773+22805</f>
        <v>14588842.049999999</v>
      </c>
      <c r="E24" s="1"/>
      <c r="F24" s="49">
        <f t="shared" si="2"/>
        <v>-1</v>
      </c>
      <c r="G24" s="49">
        <f t="shared" si="2"/>
        <v>-0.10280606609213382</v>
      </c>
      <c r="H24" s="49">
        <f t="shared" si="3"/>
        <v>0</v>
      </c>
      <c r="I24" s="2093"/>
      <c r="J24" s="1435" t="s">
        <v>3322</v>
      </c>
      <c r="K24" s="946"/>
      <c r="L24" s="946"/>
      <c r="M24" s="946"/>
    </row>
    <row r="25" spans="1:13" ht="15.75" x14ac:dyDescent="0.2">
      <c r="A25" s="952" t="s">
        <v>7</v>
      </c>
      <c r="B25" s="2">
        <f>(B20+B19+B15)-B24-B22-B23</f>
        <v>0</v>
      </c>
      <c r="C25" s="2">
        <f>(C20+C19+C15)-C24-C22-C23</f>
        <v>-731125.52999999374</v>
      </c>
      <c r="D25" s="2">
        <f t="shared" ref="D25:E25" si="5">(D20+D19+D15)-D24-D22-D23</f>
        <v>5334427.26</v>
      </c>
      <c r="E25" s="2">
        <f t="shared" si="5"/>
        <v>0</v>
      </c>
      <c r="F25" s="49">
        <f t="shared" si="2"/>
        <v>-1</v>
      </c>
      <c r="G25" s="49">
        <f t="shared" si="2"/>
        <v>-1.1370579247527304</v>
      </c>
      <c r="H25" s="49">
        <f t="shared" si="3"/>
        <v>0</v>
      </c>
      <c r="I25" s="2093"/>
      <c r="J25" s="1435" t="s">
        <v>3323</v>
      </c>
      <c r="K25" s="946"/>
      <c r="L25" s="946"/>
      <c r="M25" s="946"/>
    </row>
    <row r="26" spans="1:13" ht="15.75" x14ac:dyDescent="0.2">
      <c r="A26" s="952" t="s">
        <v>183</v>
      </c>
      <c r="B26" s="17" t="e">
        <f>B25/B11</f>
        <v>#DIV/0!</v>
      </c>
      <c r="C26" s="17">
        <f>C25/C11</f>
        <v>-1.0766855778463393E-2</v>
      </c>
      <c r="D26" s="17">
        <f>D25/D11</f>
        <v>6.8433818891824705E-2</v>
      </c>
      <c r="E26" s="17" t="e">
        <f>E25/E11</f>
        <v>#DIV/0!</v>
      </c>
      <c r="F26" s="49">
        <f t="shared" si="2"/>
        <v>0</v>
      </c>
      <c r="G26" s="49">
        <f t="shared" si="2"/>
        <v>-1.1573323826262403</v>
      </c>
      <c r="H26" s="49">
        <f t="shared" si="3"/>
        <v>0</v>
      </c>
      <c r="I26" s="2093"/>
      <c r="J26" s="1435" t="s">
        <v>3324</v>
      </c>
      <c r="K26" s="945"/>
      <c r="L26" s="945"/>
      <c r="M26" s="946"/>
    </row>
    <row r="27" spans="1:13" ht="15" x14ac:dyDescent="0.2">
      <c r="A27" s="950" t="s">
        <v>9</v>
      </c>
      <c r="B27" s="1"/>
      <c r="C27" s="1">
        <v>1989388</v>
      </c>
      <c r="D27" s="1">
        <v>2287718</v>
      </c>
      <c r="E27" s="1"/>
      <c r="F27" s="49">
        <f t="shared" si="2"/>
        <v>-1</v>
      </c>
      <c r="G27" s="49">
        <f t="shared" si="2"/>
        <v>-0.13040505866544741</v>
      </c>
      <c r="H27" s="49">
        <f t="shared" si="3"/>
        <v>0</v>
      </c>
      <c r="I27" s="2093"/>
      <c r="J27" s="1435" t="s">
        <v>3325</v>
      </c>
      <c r="K27" s="946"/>
      <c r="L27" s="946"/>
      <c r="M27" s="946"/>
    </row>
    <row r="28" spans="1:13" ht="15" x14ac:dyDescent="0.2">
      <c r="A28" s="950" t="s">
        <v>22</v>
      </c>
      <c r="B28" s="1"/>
      <c r="C28" s="1"/>
      <c r="D28" s="1"/>
      <c r="E28" s="1"/>
      <c r="F28" s="49">
        <f t="shared" si="2"/>
        <v>0</v>
      </c>
      <c r="G28" s="49">
        <f t="shared" si="2"/>
        <v>0</v>
      </c>
      <c r="H28" s="49">
        <f t="shared" si="3"/>
        <v>0</v>
      </c>
      <c r="I28" s="2093"/>
      <c r="J28" s="1435" t="s">
        <v>3326</v>
      </c>
      <c r="K28" s="946"/>
      <c r="L28" s="946"/>
      <c r="M28" s="946"/>
    </row>
    <row r="29" spans="1:13" ht="15.75" x14ac:dyDescent="0.2">
      <c r="A29" s="954" t="s">
        <v>39</v>
      </c>
      <c r="B29" s="11">
        <f>B25-B27-B28</f>
        <v>0</v>
      </c>
      <c r="C29" s="11">
        <f>C25-C27-C28</f>
        <v>-2720513.5299999937</v>
      </c>
      <c r="D29" s="11">
        <f>D25-D27-D28</f>
        <v>3046709.26</v>
      </c>
      <c r="E29" s="12">
        <f>E25-E27-E28</f>
        <v>0</v>
      </c>
      <c r="F29" s="49">
        <f t="shared" si="2"/>
        <v>-1</v>
      </c>
      <c r="G29" s="49">
        <f t="shared" si="2"/>
        <v>-1.8929350646342913</v>
      </c>
      <c r="H29" s="49">
        <f t="shared" si="3"/>
        <v>0</v>
      </c>
      <c r="I29" s="2093"/>
      <c r="J29" s="1435" t="s">
        <v>3327</v>
      </c>
      <c r="K29" s="946"/>
      <c r="L29" s="946"/>
      <c r="M29" s="946"/>
    </row>
    <row r="30" spans="1:13" ht="15.75" x14ac:dyDescent="0.2">
      <c r="A30" s="952" t="s">
        <v>199</v>
      </c>
      <c r="B30" s="17" t="e">
        <f>B29/B11</f>
        <v>#DIV/0!</v>
      </c>
      <c r="C30" s="17">
        <f>C29/C11</f>
        <v>-4.0063403094224501E-2</v>
      </c>
      <c r="D30" s="17">
        <f>D29/D11</f>
        <v>3.908534872680694E-2</v>
      </c>
      <c r="E30" s="17" t="e">
        <f>E29/E11</f>
        <v>#DIV/0!</v>
      </c>
      <c r="F30" s="49">
        <f t="shared" si="2"/>
        <v>0</v>
      </c>
      <c r="G30" s="49">
        <f t="shared" si="2"/>
        <v>-2.0250235548428601</v>
      </c>
      <c r="H30" s="49">
        <f t="shared" si="3"/>
        <v>0</v>
      </c>
      <c r="I30" s="2093"/>
      <c r="J30" s="1435" t="s">
        <v>3328</v>
      </c>
      <c r="K30" s="945"/>
      <c r="L30" s="945"/>
      <c r="M30" s="946"/>
    </row>
    <row r="31" spans="1:13" ht="15" x14ac:dyDescent="0.2">
      <c r="A31" s="950" t="s">
        <v>8</v>
      </c>
      <c r="B31" s="1"/>
      <c r="C31" s="1">
        <v>4971108.01</v>
      </c>
      <c r="D31" s="1">
        <v>5247141.5999999996</v>
      </c>
      <c r="E31" s="1"/>
      <c r="F31" s="49">
        <f t="shared" si="2"/>
        <v>-1</v>
      </c>
      <c r="G31" s="49">
        <f t="shared" si="2"/>
        <v>-5.2606468634275066E-2</v>
      </c>
      <c r="H31" s="49">
        <f t="shared" si="3"/>
        <v>0</v>
      </c>
      <c r="I31" s="2093"/>
      <c r="J31" s="1435" t="s">
        <v>3329</v>
      </c>
      <c r="K31" s="946"/>
      <c r="L31" s="946"/>
      <c r="M31" s="946"/>
    </row>
    <row r="32" spans="1:13" ht="15.75" x14ac:dyDescent="0.2">
      <c r="A32" s="952" t="s">
        <v>10</v>
      </c>
      <c r="B32" s="2">
        <f>B29-B31</f>
        <v>0</v>
      </c>
      <c r="C32" s="2">
        <f>C29-C31</f>
        <v>-7691621.5399999935</v>
      </c>
      <c r="D32" s="2">
        <f>D29-D31</f>
        <v>-2200432.34</v>
      </c>
      <c r="E32" s="2">
        <f>E29-E31</f>
        <v>0</v>
      </c>
      <c r="F32" s="49">
        <f t="shared" si="2"/>
        <v>-1</v>
      </c>
      <c r="G32" s="49">
        <f t="shared" si="2"/>
        <v>2.4955046788668787</v>
      </c>
      <c r="H32" s="49">
        <f t="shared" si="3"/>
        <v>0</v>
      </c>
      <c r="I32" s="2093"/>
      <c r="J32" s="1435" t="s">
        <v>3330</v>
      </c>
      <c r="K32" s="946"/>
      <c r="L32" s="946"/>
      <c r="M32" s="946"/>
    </row>
    <row r="33" spans="1:13" ht="15.75" x14ac:dyDescent="0.2">
      <c r="A33" s="952" t="s">
        <v>198</v>
      </c>
      <c r="B33" s="17" t="e">
        <f>B32/B11</f>
        <v>#DIV/0!</v>
      </c>
      <c r="C33" s="17">
        <f>C32/C11</f>
        <v>-0.11326998774574751</v>
      </c>
      <c r="D33" s="17">
        <f>D32/D11</f>
        <v>-2.822870776932743E-2</v>
      </c>
      <c r="E33" s="17" t="e">
        <f>E32/E11</f>
        <v>#DIV/0!</v>
      </c>
      <c r="F33" s="49">
        <f t="shared" si="2"/>
        <v>0</v>
      </c>
      <c r="G33" s="49">
        <f t="shared" si="2"/>
        <v>3.0125814001597231</v>
      </c>
      <c r="H33" s="49">
        <f t="shared" si="3"/>
        <v>0</v>
      </c>
      <c r="I33" s="2093"/>
      <c r="J33" s="1435" t="s">
        <v>3331</v>
      </c>
      <c r="K33" s="946"/>
      <c r="L33" s="946"/>
      <c r="M33" s="946"/>
    </row>
    <row r="34" spans="1:13" ht="15.75" x14ac:dyDescent="0.2">
      <c r="A34" s="952" t="s">
        <v>233</v>
      </c>
      <c r="B34" s="2">
        <f>B32+B27+B28+B22+B23</f>
        <v>0</v>
      </c>
      <c r="C34" s="2">
        <f>C32+C27+C28+C22+C23</f>
        <v>-5702233.5399999935</v>
      </c>
      <c r="D34" s="2">
        <f>D32+D27+D28+D22+D23</f>
        <v>87285.660000000149</v>
      </c>
      <c r="E34" s="2">
        <f>E32+E27+E28+E22+E23</f>
        <v>0</v>
      </c>
      <c r="F34" s="49">
        <f t="shared" si="2"/>
        <v>-1</v>
      </c>
      <c r="G34" s="49">
        <f t="shared" si="2"/>
        <v>-66.328411791810751</v>
      </c>
      <c r="H34" s="49">
        <f t="shared" si="3"/>
        <v>0</v>
      </c>
      <c r="I34" s="2093"/>
      <c r="J34" s="1435" t="s">
        <v>3332</v>
      </c>
      <c r="K34" s="946"/>
      <c r="L34" s="946"/>
      <c r="M34" s="946"/>
    </row>
    <row r="35" spans="1:13" ht="15" x14ac:dyDescent="0.2">
      <c r="A35" s="950" t="s">
        <v>23</v>
      </c>
      <c r="B35" s="1"/>
      <c r="C35" s="1">
        <v>141663</v>
      </c>
      <c r="D35" s="1">
        <v>453874</v>
      </c>
      <c r="E35" s="1"/>
      <c r="F35" s="49">
        <f t="shared" si="2"/>
        <v>-1</v>
      </c>
      <c r="G35" s="49">
        <f t="shared" si="2"/>
        <v>-0.68788033683357053</v>
      </c>
      <c r="H35" s="49">
        <f t="shared" si="3"/>
        <v>0</v>
      </c>
      <c r="I35" s="2093"/>
      <c r="J35" s="1435" t="s">
        <v>3333</v>
      </c>
      <c r="K35" s="946"/>
      <c r="L35" s="946"/>
      <c r="M35" s="946"/>
    </row>
    <row r="36" spans="1:13" ht="15.75" x14ac:dyDescent="0.2">
      <c r="A36" s="954" t="s">
        <v>176</v>
      </c>
      <c r="B36" s="5"/>
      <c r="C36" s="5">
        <v>44174</v>
      </c>
      <c r="D36" s="5">
        <v>43715</v>
      </c>
      <c r="E36" s="5"/>
      <c r="F36" s="951"/>
      <c r="G36" s="951"/>
      <c r="H36" s="951"/>
      <c r="I36" s="2093"/>
      <c r="J36" s="1435" t="s">
        <v>3334</v>
      </c>
      <c r="K36" s="946"/>
      <c r="L36" s="946"/>
      <c r="M36" s="946"/>
    </row>
    <row r="37" spans="1:13" ht="15.75" x14ac:dyDescent="0.2">
      <c r="A37" s="955" t="s">
        <v>11</v>
      </c>
      <c r="B37" s="13">
        <f>+B32-B35</f>
        <v>0</v>
      </c>
      <c r="C37" s="13">
        <f>+C32-C35</f>
        <v>-7833284.5399999935</v>
      </c>
      <c r="D37" s="13">
        <f>+D32-D35</f>
        <v>-2654306.34</v>
      </c>
      <c r="E37" s="13">
        <f>+E32-E35</f>
        <v>0</v>
      </c>
      <c r="F37" s="49">
        <f t="shared" ref="F37:H38" si="6">IF(ISERROR((B37-C37)/C37),0,(B37-C37)/C37)</f>
        <v>-1</v>
      </c>
      <c r="G37" s="49">
        <f t="shared" si="6"/>
        <v>1.9511606938330992</v>
      </c>
      <c r="H37" s="49">
        <f t="shared" si="6"/>
        <v>0</v>
      </c>
      <c r="I37" s="2093"/>
      <c r="J37" s="1435" t="s">
        <v>3335</v>
      </c>
      <c r="K37" s="946"/>
      <c r="L37" s="946"/>
      <c r="M37" s="946"/>
    </row>
    <row r="38" spans="1:13" ht="16.5" thickBot="1" x14ac:dyDescent="0.25">
      <c r="A38" s="956" t="s">
        <v>80</v>
      </c>
      <c r="B38" s="18" t="e">
        <f>B37/B11</f>
        <v>#DIV/0!</v>
      </c>
      <c r="C38" s="18">
        <f>C37/C11</f>
        <v>-0.11535617544889674</v>
      </c>
      <c r="D38" s="18">
        <f>D37/D11</f>
        <v>-3.4051325569107505E-2</v>
      </c>
      <c r="E38" s="18" t="e">
        <f>E37/E11</f>
        <v>#DIV/0!</v>
      </c>
      <c r="F38" s="250">
        <f t="shared" si="6"/>
        <v>0</v>
      </c>
      <c r="G38" s="250">
        <f t="shared" si="6"/>
        <v>2.3877146783839658</v>
      </c>
      <c r="H38" s="250">
        <f t="shared" si="6"/>
        <v>0</v>
      </c>
      <c r="I38" s="2094"/>
      <c r="J38" s="1435" t="s">
        <v>3336</v>
      </c>
      <c r="K38" s="945"/>
      <c r="L38" s="945"/>
      <c r="M38" s="946"/>
    </row>
    <row r="39" spans="1:13" ht="16.5" thickBot="1" x14ac:dyDescent="0.25">
      <c r="A39" s="2066" t="s">
        <v>70</v>
      </c>
      <c r="B39" s="2067"/>
      <c r="C39" s="2067"/>
      <c r="D39" s="2067"/>
      <c r="E39" s="2067"/>
      <c r="F39" s="2067"/>
      <c r="G39" s="2067"/>
      <c r="H39" s="2067"/>
      <c r="I39" s="2068"/>
      <c r="K39" s="946"/>
      <c r="L39" s="946"/>
      <c r="M39" s="946"/>
    </row>
    <row r="40" spans="1:13" ht="15.75" x14ac:dyDescent="0.2">
      <c r="A40" s="2069" t="s">
        <v>77</v>
      </c>
      <c r="B40" s="2070"/>
      <c r="C40" s="2070"/>
      <c r="D40" s="2070"/>
      <c r="E40" s="2070"/>
      <c r="F40" s="2070"/>
      <c r="G40" s="2070"/>
      <c r="H40" s="2070"/>
      <c r="I40" s="2071"/>
      <c r="K40" s="946"/>
      <c r="L40" s="946"/>
      <c r="M40" s="946"/>
    </row>
    <row r="41" spans="1:13" ht="15" x14ac:dyDescent="0.2">
      <c r="A41" s="950" t="s">
        <v>66</v>
      </c>
      <c r="B41" s="1"/>
      <c r="C41" s="1">
        <f>15749790.79+2108913.34</f>
        <v>17858704.129999999</v>
      </c>
      <c r="D41" s="1">
        <f>17572111.32+2108913.34</f>
        <v>19681024.66</v>
      </c>
      <c r="E41" s="1"/>
      <c r="F41" s="49">
        <f t="shared" ref="F41:H42" si="7">IF(ISERROR((B41-C41)/C41),0,(B41-C41)/C41)</f>
        <v>-1</v>
      </c>
      <c r="G41" s="49">
        <f t="shared" si="7"/>
        <v>-9.2592766966229756E-2</v>
      </c>
      <c r="H41" s="49">
        <f t="shared" si="7"/>
        <v>0</v>
      </c>
      <c r="I41" s="2072" t="s">
        <v>524</v>
      </c>
      <c r="J41" s="1435" t="s">
        <v>3337</v>
      </c>
      <c r="K41" s="946"/>
      <c r="L41" s="946"/>
      <c r="M41" s="946"/>
    </row>
    <row r="42" spans="1:13" ht="15" x14ac:dyDescent="0.2">
      <c r="A42" s="950" t="s">
        <v>68</v>
      </c>
      <c r="B42" s="1"/>
      <c r="C42" s="1"/>
      <c r="D42" s="1"/>
      <c r="E42" s="1"/>
      <c r="F42" s="49">
        <f t="shared" si="7"/>
        <v>0</v>
      </c>
      <c r="G42" s="49">
        <f t="shared" si="7"/>
        <v>0</v>
      </c>
      <c r="H42" s="49">
        <f t="shared" si="7"/>
        <v>0</v>
      </c>
      <c r="I42" s="2073"/>
      <c r="J42" s="1435" t="s">
        <v>3338</v>
      </c>
      <c r="K42" s="946"/>
      <c r="L42" s="946"/>
      <c r="M42" s="946"/>
    </row>
    <row r="43" spans="1:13" ht="15.75" x14ac:dyDescent="0.2">
      <c r="A43" s="2075" t="s">
        <v>72</v>
      </c>
      <c r="B43" s="2076"/>
      <c r="C43" s="2076"/>
      <c r="D43" s="2076"/>
      <c r="E43" s="2076"/>
      <c r="F43" s="2076"/>
      <c r="G43" s="2076"/>
      <c r="H43" s="957"/>
      <c r="I43" s="2073"/>
      <c r="K43" s="946"/>
      <c r="L43" s="946"/>
      <c r="M43" s="946"/>
    </row>
    <row r="44" spans="1:13" ht="15" x14ac:dyDescent="0.2">
      <c r="A44" s="950" t="s">
        <v>71</v>
      </c>
      <c r="B44" s="1"/>
      <c r="C44" s="1">
        <v>34339063</v>
      </c>
      <c r="D44" s="1">
        <v>38665987</v>
      </c>
      <c r="E44" s="1"/>
      <c r="F44" s="49">
        <f t="shared" ref="F44:G52" si="8">IF(ISERROR((B44-C44)/C44),0,(B44-C44)/C44)</f>
        <v>-1</v>
      </c>
      <c r="G44" s="49">
        <f t="shared" si="8"/>
        <v>-0.11190517391939329</v>
      </c>
      <c r="H44" s="49">
        <f t="shared" ref="H44:H52" si="9">IF(ISERROR((D44-E44)/E44),0,(D44-E44)/E44)</f>
        <v>0</v>
      </c>
      <c r="I44" s="2073"/>
      <c r="J44" s="1435" t="s">
        <v>3339</v>
      </c>
      <c r="K44" s="946"/>
      <c r="L44" s="946"/>
      <c r="M44" s="946"/>
    </row>
    <row r="45" spans="1:13" ht="15" x14ac:dyDescent="0.2">
      <c r="A45" s="950" t="s">
        <v>65</v>
      </c>
      <c r="B45" s="1"/>
      <c r="C45" s="1"/>
      <c r="D45" s="1"/>
      <c r="E45" s="1"/>
      <c r="F45" s="49">
        <f t="shared" si="8"/>
        <v>0</v>
      </c>
      <c r="G45" s="49">
        <f t="shared" si="8"/>
        <v>0</v>
      </c>
      <c r="H45" s="49">
        <f t="shared" si="9"/>
        <v>0</v>
      </c>
      <c r="I45" s="2073"/>
      <c r="J45" s="1435" t="s">
        <v>3340</v>
      </c>
      <c r="K45" s="946"/>
      <c r="L45" s="946"/>
      <c r="M45" s="946"/>
    </row>
    <row r="46" spans="1:13" ht="15" x14ac:dyDescent="0.2">
      <c r="A46" s="950" t="s">
        <v>205</v>
      </c>
      <c r="B46" s="1"/>
      <c r="C46" s="1">
        <f>15913933-6250918.1</f>
        <v>9663014.9000000004</v>
      </c>
      <c r="D46" s="1">
        <f>11290805.01-2007195.5</f>
        <v>9283609.5099999998</v>
      </c>
      <c r="E46" s="1"/>
      <c r="F46" s="49">
        <f t="shared" si="8"/>
        <v>-1</v>
      </c>
      <c r="G46" s="49">
        <f t="shared" si="8"/>
        <v>4.0868305543368399E-2</v>
      </c>
      <c r="H46" s="49">
        <f t="shared" si="9"/>
        <v>0</v>
      </c>
      <c r="I46" s="2073"/>
      <c r="J46" s="1435" t="s">
        <v>3341</v>
      </c>
      <c r="K46" s="946" t="s">
        <v>207</v>
      </c>
      <c r="L46" s="946"/>
      <c r="M46" s="946"/>
    </row>
    <row r="47" spans="1:13" ht="15" x14ac:dyDescent="0.2">
      <c r="A47" s="950" t="s">
        <v>177</v>
      </c>
      <c r="B47" s="1"/>
      <c r="C47" s="1">
        <f>1140017.69+1465494.52</f>
        <v>2605512.21</v>
      </c>
      <c r="D47" s="1">
        <f>3884944.43</f>
        <v>3884944.43</v>
      </c>
      <c r="E47" s="1"/>
      <c r="F47" s="49">
        <f t="shared" si="8"/>
        <v>-1</v>
      </c>
      <c r="G47" s="49">
        <f t="shared" si="8"/>
        <v>-0.32933089341512156</v>
      </c>
      <c r="H47" s="49">
        <f t="shared" si="9"/>
        <v>0</v>
      </c>
      <c r="I47" s="2073"/>
      <c r="J47" s="1435" t="s">
        <v>3342</v>
      </c>
      <c r="K47" s="946"/>
      <c r="L47" s="946"/>
      <c r="M47" s="946"/>
    </row>
    <row r="48" spans="1:13" ht="15" x14ac:dyDescent="0.2">
      <c r="A48" s="950" t="s">
        <v>59</v>
      </c>
      <c r="B48" s="1"/>
      <c r="C48" s="1">
        <f>8994487.45+2023217.94+529168+63074+30000+311300.3+147147+7424302.4+31321+997+280714+199140+40710+192244.46+304064.6+43140+802134+650000+285000+350000+501028+150000+94602+100000</f>
        <v>23547792.150000002</v>
      </c>
      <c r="D48" s="1">
        <f>280714+199140+40710+192244.46+304064.6+802134+650000+285000+350000+501028+150000+10533224.45+4257341.2+529168+63074+30000+311300.3+147147</f>
        <v>19626290.010000002</v>
      </c>
      <c r="E48" s="1"/>
      <c r="F48" s="49">
        <f t="shared" si="8"/>
        <v>-1</v>
      </c>
      <c r="G48" s="49">
        <f t="shared" si="8"/>
        <v>0.19980863107606756</v>
      </c>
      <c r="H48" s="49">
        <f t="shared" si="9"/>
        <v>0</v>
      </c>
      <c r="I48" s="2073"/>
      <c r="J48" s="1435" t="s">
        <v>3343</v>
      </c>
      <c r="K48" s="946"/>
      <c r="L48" s="946"/>
      <c r="M48" s="946"/>
    </row>
    <row r="49" spans="1:13" ht="15.75" x14ac:dyDescent="0.2">
      <c r="A49" s="952" t="s">
        <v>60</v>
      </c>
      <c r="B49" s="2">
        <f>SUM(B44:B48)</f>
        <v>0</v>
      </c>
      <c r="C49" s="2">
        <f>SUM(C44:C48)</f>
        <v>70155382.260000005</v>
      </c>
      <c r="D49" s="2">
        <f>SUM(D44:D48)</f>
        <v>71460830.950000003</v>
      </c>
      <c r="E49" s="2">
        <f>SUM(E44:E48)</f>
        <v>0</v>
      </c>
      <c r="F49" s="49">
        <f t="shared" si="8"/>
        <v>-1</v>
      </c>
      <c r="G49" s="49">
        <f t="shared" si="8"/>
        <v>-1.8268031208780643E-2</v>
      </c>
      <c r="H49" s="49">
        <f t="shared" si="9"/>
        <v>0</v>
      </c>
      <c r="I49" s="2073"/>
      <c r="J49" s="1435" t="s">
        <v>3344</v>
      </c>
      <c r="K49" s="946" t="s">
        <v>702</v>
      </c>
      <c r="L49" s="946"/>
      <c r="M49" s="946"/>
    </row>
    <row r="50" spans="1:13" ht="15" x14ac:dyDescent="0.2">
      <c r="A50" s="950" t="s">
        <v>73</v>
      </c>
      <c r="B50" s="1"/>
      <c r="C50" s="1">
        <f>4977406.46+5036079.82+707592.54</f>
        <v>10721078.82</v>
      </c>
      <c r="D50" s="1">
        <f>3395353.6+1508888.4+613589.44</f>
        <v>5517831.4399999995</v>
      </c>
      <c r="E50" s="1"/>
      <c r="F50" s="49">
        <f t="shared" si="8"/>
        <v>-1</v>
      </c>
      <c r="G50" s="49">
        <f t="shared" si="8"/>
        <v>0.94298773650106305</v>
      </c>
      <c r="H50" s="49">
        <f t="shared" si="9"/>
        <v>0</v>
      </c>
      <c r="I50" s="2073"/>
      <c r="J50" s="1435" t="s">
        <v>3345</v>
      </c>
      <c r="K50" s="946"/>
      <c r="L50" s="946"/>
      <c r="M50" s="946"/>
    </row>
    <row r="51" spans="1:13" ht="15" x14ac:dyDescent="0.2">
      <c r="A51" s="950" t="s">
        <v>137</v>
      </c>
      <c r="B51" s="1"/>
      <c r="C51" s="1"/>
      <c r="D51" s="1"/>
      <c r="E51" s="1"/>
      <c r="F51" s="49">
        <f t="shared" si="8"/>
        <v>0</v>
      </c>
      <c r="G51" s="49">
        <f t="shared" si="8"/>
        <v>0</v>
      </c>
      <c r="H51" s="49">
        <f t="shared" si="9"/>
        <v>0</v>
      </c>
      <c r="I51" s="2073"/>
      <c r="J51" s="1435" t="s">
        <v>3346</v>
      </c>
      <c r="K51" s="946"/>
      <c r="L51" s="946"/>
      <c r="M51" s="946"/>
    </row>
    <row r="52" spans="1:13" ht="15.75" x14ac:dyDescent="0.2">
      <c r="A52" s="958" t="s">
        <v>74</v>
      </c>
      <c r="B52" s="2">
        <f>B41+B42+B49+B50+B51</f>
        <v>0</v>
      </c>
      <c r="C52" s="2">
        <f>C41+C42+C49+C50+C51</f>
        <v>98735165.210000008</v>
      </c>
      <c r="D52" s="2">
        <f>D41+D42+D49+D50+D51</f>
        <v>96659687.049999997</v>
      </c>
      <c r="E52" s="2">
        <f>E41+E42+E49+E50+E51</f>
        <v>0</v>
      </c>
      <c r="F52" s="49">
        <f t="shared" si="8"/>
        <v>-1</v>
      </c>
      <c r="G52" s="49">
        <f t="shared" si="8"/>
        <v>2.1472014066488864E-2</v>
      </c>
      <c r="H52" s="49">
        <f t="shared" si="9"/>
        <v>0</v>
      </c>
      <c r="I52" s="2074"/>
      <c r="J52" s="1435" t="s">
        <v>3347</v>
      </c>
      <c r="K52" s="946"/>
      <c r="L52" s="946"/>
      <c r="M52" s="946"/>
    </row>
    <row r="53" spans="1:13" ht="15.75" x14ac:dyDescent="0.2">
      <c r="A53" s="959"/>
      <c r="B53" s="960"/>
      <c r="C53" s="960"/>
      <c r="D53" s="960"/>
      <c r="E53" s="960"/>
      <c r="F53" s="960"/>
      <c r="G53" s="960"/>
      <c r="H53" s="960"/>
      <c r="I53" s="961"/>
      <c r="K53" s="946"/>
      <c r="L53" s="946"/>
      <c r="M53" s="946"/>
    </row>
    <row r="54" spans="1:13" ht="15.75" x14ac:dyDescent="0.2">
      <c r="A54" s="2077" t="s">
        <v>78</v>
      </c>
      <c r="B54" s="2078"/>
      <c r="C54" s="2078"/>
      <c r="D54" s="2078"/>
      <c r="E54" s="2078"/>
      <c r="F54" s="2078"/>
      <c r="G54" s="2078"/>
      <c r="H54" s="2078"/>
      <c r="I54" s="2079"/>
      <c r="K54" s="946"/>
      <c r="L54" s="946"/>
      <c r="M54" s="946"/>
    </row>
    <row r="55" spans="1:13" ht="15" x14ac:dyDescent="0.2">
      <c r="A55" s="950" t="s">
        <v>18</v>
      </c>
      <c r="B55" s="1"/>
      <c r="C55" s="1">
        <v>21720039.760000002</v>
      </c>
      <c r="D55" s="1">
        <v>14223023.390000001</v>
      </c>
      <c r="E55" s="1"/>
      <c r="F55" s="49">
        <f t="shared" ref="F55:G63" si="10">IF(ISERROR((B55-C55)/C55),0,(B55-C55)/C55)</f>
        <v>-1</v>
      </c>
      <c r="G55" s="49">
        <f t="shared" si="10"/>
        <v>0.52710427062020049</v>
      </c>
      <c r="H55" s="49">
        <f t="shared" ref="H55:H63" si="11">IF(ISERROR((D55-E55)/E55),0,(D55-E55)/E55)</f>
        <v>0</v>
      </c>
      <c r="I55" s="2080" t="s">
        <v>525</v>
      </c>
      <c r="J55" s="1435" t="s">
        <v>3348</v>
      </c>
      <c r="K55" s="946"/>
      <c r="L55" s="946"/>
      <c r="M55" s="946"/>
    </row>
    <row r="56" spans="1:13" ht="15" x14ac:dyDescent="0.2">
      <c r="A56" s="950" t="s">
        <v>14</v>
      </c>
      <c r="B56" s="1"/>
      <c r="C56" s="1"/>
      <c r="D56" s="1"/>
      <c r="E56" s="1"/>
      <c r="F56" s="49">
        <f t="shared" si="10"/>
        <v>0</v>
      </c>
      <c r="G56" s="49">
        <f t="shared" si="10"/>
        <v>0</v>
      </c>
      <c r="H56" s="49">
        <f t="shared" si="11"/>
        <v>0</v>
      </c>
      <c r="I56" s="2081"/>
      <c r="J56" s="1435" t="s">
        <v>3349</v>
      </c>
      <c r="K56" s="946"/>
      <c r="L56" s="946"/>
      <c r="M56" s="946"/>
    </row>
    <row r="57" spans="1:13" ht="15" x14ac:dyDescent="0.2">
      <c r="A57" s="953" t="s">
        <v>179</v>
      </c>
      <c r="B57" s="1"/>
      <c r="C57" s="1"/>
      <c r="D57" s="1"/>
      <c r="E57" s="1"/>
      <c r="F57" s="49">
        <f t="shared" si="10"/>
        <v>0</v>
      </c>
      <c r="G57" s="49">
        <f t="shared" si="10"/>
        <v>0</v>
      </c>
      <c r="H57" s="49">
        <f t="shared" si="11"/>
        <v>0</v>
      </c>
      <c r="I57" s="2081"/>
      <c r="J57" s="1435" t="s">
        <v>3350</v>
      </c>
      <c r="K57" s="946"/>
      <c r="L57" s="946"/>
      <c r="M57" s="946"/>
    </row>
    <row r="58" spans="1:13" ht="15" x14ac:dyDescent="0.2">
      <c r="A58" s="950" t="s">
        <v>203</v>
      </c>
      <c r="B58" s="1"/>
      <c r="C58" s="1"/>
      <c r="D58" s="1"/>
      <c r="E58" s="1"/>
      <c r="F58" s="49">
        <f t="shared" si="10"/>
        <v>0</v>
      </c>
      <c r="G58" s="49">
        <f t="shared" si="10"/>
        <v>0</v>
      </c>
      <c r="H58" s="49">
        <f t="shared" si="11"/>
        <v>0</v>
      </c>
      <c r="I58" s="2081"/>
      <c r="J58" s="1435" t="s">
        <v>3351</v>
      </c>
      <c r="K58" s="946"/>
      <c r="L58" s="946"/>
      <c r="M58" s="946"/>
    </row>
    <row r="59" spans="1:13" ht="15.75" x14ac:dyDescent="0.2">
      <c r="A59" s="952" t="s">
        <v>15</v>
      </c>
      <c r="B59" s="2">
        <f t="shared" ref="B59:C59" si="12">B55+B56+B57-B58-B45</f>
        <v>0</v>
      </c>
      <c r="C59" s="2">
        <f t="shared" si="12"/>
        <v>21720039.760000002</v>
      </c>
      <c r="D59" s="2">
        <f>D55+D56+D57-D58-D45</f>
        <v>14223023.390000001</v>
      </c>
      <c r="E59" s="2">
        <f t="shared" ref="E59" si="13">E55+E56+E57-E58-E45</f>
        <v>0</v>
      </c>
      <c r="F59" s="49">
        <f t="shared" si="10"/>
        <v>-1</v>
      </c>
      <c r="G59" s="49">
        <f t="shared" si="10"/>
        <v>0.52710427062020049</v>
      </c>
      <c r="H59" s="49">
        <f t="shared" si="11"/>
        <v>0</v>
      </c>
      <c r="I59" s="2081"/>
      <c r="J59" s="1435" t="s">
        <v>3352</v>
      </c>
      <c r="K59" s="946" t="s">
        <v>703</v>
      </c>
      <c r="L59" s="946"/>
      <c r="M59" s="946"/>
    </row>
    <row r="60" spans="1:13" ht="15" x14ac:dyDescent="0.2">
      <c r="A60" s="950" t="s">
        <v>185</v>
      </c>
      <c r="B60" s="1"/>
      <c r="C60" s="1">
        <f>64687+992445.54+780351+12377270.16</f>
        <v>14214753.699999999</v>
      </c>
      <c r="D60" s="1">
        <f>28691195.78+203414+1328391.92+2515470.9+12486394.16</f>
        <v>45224866.760000005</v>
      </c>
      <c r="E60" s="1"/>
      <c r="F60" s="49">
        <f t="shared" si="10"/>
        <v>-1</v>
      </c>
      <c r="G60" s="49">
        <f t="shared" si="10"/>
        <v>-0.68568721771066643</v>
      </c>
      <c r="H60" s="49">
        <f t="shared" si="11"/>
        <v>0</v>
      </c>
      <c r="I60" s="2081"/>
      <c r="J60" s="1435" t="s">
        <v>3353</v>
      </c>
      <c r="K60" s="946"/>
      <c r="L60" s="946"/>
      <c r="M60" s="946"/>
    </row>
    <row r="61" spans="1:13" ht="15" x14ac:dyDescent="0.2">
      <c r="A61" s="950" t="s">
        <v>5</v>
      </c>
      <c r="B61" s="1"/>
      <c r="C61" s="1">
        <v>18736909</v>
      </c>
      <c r="D61" s="1">
        <v>14730757</v>
      </c>
      <c r="E61" s="1"/>
      <c r="F61" s="49">
        <f t="shared" si="10"/>
        <v>-1</v>
      </c>
      <c r="G61" s="49">
        <f t="shared" si="10"/>
        <v>0.2719583250202281</v>
      </c>
      <c r="H61" s="49">
        <f t="shared" si="11"/>
        <v>0</v>
      </c>
      <c r="I61" s="2081"/>
      <c r="J61" s="1435" t="s">
        <v>3354</v>
      </c>
      <c r="K61" s="946"/>
      <c r="L61" s="946"/>
      <c r="M61" s="946"/>
    </row>
    <row r="62" spans="1:13" ht="15" x14ac:dyDescent="0.2">
      <c r="A62" s="950" t="s">
        <v>12</v>
      </c>
      <c r="B62" s="1"/>
      <c r="C62" s="1"/>
      <c r="D62" s="1"/>
      <c r="E62" s="1"/>
      <c r="F62" s="49">
        <f t="shared" si="10"/>
        <v>0</v>
      </c>
      <c r="G62" s="49">
        <f t="shared" si="10"/>
        <v>0</v>
      </c>
      <c r="H62" s="49">
        <f t="shared" si="11"/>
        <v>0</v>
      </c>
      <c r="I62" s="2081"/>
      <c r="J62" s="1435" t="s">
        <v>3355</v>
      </c>
      <c r="K62" s="946"/>
      <c r="L62" s="946"/>
      <c r="M62" s="946"/>
    </row>
    <row r="63" spans="1:13" ht="15.75" x14ac:dyDescent="0.2">
      <c r="A63" s="952" t="s">
        <v>13</v>
      </c>
      <c r="B63" s="2">
        <f>B62+B61+B60</f>
        <v>0</v>
      </c>
      <c r="C63" s="2">
        <f>C62+C61+C60</f>
        <v>32951662.699999999</v>
      </c>
      <c r="D63" s="2">
        <f>D62+D61+D60</f>
        <v>59955623.760000005</v>
      </c>
      <c r="E63" s="2">
        <f>E62+E61+E60</f>
        <v>0</v>
      </c>
      <c r="F63" s="49">
        <f t="shared" si="10"/>
        <v>-1</v>
      </c>
      <c r="G63" s="49">
        <f t="shared" si="10"/>
        <v>-0.45039913466826392</v>
      </c>
      <c r="H63" s="49">
        <f t="shared" si="11"/>
        <v>0</v>
      </c>
      <c r="I63" s="2082"/>
      <c r="J63" s="1435" t="s">
        <v>3356</v>
      </c>
      <c r="K63" s="946"/>
      <c r="L63" s="946"/>
      <c r="M63" s="946"/>
    </row>
    <row r="64" spans="1:13" ht="15.75" x14ac:dyDescent="0.2">
      <c r="A64" s="2083" t="s">
        <v>75</v>
      </c>
      <c r="B64" s="2084"/>
      <c r="C64" s="2084"/>
      <c r="D64" s="2084"/>
      <c r="E64" s="2084"/>
      <c r="F64" s="2084"/>
      <c r="G64" s="2084"/>
      <c r="H64" s="2084"/>
      <c r="I64" s="2085"/>
      <c r="K64" s="946"/>
      <c r="L64" s="946"/>
      <c r="M64" s="946"/>
    </row>
    <row r="65" spans="1:13" ht="15" x14ac:dyDescent="0.2">
      <c r="A65" s="950" t="s">
        <v>206</v>
      </c>
      <c r="B65" s="1"/>
      <c r="C65" s="1">
        <v>6450665.3799999999</v>
      </c>
      <c r="D65" s="1">
        <v>10782112.880000001</v>
      </c>
      <c r="E65" s="1"/>
      <c r="F65" s="49">
        <f t="shared" ref="F65:H71" si="14">IF(ISERROR((B65-C65)/C65),0,(B65-C65)/C65)</f>
        <v>-1</v>
      </c>
      <c r="G65" s="49">
        <f t="shared" si="14"/>
        <v>-0.40172529709223381</v>
      </c>
      <c r="H65" s="49">
        <f t="shared" si="14"/>
        <v>0</v>
      </c>
      <c r="I65" s="2080" t="s">
        <v>526</v>
      </c>
      <c r="J65" s="1435" t="s">
        <v>3357</v>
      </c>
      <c r="K65" s="946" t="s">
        <v>208</v>
      </c>
      <c r="L65" s="946"/>
      <c r="M65" s="946"/>
    </row>
    <row r="66" spans="1:13" ht="15" x14ac:dyDescent="0.2">
      <c r="A66" s="950" t="s">
        <v>184</v>
      </c>
      <c r="B66" s="1"/>
      <c r="C66" s="1">
        <v>36998190.119999997</v>
      </c>
      <c r="D66" s="1">
        <v>9194641.8300000001</v>
      </c>
      <c r="E66" s="1"/>
      <c r="F66" s="49">
        <f t="shared" si="14"/>
        <v>-1</v>
      </c>
      <c r="G66" s="49">
        <f t="shared" si="14"/>
        <v>3.0238859548920569</v>
      </c>
      <c r="H66" s="49">
        <f t="shared" si="14"/>
        <v>0</v>
      </c>
      <c r="I66" s="2086"/>
      <c r="J66" s="1435" t="s">
        <v>3358</v>
      </c>
      <c r="K66" s="946"/>
      <c r="L66" s="946"/>
      <c r="M66" s="946"/>
    </row>
    <row r="67" spans="1:13" ht="15" x14ac:dyDescent="0.2">
      <c r="A67" s="950" t="s">
        <v>61</v>
      </c>
      <c r="B67" s="1"/>
      <c r="C67" s="1">
        <f>450081.5+89617+74908.75</f>
        <v>614607.25</v>
      </c>
      <c r="D67" s="1">
        <f>2146509.44+189669+168106.75</f>
        <v>2504285.19</v>
      </c>
      <c r="E67" s="1"/>
      <c r="F67" s="49">
        <f t="shared" si="14"/>
        <v>-1</v>
      </c>
      <c r="G67" s="49">
        <f t="shared" si="14"/>
        <v>-0.7545777723502809</v>
      </c>
      <c r="H67" s="49">
        <f t="shared" si="14"/>
        <v>0</v>
      </c>
      <c r="I67" s="2086"/>
      <c r="J67" s="1435" t="s">
        <v>3359</v>
      </c>
      <c r="K67" s="946"/>
      <c r="L67" s="946"/>
      <c r="M67" s="946"/>
    </row>
    <row r="68" spans="1:13" ht="15.75" x14ac:dyDescent="0.2">
      <c r="A68" s="952" t="s">
        <v>62</v>
      </c>
      <c r="B68" s="2">
        <f>SUM(B65:B67)</f>
        <v>0</v>
      </c>
      <c r="C68" s="2">
        <f>SUM(C65:C67)</f>
        <v>44063462.75</v>
      </c>
      <c r="D68" s="2">
        <f>SUM(D65:D67)</f>
        <v>22481039.900000002</v>
      </c>
      <c r="E68" s="2">
        <f>SUM(E65:E67)</f>
        <v>0</v>
      </c>
      <c r="F68" s="49">
        <f t="shared" si="14"/>
        <v>-1</v>
      </c>
      <c r="G68" s="49">
        <f t="shared" si="14"/>
        <v>0.96002778101025454</v>
      </c>
      <c r="H68" s="49">
        <f t="shared" si="14"/>
        <v>0</v>
      </c>
      <c r="I68" s="2086"/>
      <c r="J68" s="1435" t="s">
        <v>3360</v>
      </c>
      <c r="K68" s="946"/>
      <c r="L68" s="946"/>
      <c r="M68" s="946"/>
    </row>
    <row r="69" spans="1:13" ht="15" x14ac:dyDescent="0.2">
      <c r="A69" s="950" t="s">
        <v>139</v>
      </c>
      <c r="B69" s="1"/>
      <c r="C69" s="1"/>
      <c r="D69" s="1"/>
      <c r="E69" s="1"/>
      <c r="F69" s="49">
        <f t="shared" si="14"/>
        <v>0</v>
      </c>
      <c r="G69" s="49">
        <f t="shared" si="14"/>
        <v>0</v>
      </c>
      <c r="H69" s="49">
        <f t="shared" si="14"/>
        <v>0</v>
      </c>
      <c r="I69" s="2086"/>
      <c r="J69" s="1435" t="s">
        <v>3361</v>
      </c>
      <c r="K69" s="946"/>
      <c r="L69" s="946"/>
      <c r="M69" s="946"/>
    </row>
    <row r="70" spans="1:13" ht="15.75" x14ac:dyDescent="0.2">
      <c r="A70" s="958" t="s">
        <v>76</v>
      </c>
      <c r="B70" s="2">
        <f>B59+B63+B68+B69</f>
        <v>0</v>
      </c>
      <c r="C70" s="2">
        <f>C59+C63+C68+C69</f>
        <v>98735165.210000008</v>
      </c>
      <c r="D70" s="2">
        <f>D59+D63+D68+D69</f>
        <v>96659687.050000012</v>
      </c>
      <c r="E70" s="2">
        <f>E59+E63+E68+E69</f>
        <v>0</v>
      </c>
      <c r="F70" s="49">
        <f t="shared" si="14"/>
        <v>-1</v>
      </c>
      <c r="G70" s="49">
        <f t="shared" si="14"/>
        <v>2.1472014066488705E-2</v>
      </c>
      <c r="H70" s="49">
        <f t="shared" si="14"/>
        <v>0</v>
      </c>
      <c r="I70" s="2086"/>
      <c r="J70" s="1435" t="s">
        <v>3362</v>
      </c>
      <c r="K70" s="946"/>
      <c r="L70" s="946"/>
      <c r="M70" s="946"/>
    </row>
    <row r="71" spans="1:13" ht="15.75" thickBot="1" x14ac:dyDescent="0.25">
      <c r="A71" s="950" t="s">
        <v>64</v>
      </c>
      <c r="B71" s="1"/>
      <c r="C71" s="1"/>
      <c r="D71" s="1"/>
      <c r="E71" s="1"/>
      <c r="F71" s="49">
        <f t="shared" si="14"/>
        <v>0</v>
      </c>
      <c r="G71" s="49">
        <f t="shared" si="14"/>
        <v>0</v>
      </c>
      <c r="H71" s="49">
        <f t="shared" si="14"/>
        <v>0</v>
      </c>
      <c r="I71" s="2086"/>
      <c r="J71" s="1435" t="s">
        <v>3363</v>
      </c>
      <c r="K71" s="946"/>
      <c r="L71" s="946"/>
      <c r="M71" s="946"/>
    </row>
    <row r="72" spans="1:13" ht="17.25" thickTop="1" thickBot="1" x14ac:dyDescent="0.3">
      <c r="A72" s="954" t="s">
        <v>611</v>
      </c>
      <c r="B72" s="176">
        <f>B70-B52+B45</f>
        <v>0</v>
      </c>
      <c r="C72" s="176">
        <f>C70-C52+C45</f>
        <v>0</v>
      </c>
      <c r="D72" s="176">
        <f>D70-D52+D45</f>
        <v>1.4901161193847656E-8</v>
      </c>
      <c r="E72" s="176">
        <f>E70-E52+E45</f>
        <v>0</v>
      </c>
      <c r="F72" s="5"/>
      <c r="G72" s="5"/>
      <c r="H72" s="5"/>
      <c r="I72" s="915"/>
      <c r="J72" s="1435" t="s">
        <v>3364</v>
      </c>
      <c r="K72" s="946"/>
      <c r="L72" s="946"/>
      <c r="M72" s="946"/>
    </row>
    <row r="73" spans="1:13" ht="16.5" thickTop="1" x14ac:dyDescent="0.2">
      <c r="A73" s="2077" t="s">
        <v>79</v>
      </c>
      <c r="B73" s="2078"/>
      <c r="C73" s="2078"/>
      <c r="D73" s="2078"/>
      <c r="E73" s="2078"/>
      <c r="F73" s="2078"/>
      <c r="G73" s="2078"/>
      <c r="H73" s="2078"/>
      <c r="I73" s="2079"/>
      <c r="K73" s="946"/>
      <c r="L73" s="946"/>
      <c r="M73" s="946"/>
    </row>
    <row r="74" spans="1:13" ht="15.75" x14ac:dyDescent="0.2">
      <c r="A74" s="952" t="s">
        <v>63</v>
      </c>
      <c r="B74" s="14" t="e">
        <f>B49/B68</f>
        <v>#DIV/0!</v>
      </c>
      <c r="C74" s="14">
        <f>C49/C68</f>
        <v>1.5921441003862096</v>
      </c>
      <c r="D74" s="14">
        <f>D49/D68</f>
        <v>3.1787155428695271</v>
      </c>
      <c r="E74" s="14" t="e">
        <f>E49/E68</f>
        <v>#DIV/0!</v>
      </c>
      <c r="F74" s="388">
        <f t="shared" ref="F74:G88" si="15">IF(ISERROR((B74-C74)/C74),0,(B74-C74)/C74)</f>
        <v>0</v>
      </c>
      <c r="G74" s="388">
        <f t="shared" si="15"/>
        <v>-0.49912344187019303</v>
      </c>
      <c r="H74" s="388">
        <f t="shared" ref="H74:H88" si="16">IF(ISERROR((D74-E74)/E74),0,(D74-E74)/E74)</f>
        <v>0</v>
      </c>
      <c r="I74" s="2087" t="s">
        <v>500</v>
      </c>
      <c r="J74" s="1435" t="s">
        <v>3365</v>
      </c>
      <c r="K74" s="946" t="s">
        <v>527</v>
      </c>
      <c r="L74" s="946"/>
      <c r="M74" s="946"/>
    </row>
    <row r="75" spans="1:13" ht="15.75" x14ac:dyDescent="0.2">
      <c r="A75" s="952" t="s">
        <v>16</v>
      </c>
      <c r="B75" s="14" t="e">
        <f>B63/B59</f>
        <v>#DIV/0!</v>
      </c>
      <c r="C75" s="14">
        <f>C63/C59</f>
        <v>1.5171087651821129</v>
      </c>
      <c r="D75" s="14">
        <f>D63/D59</f>
        <v>4.2153923336830008</v>
      </c>
      <c r="E75" s="14" t="e">
        <f>E63/E59</f>
        <v>#DIV/0!</v>
      </c>
      <c r="F75" s="388">
        <f t="shared" si="15"/>
        <v>0</v>
      </c>
      <c r="G75" s="388">
        <f t="shared" si="15"/>
        <v>-0.64010259423311844</v>
      </c>
      <c r="H75" s="388">
        <f t="shared" si="16"/>
        <v>0</v>
      </c>
      <c r="I75" s="2088"/>
      <c r="J75" s="1435" t="s">
        <v>3366</v>
      </c>
      <c r="K75" s="946" t="s">
        <v>528</v>
      </c>
      <c r="L75" s="946"/>
      <c r="M75" s="946"/>
    </row>
    <row r="76" spans="1:13" ht="15.75" x14ac:dyDescent="0.2">
      <c r="A76" s="952" t="s">
        <v>17</v>
      </c>
      <c r="B76" s="14" t="e">
        <f>(B63+B68+B69)/B59</f>
        <v>#DIV/0!</v>
      </c>
      <c r="C76" s="14">
        <f>(C63+C68+C69)/C59</f>
        <v>3.5458095980023194</v>
      </c>
      <c r="D76" s="14">
        <f>(D63+D68+D69)/D59</f>
        <v>5.7960014126082378</v>
      </c>
      <c r="E76" s="14" t="e">
        <f>(E63+E68+E69)/E59</f>
        <v>#DIV/0!</v>
      </c>
      <c r="F76" s="388">
        <f t="shared" si="15"/>
        <v>0</v>
      </c>
      <c r="G76" s="388">
        <f t="shared" si="15"/>
        <v>-0.38823175745109378</v>
      </c>
      <c r="H76" s="388">
        <f t="shared" si="16"/>
        <v>0</v>
      </c>
      <c r="I76" s="2088"/>
      <c r="J76" s="1435" t="s">
        <v>3367</v>
      </c>
      <c r="K76" s="946" t="s">
        <v>529</v>
      </c>
      <c r="L76" s="946"/>
      <c r="M76" s="946"/>
    </row>
    <row r="77" spans="1:13" ht="15.75" x14ac:dyDescent="0.2">
      <c r="A77" s="952" t="s">
        <v>1855</v>
      </c>
      <c r="B77" s="14" t="e">
        <f>B63/(B59+B45)</f>
        <v>#DIV/0!</v>
      </c>
      <c r="C77" s="14">
        <f>C63/(C59+C45)</f>
        <v>1.5171087651821129</v>
      </c>
      <c r="D77" s="14">
        <f t="shared" ref="D77:E77" si="17">D63/(D59+D45)</f>
        <v>4.2153923336830008</v>
      </c>
      <c r="E77" s="14" t="e">
        <f t="shared" si="17"/>
        <v>#DIV/0!</v>
      </c>
      <c r="F77" s="388">
        <f t="shared" si="15"/>
        <v>0</v>
      </c>
      <c r="G77" s="388">
        <f t="shared" si="15"/>
        <v>-0.64010259423311844</v>
      </c>
      <c r="H77" s="388">
        <f t="shared" si="16"/>
        <v>0</v>
      </c>
      <c r="I77" s="2088"/>
      <c r="J77" s="1435" t="s">
        <v>3368</v>
      </c>
      <c r="K77" s="946"/>
      <c r="L77" s="946"/>
      <c r="M77" s="946"/>
    </row>
    <row r="78" spans="1:13" ht="15.75" x14ac:dyDescent="0.2">
      <c r="A78" s="952" t="s">
        <v>1856</v>
      </c>
      <c r="B78" s="14" t="e">
        <f>(B63+B68+B69)/(B59+B45)</f>
        <v>#DIV/0!</v>
      </c>
      <c r="C78" s="14">
        <f>(C63+C68+C69)/(C59+C45)</f>
        <v>3.5458095980023194</v>
      </c>
      <c r="D78" s="14">
        <f t="shared" ref="D78:E78" si="18">(D63+D68+D69)/(D59+D45)</f>
        <v>5.7960014126082378</v>
      </c>
      <c r="E78" s="14" t="e">
        <f t="shared" si="18"/>
        <v>#DIV/0!</v>
      </c>
      <c r="F78" s="388">
        <f t="shared" si="15"/>
        <v>0</v>
      </c>
      <c r="G78" s="388">
        <f t="shared" si="15"/>
        <v>-0.38823175745109378</v>
      </c>
      <c r="H78" s="388">
        <f t="shared" si="16"/>
        <v>0</v>
      </c>
      <c r="I78" s="2088"/>
      <c r="J78" s="1435" t="s">
        <v>3369</v>
      </c>
      <c r="K78" s="946"/>
      <c r="L78" s="946"/>
      <c r="M78" s="946"/>
    </row>
    <row r="79" spans="1:13" ht="15.75" x14ac:dyDescent="0.2">
      <c r="A79" s="952" t="s">
        <v>19</v>
      </c>
      <c r="B79" s="14" t="e">
        <f>B63/B25</f>
        <v>#DIV/0!</v>
      </c>
      <c r="C79" s="14">
        <f>C63/C25</f>
        <v>-45.069774406592366</v>
      </c>
      <c r="D79" s="14">
        <f>D63/D25</f>
        <v>11.23937413292238</v>
      </c>
      <c r="E79" s="14" t="e">
        <f>E63/E25</f>
        <v>#DIV/0!</v>
      </c>
      <c r="F79" s="388">
        <f t="shared" si="15"/>
        <v>0</v>
      </c>
      <c r="G79" s="388">
        <f t="shared" si="15"/>
        <v>-5.0099896910250505</v>
      </c>
      <c r="H79" s="388">
        <f t="shared" si="16"/>
        <v>0</v>
      </c>
      <c r="I79" s="2088"/>
      <c r="J79" s="1435" t="s">
        <v>3370</v>
      </c>
      <c r="K79" s="946"/>
      <c r="L79" s="946"/>
      <c r="M79" s="946"/>
    </row>
    <row r="80" spans="1:13" ht="15.75" x14ac:dyDescent="0.2">
      <c r="A80" s="952" t="s">
        <v>1032</v>
      </c>
      <c r="B80" s="14" t="e">
        <f>(B63+B66-B47)/B59</f>
        <v>#DIV/0!</v>
      </c>
      <c r="C80" s="14">
        <f>(C63+C66-C47)/C59</f>
        <v>3.1005624922484025</v>
      </c>
      <c r="D80" s="14">
        <f>(D63+D66-D47)/D59</f>
        <v>4.5887094023825545</v>
      </c>
      <c r="E80" s="14" t="e">
        <f>(E63+E66-E47)/E59</f>
        <v>#DIV/0!</v>
      </c>
      <c r="F80" s="388">
        <f t="shared" si="15"/>
        <v>0</v>
      </c>
      <c r="G80" s="388">
        <f t="shared" si="15"/>
        <v>-0.32430620020554685</v>
      </c>
      <c r="H80" s="388">
        <f t="shared" si="16"/>
        <v>0</v>
      </c>
      <c r="I80" s="2088"/>
      <c r="J80" s="1435" t="s">
        <v>3371</v>
      </c>
      <c r="K80" s="946"/>
      <c r="L80" s="946"/>
      <c r="M80" s="946"/>
    </row>
    <row r="81" spans="1:13" ht="15.75" x14ac:dyDescent="0.2">
      <c r="A81" s="952" t="s">
        <v>1031</v>
      </c>
      <c r="B81" s="14" t="e">
        <f>(B63+B66-B47)/B25</f>
        <v>#DIV/0!</v>
      </c>
      <c r="C81" s="14">
        <f>(C63+C66-C47)/C25</f>
        <v>-92.110503390574493</v>
      </c>
      <c r="D81" s="14">
        <f>(D63+D66-D47)/D25</f>
        <v>12.234738235047187</v>
      </c>
      <c r="E81" s="14" t="e">
        <f>(E63+E66-E47)/E25</f>
        <v>#DIV/0!</v>
      </c>
      <c r="F81" s="388">
        <f t="shared" si="15"/>
        <v>0</v>
      </c>
      <c r="G81" s="388">
        <f t="shared" si="15"/>
        <v>-8.5286043412615147</v>
      </c>
      <c r="H81" s="388">
        <f t="shared" si="16"/>
        <v>0</v>
      </c>
      <c r="I81" s="2088"/>
      <c r="J81" s="1435" t="s">
        <v>3372</v>
      </c>
      <c r="K81" s="946"/>
      <c r="L81" s="946"/>
      <c r="M81" s="946"/>
    </row>
    <row r="82" spans="1:13" ht="15.75" x14ac:dyDescent="0.2">
      <c r="A82" s="952" t="s">
        <v>29</v>
      </c>
      <c r="B82" s="14" t="e">
        <f>B29/B31</f>
        <v>#DIV/0!</v>
      </c>
      <c r="C82" s="14">
        <f>C29/C31</f>
        <v>-0.54726502110341269</v>
      </c>
      <c r="D82" s="14">
        <f>D29/D31</f>
        <v>0.58064170785861768</v>
      </c>
      <c r="E82" s="14" t="e">
        <f>E29/E31</f>
        <v>#DIV/0!</v>
      </c>
      <c r="F82" s="388">
        <f t="shared" si="15"/>
        <v>0</v>
      </c>
      <c r="G82" s="388">
        <f t="shared" si="15"/>
        <v>-1.9425175864849653</v>
      </c>
      <c r="H82" s="388">
        <f t="shared" si="16"/>
        <v>0</v>
      </c>
      <c r="I82" s="2088"/>
      <c r="J82" s="1435" t="s">
        <v>3373</v>
      </c>
      <c r="K82" s="946"/>
      <c r="L82" s="946"/>
      <c r="M82" s="946"/>
    </row>
    <row r="83" spans="1:13" ht="15.75" x14ac:dyDescent="0.2">
      <c r="A83" s="952" t="s">
        <v>1857</v>
      </c>
      <c r="B83" s="14" t="e">
        <f>(B37+B27+B28)/(B63+B68)</f>
        <v>#DIV/0!</v>
      </c>
      <c r="C83" s="14">
        <f>(C37+C27+C28)/(C63+C68)</f>
        <v>-7.5879854844799102E-2</v>
      </c>
      <c r="D83" s="14">
        <f t="shared" ref="D83:E83" si="19">(D37+D27+D28)/(D63+D68)</f>
        <v>-4.4469089810809043E-3</v>
      </c>
      <c r="E83" s="14" t="e">
        <f t="shared" si="19"/>
        <v>#DIV/0!</v>
      </c>
      <c r="F83" s="388">
        <f t="shared" si="15"/>
        <v>0</v>
      </c>
      <c r="G83" s="388">
        <f t="shared" si="15"/>
        <v>16.06350527245446</v>
      </c>
      <c r="H83" s="388">
        <f t="shared" si="16"/>
        <v>0</v>
      </c>
      <c r="I83" s="2088"/>
      <c r="J83" s="1435" t="s">
        <v>3374</v>
      </c>
      <c r="K83" s="946"/>
      <c r="L83" s="946"/>
      <c r="M83" s="946"/>
    </row>
    <row r="84" spans="1:13" ht="15.75" x14ac:dyDescent="0.2">
      <c r="A84" s="952" t="s">
        <v>67</v>
      </c>
      <c r="B84" s="14" t="e">
        <f>B59/B52</f>
        <v>#DIV/0!</v>
      </c>
      <c r="C84" s="14">
        <f>C59/C52</f>
        <v>0.21998281679889437</v>
      </c>
      <c r="D84" s="14">
        <f>D59/D52</f>
        <v>0.14714534904962742</v>
      </c>
      <c r="E84" s="14" t="e">
        <f>E59/E52</f>
        <v>#DIV/0!</v>
      </c>
      <c r="F84" s="388">
        <f t="shared" si="15"/>
        <v>0</v>
      </c>
      <c r="G84" s="388">
        <f t="shared" si="15"/>
        <v>0.49500353371482503</v>
      </c>
      <c r="H84" s="388">
        <f t="shared" si="16"/>
        <v>0</v>
      </c>
      <c r="I84" s="2088"/>
      <c r="J84" s="1435" t="s">
        <v>3375</v>
      </c>
      <c r="K84" s="946"/>
      <c r="L84" s="946"/>
      <c r="M84" s="946"/>
    </row>
    <row r="85" spans="1:13" ht="15.75" x14ac:dyDescent="0.2">
      <c r="A85" s="952" t="s">
        <v>31</v>
      </c>
      <c r="B85" s="2" t="e">
        <f>(B44*365)/(B17+B18)</f>
        <v>#DIV/0!</v>
      </c>
      <c r="C85" s="2">
        <f t="shared" ref="C85:E85" si="20">(C44*365)/(C17+C18)</f>
        <v>209.9865911255649</v>
      </c>
      <c r="D85" s="2">
        <f t="shared" si="20"/>
        <v>222.42882681729446</v>
      </c>
      <c r="E85" s="2" t="e">
        <f t="shared" si="20"/>
        <v>#DIV/0!</v>
      </c>
      <c r="F85" s="388">
        <f t="shared" si="15"/>
        <v>0</v>
      </c>
      <c r="G85" s="388">
        <f t="shared" si="15"/>
        <v>-5.5938053847443776E-2</v>
      </c>
      <c r="H85" s="388">
        <f t="shared" si="16"/>
        <v>0</v>
      </c>
      <c r="I85" s="2088"/>
      <c r="J85" s="1435" t="s">
        <v>3376</v>
      </c>
      <c r="K85" s="946"/>
      <c r="L85" s="946"/>
      <c r="M85" s="946"/>
    </row>
    <row r="86" spans="1:13" ht="15.75" x14ac:dyDescent="0.2">
      <c r="A86" s="952" t="s">
        <v>32</v>
      </c>
      <c r="B86" s="2" t="e">
        <f>(B46*365)/B11</f>
        <v>#DIV/0!</v>
      </c>
      <c r="C86" s="2">
        <f>(C46*365)/C11</f>
        <v>51.94006158136343</v>
      </c>
      <c r="D86" s="2">
        <f>(D46*365)/D11</f>
        <v>43.470307050819727</v>
      </c>
      <c r="E86" s="2" t="e">
        <f>(E46*365)/E11</f>
        <v>#DIV/0!</v>
      </c>
      <c r="F86" s="388">
        <f t="shared" si="15"/>
        <v>0</v>
      </c>
      <c r="G86" s="388">
        <f t="shared" si="15"/>
        <v>0.19483999780912492</v>
      </c>
      <c r="H86" s="388">
        <f t="shared" si="16"/>
        <v>0</v>
      </c>
      <c r="I86" s="2088"/>
      <c r="J86" s="1435" t="s">
        <v>3377</v>
      </c>
      <c r="K86" s="946"/>
      <c r="L86" s="946"/>
      <c r="M86" s="946"/>
    </row>
    <row r="87" spans="1:13" ht="15.75" x14ac:dyDescent="0.2">
      <c r="A87" s="952" t="s">
        <v>33</v>
      </c>
      <c r="B87" s="2" t="e">
        <f>(B65*365)/(B17+B18)</f>
        <v>#DIV/0!</v>
      </c>
      <c r="C87" s="2">
        <f>(C65*365)/(C17+C18)</f>
        <v>39.446423847904548</v>
      </c>
      <c r="D87" s="2">
        <f>(D65*365)/(D17+D18)</f>
        <v>62.024867450300441</v>
      </c>
      <c r="E87" s="2" t="e">
        <f>(E65*365)/(E17+E18)</f>
        <v>#DIV/0!</v>
      </c>
      <c r="F87" s="388">
        <f t="shared" si="15"/>
        <v>0</v>
      </c>
      <c r="G87" s="388">
        <f t="shared" si="15"/>
        <v>-0.36402244020090246</v>
      </c>
      <c r="H87" s="388">
        <f t="shared" si="16"/>
        <v>0</v>
      </c>
      <c r="I87" s="2088"/>
      <c r="J87" s="1435" t="s">
        <v>3378</v>
      </c>
      <c r="K87" s="946"/>
      <c r="L87" s="946"/>
      <c r="M87" s="946"/>
    </row>
    <row r="88" spans="1:13" ht="15.75" x14ac:dyDescent="0.2">
      <c r="A88" s="952" t="s">
        <v>34</v>
      </c>
      <c r="B88" s="2" t="e">
        <f>B85+B86-B87</f>
        <v>#DIV/0!</v>
      </c>
      <c r="C88" s="2">
        <f>C85+C86-C87</f>
        <v>222.48022885902378</v>
      </c>
      <c r="D88" s="2">
        <f>D85+D86-D87</f>
        <v>203.87426641781374</v>
      </c>
      <c r="E88" s="2" t="e">
        <f>E85+E86-E87</f>
        <v>#DIV/0!</v>
      </c>
      <c r="F88" s="388">
        <f t="shared" si="15"/>
        <v>0</v>
      </c>
      <c r="G88" s="388">
        <f t="shared" si="15"/>
        <v>9.126194672887035E-2</v>
      </c>
      <c r="H88" s="388">
        <f t="shared" si="16"/>
        <v>0</v>
      </c>
      <c r="I88" s="2088"/>
      <c r="J88" s="1435" t="s">
        <v>3379</v>
      </c>
      <c r="K88" s="946"/>
      <c r="L88" s="946"/>
      <c r="M88" s="946"/>
    </row>
    <row r="89" spans="1:13" ht="15.75" x14ac:dyDescent="0.2">
      <c r="A89" s="952" t="s">
        <v>2017</v>
      </c>
      <c r="B89" s="2" t="e">
        <f>(B88/365)*B11*75%</f>
        <v>#DIV/0!</v>
      </c>
      <c r="C89" s="2">
        <f>(C88/365)*C11*75%</f>
        <v>31042942.109133959</v>
      </c>
      <c r="D89" s="2">
        <f t="shared" ref="D89:E89" si="21">(D88/365)*D11*75%</f>
        <v>32654860.414512508</v>
      </c>
      <c r="E89" s="2" t="e">
        <f t="shared" si="21"/>
        <v>#DIV/0!</v>
      </c>
      <c r="F89" s="388">
        <f t="shared" ref="F89:G89" si="22">IF(ISERROR((B89-C89)/C89),0,(B89-C89)/C89)</f>
        <v>0</v>
      </c>
      <c r="G89" s="388">
        <f t="shared" si="22"/>
        <v>-4.9362278231089247E-2</v>
      </c>
      <c r="H89" s="388">
        <f t="shared" ref="H89" si="23">IF(ISERROR((D89-E89)/E89),0,(D89-E89)/E89)</f>
        <v>0</v>
      </c>
      <c r="I89" s="2088"/>
      <c r="J89" s="1435" t="s">
        <v>3380</v>
      </c>
      <c r="K89" s="946"/>
      <c r="L89" s="946"/>
      <c r="M89" s="946"/>
    </row>
    <row r="90" spans="1:13" ht="15.75" x14ac:dyDescent="0.2">
      <c r="A90" s="952" t="s">
        <v>2018</v>
      </c>
      <c r="B90" s="2" t="e">
        <f>(B88/365)*B11</f>
        <v>#DIV/0!</v>
      </c>
      <c r="C90" s="2">
        <f>(C88/365)*C11</f>
        <v>41390589.478845276</v>
      </c>
      <c r="D90" s="2">
        <f t="shared" ref="D90:E90" si="24">(D88/365)*D11</f>
        <v>43539813.886016674</v>
      </c>
      <c r="E90" s="2" t="e">
        <f t="shared" si="24"/>
        <v>#DIV/0!</v>
      </c>
      <c r="F90" s="388">
        <f t="shared" ref="F90:G90" si="25">IF(ISERROR((B90-C90)/C90),0,(B90-C90)/C90)</f>
        <v>0</v>
      </c>
      <c r="G90" s="388">
        <f t="shared" si="25"/>
        <v>-4.9362278231089254E-2</v>
      </c>
      <c r="H90" s="388">
        <f t="shared" ref="H90" si="26">IF(ISERROR((D90-E90)/E90),0,(D90-E90)/E90)</f>
        <v>0</v>
      </c>
      <c r="I90" s="2088"/>
      <c r="J90" s="1435" t="s">
        <v>3381</v>
      </c>
      <c r="K90" s="946"/>
      <c r="L90" s="946"/>
      <c r="M90" s="946"/>
    </row>
    <row r="91" spans="1:13" ht="15.75" x14ac:dyDescent="0.2">
      <c r="A91" s="962" t="s">
        <v>187</v>
      </c>
      <c r="B91" s="1"/>
      <c r="C91" s="1"/>
      <c r="D91" s="1"/>
      <c r="E91" s="1"/>
      <c r="F91" s="49">
        <f t="shared" ref="F91:G92" si="27">IF(ISERROR((B91-C91)/C91),0,(B91-C91)/C91)</f>
        <v>0</v>
      </c>
      <c r="G91" s="49">
        <f t="shared" si="27"/>
        <v>0</v>
      </c>
      <c r="H91" s="49">
        <f t="shared" ref="H91:H92" si="28">IF(ISERROR((D91-E91)/E91),0,(D91-E91)/E91)</f>
        <v>0</v>
      </c>
      <c r="I91" s="2089"/>
      <c r="J91" s="1435" t="s">
        <v>3382</v>
      </c>
      <c r="K91" s="946"/>
      <c r="L91" s="946"/>
      <c r="M91" s="946"/>
    </row>
    <row r="92" spans="1:13" ht="15.75" x14ac:dyDescent="0.2">
      <c r="A92" s="952" t="s">
        <v>3124</v>
      </c>
      <c r="B92" s="2" t="e">
        <f>B89-B91</f>
        <v>#DIV/0!</v>
      </c>
      <c r="C92" s="2">
        <f t="shared" ref="C92:E92" si="29">C89-C91</f>
        <v>31042942.109133959</v>
      </c>
      <c r="D92" s="2">
        <f t="shared" si="29"/>
        <v>32654860.414512508</v>
      </c>
      <c r="E92" s="2" t="e">
        <f t="shared" si="29"/>
        <v>#DIV/0!</v>
      </c>
      <c r="F92" s="388">
        <f t="shared" si="27"/>
        <v>0</v>
      </c>
      <c r="G92" s="388">
        <f t="shared" si="27"/>
        <v>-4.9362278231089247E-2</v>
      </c>
      <c r="H92" s="388">
        <f t="shared" si="28"/>
        <v>0</v>
      </c>
      <c r="I92" s="899"/>
      <c r="J92" s="1435" t="s">
        <v>3383</v>
      </c>
      <c r="K92" s="946"/>
      <c r="L92" s="946"/>
      <c r="M92" s="946"/>
    </row>
    <row r="93" spans="1:13" ht="15.75" x14ac:dyDescent="0.2">
      <c r="A93" s="51" t="s">
        <v>530</v>
      </c>
      <c r="B93" s="668"/>
      <c r="C93" s="2090"/>
      <c r="D93" s="2091"/>
      <c r="E93" s="2091"/>
      <c r="F93" s="2091"/>
      <c r="G93" s="2091"/>
      <c r="H93" s="2091"/>
      <c r="I93" s="2092"/>
      <c r="K93" s="946"/>
      <c r="L93" s="946"/>
      <c r="M93" s="946"/>
    </row>
    <row r="94" spans="1:13" ht="65.25" customHeight="1" thickBot="1" x14ac:dyDescent="0.25">
      <c r="A94" s="94" t="s">
        <v>53</v>
      </c>
      <c r="B94" s="669"/>
      <c r="C94" s="2063" t="s">
        <v>610</v>
      </c>
      <c r="D94" s="2064"/>
      <c r="E94" s="2064"/>
      <c r="F94" s="2064"/>
      <c r="G94" s="2064"/>
      <c r="H94" s="2064"/>
      <c r="I94" s="2065"/>
      <c r="K94" s="946"/>
      <c r="L94" s="946"/>
      <c r="M94" s="946"/>
    </row>
    <row r="95" spans="1:13" ht="30" customHeight="1" x14ac:dyDescent="0.2">
      <c r="A95" s="941"/>
      <c r="B95" s="941"/>
      <c r="C95" s="941"/>
      <c r="D95" s="941"/>
      <c r="E95" s="941"/>
      <c r="F95" s="941"/>
      <c r="G95" s="941"/>
      <c r="H95" s="941"/>
      <c r="I95" s="941"/>
      <c r="K95" s="941"/>
      <c r="L95" s="941"/>
      <c r="M95" s="941"/>
    </row>
    <row r="96" spans="1:13" ht="30" customHeight="1" x14ac:dyDescent="0.2">
      <c r="A96" s="941"/>
      <c r="B96" s="941"/>
      <c r="C96" s="941"/>
      <c r="D96" s="941"/>
      <c r="E96" s="941"/>
      <c r="F96" s="941"/>
      <c r="G96" s="941"/>
      <c r="H96" s="941"/>
      <c r="I96" s="941"/>
      <c r="K96" s="941"/>
      <c r="L96" s="941"/>
      <c r="M96" s="941"/>
    </row>
    <row r="97" spans="1:13" ht="30" customHeight="1" x14ac:dyDescent="0.2">
      <c r="A97" s="941"/>
      <c r="B97" s="941"/>
      <c r="C97" s="941"/>
      <c r="D97" s="941"/>
      <c r="E97" s="941"/>
      <c r="F97" s="941"/>
      <c r="G97" s="941"/>
      <c r="H97" s="941"/>
      <c r="I97" s="941"/>
      <c r="K97" s="941"/>
      <c r="L97" s="941"/>
      <c r="M97" s="941"/>
    </row>
  </sheetData>
  <sheetProtection algorithmName="SHA-512" hashValue="mAciBuj6S14sXoS6dhd8hrtFrFqnaB+bXNEM6LdZPtb9W0vIwgo8OmU33AoNTKJDOKaDpvoWuDq2SIrsQcNmog==" saltValue="VkZ2mMf7AL1AnUEO30WNnQ==" spinCount="100000" sheet="1" formatCells="0" formatColumns="0" formatRows="0" insertColumns="0" insertRows="0" insertHyperlinks="0" deleteColumns="0" deleteRows="0" autoFilter="0"/>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18" priority="10" operator="equal">
      <formula>"True"</formula>
    </cfRule>
    <cfRule type="cellIs" dxfId="317" priority="11" operator="equal">
      <formula>"False"</formula>
    </cfRule>
    <cfRule type="cellIs" dxfId="316" priority="12" operator="equal">
      <formula>"Pending"</formula>
    </cfRule>
  </conditionalFormatting>
  <conditionalFormatting sqref="B72">
    <cfRule type="cellIs" dxfId="315" priority="1" operator="equal">
      <formula>"True"</formula>
    </cfRule>
    <cfRule type="cellIs" dxfId="314" priority="2" operator="equal">
      <formula>"False"</formula>
    </cfRule>
    <cfRule type="cellIs" dxfId="313" priority="3" operator="equal">
      <formula>"Pending"</formula>
    </cfRule>
  </conditionalFormatting>
  <dataValidations count="2">
    <dataValidation type="list" allowBlank="1" showInputMessage="1" showErrorMessage="1" sqref="C8:E8" xr:uid="{00000000-0002-0000-1500-000000000000}">
      <formula1>"Audited,Unaudited,Provisional,Projection"</formula1>
    </dataValidation>
    <dataValidation type="list" allowBlank="1" showInputMessage="1" showErrorMessage="1" sqref="B8" xr:uid="{AEA8E13F-56DF-4FEA-88A1-E20085D833E5}">
      <formula1>"Provisional,Projection"</formula1>
    </dataValidation>
  </dataValidations>
  <pageMargins left="0.25" right="0.24" top="0.75" bottom="0.75" header="0.3" footer="0.3"/>
  <pageSetup paperSize="9" scale="41"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colBreaks count="1" manualBreakCount="1">
    <brk id="10" max="1048575" man="1"/>
  </colBreaks>
  <ignoredErrors>
    <ignoredError sqref="D21:E21 C26:E26 C29:E30 C32:E33 C84:E84 C37:E38 C74:E76 C79:E82 E28 C86:E86 C88:E88"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1000000}">
          <x14:formula1>
            <xm:f>'Industry Margins'!$P$3:$P$153</xm:f>
          </x14:formula1>
          <xm:sqref>I4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G92"/>
  <sheetViews>
    <sheetView workbookViewId="0">
      <selection activeCell="G1" sqref="G1:G1048576"/>
    </sheetView>
  </sheetViews>
  <sheetFormatPr defaultRowHeight="12.75" x14ac:dyDescent="0.2"/>
  <cols>
    <col min="1" max="1" width="11.5703125" style="868" customWidth="1"/>
    <col min="2" max="2" width="45.5703125" style="868" customWidth="1"/>
    <col min="3" max="6" width="16.5703125" style="868" customWidth="1"/>
    <col min="7" max="256" width="9.140625" style="868"/>
    <col min="257" max="257" width="20" style="868" bestFit="1" customWidth="1"/>
    <col min="258" max="258" width="60" style="868" bestFit="1" customWidth="1"/>
    <col min="259" max="261" width="30" style="868" bestFit="1" customWidth="1"/>
    <col min="262" max="512" width="9.140625" style="868"/>
    <col min="513" max="513" width="20" style="868" bestFit="1" customWidth="1"/>
    <col min="514" max="514" width="60" style="868" bestFit="1" customWidth="1"/>
    <col min="515" max="517" width="30" style="868" bestFit="1" customWidth="1"/>
    <col min="518" max="768" width="9.140625" style="868"/>
    <col min="769" max="769" width="20" style="868" bestFit="1" customWidth="1"/>
    <col min="770" max="770" width="60" style="868" bestFit="1" customWidth="1"/>
    <col min="771" max="773" width="30" style="868" bestFit="1" customWidth="1"/>
    <col min="774" max="1024" width="9.140625" style="868"/>
    <col min="1025" max="1025" width="20" style="868" bestFit="1" customWidth="1"/>
    <col min="1026" max="1026" width="60" style="868" bestFit="1" customWidth="1"/>
    <col min="1027" max="1029" width="30" style="868" bestFit="1" customWidth="1"/>
    <col min="1030" max="1280" width="9.140625" style="868"/>
    <col min="1281" max="1281" width="20" style="868" bestFit="1" customWidth="1"/>
    <col min="1282" max="1282" width="60" style="868" bestFit="1" customWidth="1"/>
    <col min="1283" max="1285" width="30" style="868" bestFit="1" customWidth="1"/>
    <col min="1286" max="1536" width="9.140625" style="868"/>
    <col min="1537" max="1537" width="20" style="868" bestFit="1" customWidth="1"/>
    <col min="1538" max="1538" width="60" style="868" bestFit="1" customWidth="1"/>
    <col min="1539" max="1541" width="30" style="868" bestFit="1" customWidth="1"/>
    <col min="1542" max="1792" width="9.140625" style="868"/>
    <col min="1793" max="1793" width="20" style="868" bestFit="1" customWidth="1"/>
    <col min="1794" max="1794" width="60" style="868" bestFit="1" customWidth="1"/>
    <col min="1795" max="1797" width="30" style="868" bestFit="1" customWidth="1"/>
    <col min="1798" max="2048" width="9.140625" style="868"/>
    <col min="2049" max="2049" width="20" style="868" bestFit="1" customWidth="1"/>
    <col min="2050" max="2050" width="60" style="868" bestFit="1" customWidth="1"/>
    <col min="2051" max="2053" width="30" style="868" bestFit="1" customWidth="1"/>
    <col min="2054" max="2304" width="9.140625" style="868"/>
    <col min="2305" max="2305" width="20" style="868" bestFit="1" customWidth="1"/>
    <col min="2306" max="2306" width="60" style="868" bestFit="1" customWidth="1"/>
    <col min="2307" max="2309" width="30" style="868" bestFit="1" customWidth="1"/>
    <col min="2310" max="2560" width="9.140625" style="868"/>
    <col min="2561" max="2561" width="20" style="868" bestFit="1" customWidth="1"/>
    <col min="2562" max="2562" width="60" style="868" bestFit="1" customWidth="1"/>
    <col min="2563" max="2565" width="30" style="868" bestFit="1" customWidth="1"/>
    <col min="2566" max="2816" width="9.140625" style="868"/>
    <col min="2817" max="2817" width="20" style="868" bestFit="1" customWidth="1"/>
    <col min="2818" max="2818" width="60" style="868" bestFit="1" customWidth="1"/>
    <col min="2819" max="2821" width="30" style="868" bestFit="1" customWidth="1"/>
    <col min="2822" max="3072" width="9.140625" style="868"/>
    <col min="3073" max="3073" width="20" style="868" bestFit="1" customWidth="1"/>
    <col min="3074" max="3074" width="60" style="868" bestFit="1" customWidth="1"/>
    <col min="3075" max="3077" width="30" style="868" bestFit="1" customWidth="1"/>
    <col min="3078" max="3328" width="9.140625" style="868"/>
    <col min="3329" max="3329" width="20" style="868" bestFit="1" customWidth="1"/>
    <col min="3330" max="3330" width="60" style="868" bestFit="1" customWidth="1"/>
    <col min="3331" max="3333" width="30" style="868" bestFit="1" customWidth="1"/>
    <col min="3334" max="3584" width="9.140625" style="868"/>
    <col min="3585" max="3585" width="20" style="868" bestFit="1" customWidth="1"/>
    <col min="3586" max="3586" width="60" style="868" bestFit="1" customWidth="1"/>
    <col min="3587" max="3589" width="30" style="868" bestFit="1" customWidth="1"/>
    <col min="3590" max="3840" width="9.140625" style="868"/>
    <col min="3841" max="3841" width="20" style="868" bestFit="1" customWidth="1"/>
    <col min="3842" max="3842" width="60" style="868" bestFit="1" customWidth="1"/>
    <col min="3843" max="3845" width="30" style="868" bestFit="1" customWidth="1"/>
    <col min="3846" max="4096" width="9.140625" style="868"/>
    <col min="4097" max="4097" width="20" style="868" bestFit="1" customWidth="1"/>
    <col min="4098" max="4098" width="60" style="868" bestFit="1" customWidth="1"/>
    <col min="4099" max="4101" width="30" style="868" bestFit="1" customWidth="1"/>
    <col min="4102" max="4352" width="9.140625" style="868"/>
    <col min="4353" max="4353" width="20" style="868" bestFit="1" customWidth="1"/>
    <col min="4354" max="4354" width="60" style="868" bestFit="1" customWidth="1"/>
    <col min="4355" max="4357" width="30" style="868" bestFit="1" customWidth="1"/>
    <col min="4358" max="4608" width="9.140625" style="868"/>
    <col min="4609" max="4609" width="20" style="868" bestFit="1" customWidth="1"/>
    <col min="4610" max="4610" width="60" style="868" bestFit="1" customWidth="1"/>
    <col min="4611" max="4613" width="30" style="868" bestFit="1" customWidth="1"/>
    <col min="4614" max="4864" width="9.140625" style="868"/>
    <col min="4865" max="4865" width="20" style="868" bestFit="1" customWidth="1"/>
    <col min="4866" max="4866" width="60" style="868" bestFit="1" customWidth="1"/>
    <col min="4867" max="4869" width="30" style="868" bestFit="1" customWidth="1"/>
    <col min="4870" max="5120" width="9.140625" style="868"/>
    <col min="5121" max="5121" width="20" style="868" bestFit="1" customWidth="1"/>
    <col min="5122" max="5122" width="60" style="868" bestFit="1" customWidth="1"/>
    <col min="5123" max="5125" width="30" style="868" bestFit="1" customWidth="1"/>
    <col min="5126" max="5376" width="9.140625" style="868"/>
    <col min="5377" max="5377" width="20" style="868" bestFit="1" customWidth="1"/>
    <col min="5378" max="5378" width="60" style="868" bestFit="1" customWidth="1"/>
    <col min="5379" max="5381" width="30" style="868" bestFit="1" customWidth="1"/>
    <col min="5382" max="5632" width="9.140625" style="868"/>
    <col min="5633" max="5633" width="20" style="868" bestFit="1" customWidth="1"/>
    <col min="5634" max="5634" width="60" style="868" bestFit="1" customWidth="1"/>
    <col min="5635" max="5637" width="30" style="868" bestFit="1" customWidth="1"/>
    <col min="5638" max="5888" width="9.140625" style="868"/>
    <col min="5889" max="5889" width="20" style="868" bestFit="1" customWidth="1"/>
    <col min="5890" max="5890" width="60" style="868" bestFit="1" customWidth="1"/>
    <col min="5891" max="5893" width="30" style="868" bestFit="1" customWidth="1"/>
    <col min="5894" max="6144" width="9.140625" style="868"/>
    <col min="6145" max="6145" width="20" style="868" bestFit="1" customWidth="1"/>
    <col min="6146" max="6146" width="60" style="868" bestFit="1" customWidth="1"/>
    <col min="6147" max="6149" width="30" style="868" bestFit="1" customWidth="1"/>
    <col min="6150" max="6400" width="9.140625" style="868"/>
    <col min="6401" max="6401" width="20" style="868" bestFit="1" customWidth="1"/>
    <col min="6402" max="6402" width="60" style="868" bestFit="1" customWidth="1"/>
    <col min="6403" max="6405" width="30" style="868" bestFit="1" customWidth="1"/>
    <col min="6406" max="6656" width="9.140625" style="868"/>
    <col min="6657" max="6657" width="20" style="868" bestFit="1" customWidth="1"/>
    <col min="6658" max="6658" width="60" style="868" bestFit="1" customWidth="1"/>
    <col min="6659" max="6661" width="30" style="868" bestFit="1" customWidth="1"/>
    <col min="6662" max="6912" width="9.140625" style="868"/>
    <col min="6913" max="6913" width="20" style="868" bestFit="1" customWidth="1"/>
    <col min="6914" max="6914" width="60" style="868" bestFit="1" customWidth="1"/>
    <col min="6915" max="6917" width="30" style="868" bestFit="1" customWidth="1"/>
    <col min="6918" max="7168" width="9.140625" style="868"/>
    <col min="7169" max="7169" width="20" style="868" bestFit="1" customWidth="1"/>
    <col min="7170" max="7170" width="60" style="868" bestFit="1" customWidth="1"/>
    <col min="7171" max="7173" width="30" style="868" bestFit="1" customWidth="1"/>
    <col min="7174" max="7424" width="9.140625" style="868"/>
    <col min="7425" max="7425" width="20" style="868" bestFit="1" customWidth="1"/>
    <col min="7426" max="7426" width="60" style="868" bestFit="1" customWidth="1"/>
    <col min="7427" max="7429" width="30" style="868" bestFit="1" customWidth="1"/>
    <col min="7430" max="7680" width="9.140625" style="868"/>
    <col min="7681" max="7681" width="20" style="868" bestFit="1" customWidth="1"/>
    <col min="7682" max="7682" width="60" style="868" bestFit="1" customWidth="1"/>
    <col min="7683" max="7685" width="30" style="868" bestFit="1" customWidth="1"/>
    <col min="7686" max="7936" width="9.140625" style="868"/>
    <col min="7937" max="7937" width="20" style="868" bestFit="1" customWidth="1"/>
    <col min="7938" max="7938" width="60" style="868" bestFit="1" customWidth="1"/>
    <col min="7939" max="7941" width="30" style="868" bestFit="1" customWidth="1"/>
    <col min="7942" max="8192" width="9.140625" style="868"/>
    <col min="8193" max="8193" width="20" style="868" bestFit="1" customWidth="1"/>
    <col min="8194" max="8194" width="60" style="868" bestFit="1" customWidth="1"/>
    <col min="8195" max="8197" width="30" style="868" bestFit="1" customWidth="1"/>
    <col min="8198" max="8448" width="9.140625" style="868"/>
    <col min="8449" max="8449" width="20" style="868" bestFit="1" customWidth="1"/>
    <col min="8450" max="8450" width="60" style="868" bestFit="1" customWidth="1"/>
    <col min="8451" max="8453" width="30" style="868" bestFit="1" customWidth="1"/>
    <col min="8454" max="8704" width="9.140625" style="868"/>
    <col min="8705" max="8705" width="20" style="868" bestFit="1" customWidth="1"/>
    <col min="8706" max="8706" width="60" style="868" bestFit="1" customWidth="1"/>
    <col min="8707" max="8709" width="30" style="868" bestFit="1" customWidth="1"/>
    <col min="8710" max="8960" width="9.140625" style="868"/>
    <col min="8961" max="8961" width="20" style="868" bestFit="1" customWidth="1"/>
    <col min="8962" max="8962" width="60" style="868" bestFit="1" customWidth="1"/>
    <col min="8963" max="8965" width="30" style="868" bestFit="1" customWidth="1"/>
    <col min="8966" max="9216" width="9.140625" style="868"/>
    <col min="9217" max="9217" width="20" style="868" bestFit="1" customWidth="1"/>
    <col min="9218" max="9218" width="60" style="868" bestFit="1" customWidth="1"/>
    <col min="9219" max="9221" width="30" style="868" bestFit="1" customWidth="1"/>
    <col min="9222" max="9472" width="9.140625" style="868"/>
    <col min="9473" max="9473" width="20" style="868" bestFit="1" customWidth="1"/>
    <col min="9474" max="9474" width="60" style="868" bestFit="1" customWidth="1"/>
    <col min="9475" max="9477" width="30" style="868" bestFit="1" customWidth="1"/>
    <col min="9478" max="9728" width="9.140625" style="868"/>
    <col min="9729" max="9729" width="20" style="868" bestFit="1" customWidth="1"/>
    <col min="9730" max="9730" width="60" style="868" bestFit="1" customWidth="1"/>
    <col min="9731" max="9733" width="30" style="868" bestFit="1" customWidth="1"/>
    <col min="9734" max="9984" width="9.140625" style="868"/>
    <col min="9985" max="9985" width="20" style="868" bestFit="1" customWidth="1"/>
    <col min="9986" max="9986" width="60" style="868" bestFit="1" customWidth="1"/>
    <col min="9987" max="9989" width="30" style="868" bestFit="1" customWidth="1"/>
    <col min="9990" max="10240" width="9.140625" style="868"/>
    <col min="10241" max="10241" width="20" style="868" bestFit="1" customWidth="1"/>
    <col min="10242" max="10242" width="60" style="868" bestFit="1" customWidth="1"/>
    <col min="10243" max="10245" width="30" style="868" bestFit="1" customWidth="1"/>
    <col min="10246" max="10496" width="9.140625" style="868"/>
    <col min="10497" max="10497" width="20" style="868" bestFit="1" customWidth="1"/>
    <col min="10498" max="10498" width="60" style="868" bestFit="1" customWidth="1"/>
    <col min="10499" max="10501" width="30" style="868" bestFit="1" customWidth="1"/>
    <col min="10502" max="10752" width="9.140625" style="868"/>
    <col min="10753" max="10753" width="20" style="868" bestFit="1" customWidth="1"/>
    <col min="10754" max="10754" width="60" style="868" bestFit="1" customWidth="1"/>
    <col min="10755" max="10757" width="30" style="868" bestFit="1" customWidth="1"/>
    <col min="10758" max="11008" width="9.140625" style="868"/>
    <col min="11009" max="11009" width="20" style="868" bestFit="1" customWidth="1"/>
    <col min="11010" max="11010" width="60" style="868" bestFit="1" customWidth="1"/>
    <col min="11011" max="11013" width="30" style="868" bestFit="1" customWidth="1"/>
    <col min="11014" max="11264" width="9.140625" style="868"/>
    <col min="11265" max="11265" width="20" style="868" bestFit="1" customWidth="1"/>
    <col min="11266" max="11266" width="60" style="868" bestFit="1" customWidth="1"/>
    <col min="11267" max="11269" width="30" style="868" bestFit="1" customWidth="1"/>
    <col min="11270" max="11520" width="9.140625" style="868"/>
    <col min="11521" max="11521" width="20" style="868" bestFit="1" customWidth="1"/>
    <col min="11522" max="11522" width="60" style="868" bestFit="1" customWidth="1"/>
    <col min="11523" max="11525" width="30" style="868" bestFit="1" customWidth="1"/>
    <col min="11526" max="11776" width="9.140625" style="868"/>
    <col min="11777" max="11777" width="20" style="868" bestFit="1" customWidth="1"/>
    <col min="11778" max="11778" width="60" style="868" bestFit="1" customWidth="1"/>
    <col min="11779" max="11781" width="30" style="868" bestFit="1" customWidth="1"/>
    <col min="11782" max="12032" width="9.140625" style="868"/>
    <col min="12033" max="12033" width="20" style="868" bestFit="1" customWidth="1"/>
    <col min="12034" max="12034" width="60" style="868" bestFit="1" customWidth="1"/>
    <col min="12035" max="12037" width="30" style="868" bestFit="1" customWidth="1"/>
    <col min="12038" max="12288" width="9.140625" style="868"/>
    <col min="12289" max="12289" width="20" style="868" bestFit="1" customWidth="1"/>
    <col min="12290" max="12290" width="60" style="868" bestFit="1" customWidth="1"/>
    <col min="12291" max="12293" width="30" style="868" bestFit="1" customWidth="1"/>
    <col min="12294" max="12544" width="9.140625" style="868"/>
    <col min="12545" max="12545" width="20" style="868" bestFit="1" customWidth="1"/>
    <col min="12546" max="12546" width="60" style="868" bestFit="1" customWidth="1"/>
    <col min="12547" max="12549" width="30" style="868" bestFit="1" customWidth="1"/>
    <col min="12550" max="12800" width="9.140625" style="868"/>
    <col min="12801" max="12801" width="20" style="868" bestFit="1" customWidth="1"/>
    <col min="12802" max="12802" width="60" style="868" bestFit="1" customWidth="1"/>
    <col min="12803" max="12805" width="30" style="868" bestFit="1" customWidth="1"/>
    <col min="12806" max="13056" width="9.140625" style="868"/>
    <col min="13057" max="13057" width="20" style="868" bestFit="1" customWidth="1"/>
    <col min="13058" max="13058" width="60" style="868" bestFit="1" customWidth="1"/>
    <col min="13059" max="13061" width="30" style="868" bestFit="1" customWidth="1"/>
    <col min="13062" max="13312" width="9.140625" style="868"/>
    <col min="13313" max="13313" width="20" style="868" bestFit="1" customWidth="1"/>
    <col min="13314" max="13314" width="60" style="868" bestFit="1" customWidth="1"/>
    <col min="13315" max="13317" width="30" style="868" bestFit="1" customWidth="1"/>
    <col min="13318" max="13568" width="9.140625" style="868"/>
    <col min="13569" max="13569" width="20" style="868" bestFit="1" customWidth="1"/>
    <col min="13570" max="13570" width="60" style="868" bestFit="1" customWidth="1"/>
    <col min="13571" max="13573" width="30" style="868" bestFit="1" customWidth="1"/>
    <col min="13574" max="13824" width="9.140625" style="868"/>
    <col min="13825" max="13825" width="20" style="868" bestFit="1" customWidth="1"/>
    <col min="13826" max="13826" width="60" style="868" bestFit="1" customWidth="1"/>
    <col min="13827" max="13829" width="30" style="868" bestFit="1" customWidth="1"/>
    <col min="13830" max="14080" width="9.140625" style="868"/>
    <col min="14081" max="14081" width="20" style="868" bestFit="1" customWidth="1"/>
    <col min="14082" max="14082" width="60" style="868" bestFit="1" customWidth="1"/>
    <col min="14083" max="14085" width="30" style="868" bestFit="1" customWidth="1"/>
    <col min="14086" max="14336" width="9.140625" style="868"/>
    <col min="14337" max="14337" width="20" style="868" bestFit="1" customWidth="1"/>
    <col min="14338" max="14338" width="60" style="868" bestFit="1" customWidth="1"/>
    <col min="14339" max="14341" width="30" style="868" bestFit="1" customWidth="1"/>
    <col min="14342" max="14592" width="9.140625" style="868"/>
    <col min="14593" max="14593" width="20" style="868" bestFit="1" customWidth="1"/>
    <col min="14594" max="14594" width="60" style="868" bestFit="1" customWidth="1"/>
    <col min="14595" max="14597" width="30" style="868" bestFit="1" customWidth="1"/>
    <col min="14598" max="14848" width="9.140625" style="868"/>
    <col min="14849" max="14849" width="20" style="868" bestFit="1" customWidth="1"/>
    <col min="14850" max="14850" width="60" style="868" bestFit="1" customWidth="1"/>
    <col min="14851" max="14853" width="30" style="868" bestFit="1" customWidth="1"/>
    <col min="14854" max="15104" width="9.140625" style="868"/>
    <col min="15105" max="15105" width="20" style="868" bestFit="1" customWidth="1"/>
    <col min="15106" max="15106" width="60" style="868" bestFit="1" customWidth="1"/>
    <col min="15107" max="15109" width="30" style="868" bestFit="1" customWidth="1"/>
    <col min="15110" max="15360" width="9.140625" style="868"/>
    <col min="15361" max="15361" width="20" style="868" bestFit="1" customWidth="1"/>
    <col min="15362" max="15362" width="60" style="868" bestFit="1" customWidth="1"/>
    <col min="15363" max="15365" width="30" style="868" bestFit="1" customWidth="1"/>
    <col min="15366" max="15616" width="9.140625" style="868"/>
    <col min="15617" max="15617" width="20" style="868" bestFit="1" customWidth="1"/>
    <col min="15618" max="15618" width="60" style="868" bestFit="1" customWidth="1"/>
    <col min="15619" max="15621" width="30" style="868" bestFit="1" customWidth="1"/>
    <col min="15622" max="15872" width="9.140625" style="868"/>
    <col min="15873" max="15873" width="20" style="868" bestFit="1" customWidth="1"/>
    <col min="15874" max="15874" width="60" style="868" bestFit="1" customWidth="1"/>
    <col min="15875" max="15877" width="30" style="868" bestFit="1" customWidth="1"/>
    <col min="15878" max="16128" width="9.140625" style="868"/>
    <col min="16129" max="16129" width="20" style="868" bestFit="1" customWidth="1"/>
    <col min="16130" max="16130" width="60" style="868" bestFit="1" customWidth="1"/>
    <col min="16131" max="16133" width="30" style="868" bestFit="1" customWidth="1"/>
    <col min="16134" max="16384" width="9.140625" style="868"/>
  </cols>
  <sheetData>
    <row r="1" spans="1:7" x14ac:dyDescent="0.2">
      <c r="A1" s="871" t="s">
        <v>2038</v>
      </c>
      <c r="B1" s="871" t="s">
        <v>2707</v>
      </c>
      <c r="C1" s="872">
        <f>Financials1!E7</f>
        <v>43190</v>
      </c>
      <c r="D1" s="872">
        <f>Financials1!D7</f>
        <v>43555</v>
      </c>
      <c r="E1" s="872">
        <f>Financials1!C7</f>
        <v>43921</v>
      </c>
      <c r="F1" s="872">
        <f>Financials1!B7</f>
        <v>44286</v>
      </c>
    </row>
    <row r="2" spans="1:7" x14ac:dyDescent="0.2">
      <c r="A2" s="871" t="s">
        <v>2038</v>
      </c>
      <c r="B2" s="871" t="s">
        <v>2708</v>
      </c>
      <c r="C2" s="873">
        <f>Financials1!E8</f>
        <v>0</v>
      </c>
      <c r="D2" s="873" t="str">
        <f>Financials1!D8</f>
        <v>Audited</v>
      </c>
      <c r="E2" s="873" t="str">
        <f>Financials1!C8</f>
        <v>Audited</v>
      </c>
      <c r="F2" s="873">
        <f>Financials1!B8</f>
        <v>0</v>
      </c>
    </row>
    <row r="3" spans="1:7" x14ac:dyDescent="0.2">
      <c r="A3" s="871" t="s">
        <v>2038</v>
      </c>
      <c r="B3" s="871" t="s">
        <v>2709</v>
      </c>
      <c r="C3" s="873">
        <v>12</v>
      </c>
      <c r="D3" s="873">
        <v>12</v>
      </c>
      <c r="E3" s="873">
        <v>12</v>
      </c>
      <c r="F3" s="873">
        <v>12</v>
      </c>
    </row>
    <row r="4" spans="1:7" x14ac:dyDescent="0.2">
      <c r="A4" s="874" t="s">
        <v>686</v>
      </c>
      <c r="B4" s="874" t="s">
        <v>2711</v>
      </c>
      <c r="C4" s="875" t="s">
        <v>2038</v>
      </c>
      <c r="D4" s="875" t="s">
        <v>2038</v>
      </c>
      <c r="E4" s="875" t="s">
        <v>2038</v>
      </c>
      <c r="F4" s="875" t="s">
        <v>2038</v>
      </c>
    </row>
    <row r="5" spans="1:7" x14ac:dyDescent="0.2">
      <c r="A5" s="876" t="s">
        <v>2712</v>
      </c>
      <c r="B5" s="876" t="s">
        <v>2713</v>
      </c>
      <c r="C5" s="877">
        <f>Financials1!E13</f>
        <v>0</v>
      </c>
      <c r="D5" s="877">
        <f>Financials1!D13</f>
        <v>11377343.300000001</v>
      </c>
      <c r="E5" s="877">
        <f>Financials1!C13</f>
        <v>10756627.58</v>
      </c>
      <c r="F5" s="877">
        <f>Financials1!B13</f>
        <v>0</v>
      </c>
      <c r="G5" s="868" t="s">
        <v>2881</v>
      </c>
    </row>
    <row r="6" spans="1:7" x14ac:dyDescent="0.2">
      <c r="A6" s="876" t="s">
        <v>2714</v>
      </c>
      <c r="B6" s="876" t="s">
        <v>2715</v>
      </c>
      <c r="C6" s="877">
        <f>Financials1!E12</f>
        <v>0</v>
      </c>
      <c r="D6" s="877">
        <f>Financials1!D12</f>
        <v>66572818.57</v>
      </c>
      <c r="E6" s="877">
        <f>Financials1!C12</f>
        <v>57148575.670000002</v>
      </c>
      <c r="F6" s="877">
        <f>Financials1!B12</f>
        <v>0</v>
      </c>
      <c r="G6" s="868" t="s">
        <v>2882</v>
      </c>
    </row>
    <row r="7" spans="1:7" x14ac:dyDescent="0.2">
      <c r="A7" s="876" t="s">
        <v>2716</v>
      </c>
      <c r="B7" s="876" t="s">
        <v>2717</v>
      </c>
      <c r="C7" s="878">
        <f>(C5+C6)</f>
        <v>0</v>
      </c>
      <c r="D7" s="878">
        <f>(D5+D6)</f>
        <v>77950161.870000005</v>
      </c>
      <c r="E7" s="878">
        <f>(E5+E6)</f>
        <v>67905203.25</v>
      </c>
      <c r="F7" s="878">
        <f>(F5+F6)</f>
        <v>0</v>
      </c>
    </row>
    <row r="8" spans="1:7" x14ac:dyDescent="0.2">
      <c r="A8" s="876" t="s">
        <v>2718</v>
      </c>
      <c r="B8" s="876" t="s">
        <v>2719</v>
      </c>
      <c r="C8" s="879"/>
      <c r="D8" s="879"/>
      <c r="E8" s="879"/>
      <c r="F8" s="879"/>
    </row>
    <row r="9" spans="1:7" x14ac:dyDescent="0.2">
      <c r="A9" s="876" t="s">
        <v>2720</v>
      </c>
      <c r="B9" s="876" t="s">
        <v>2721</v>
      </c>
      <c r="C9" s="878">
        <f>(C7-C8)</f>
        <v>0</v>
      </c>
      <c r="D9" s="878">
        <f>(D7-D8)</f>
        <v>77950161.870000005</v>
      </c>
      <c r="E9" s="878">
        <f>(E7-E8)</f>
        <v>67905203.25</v>
      </c>
      <c r="F9" s="878">
        <f>(F7-F8)</f>
        <v>0</v>
      </c>
    </row>
    <row r="10" spans="1:7" x14ac:dyDescent="0.2">
      <c r="A10" s="876" t="s">
        <v>2722</v>
      </c>
      <c r="B10" s="876" t="s">
        <v>2723</v>
      </c>
      <c r="C10" s="877">
        <f>Financials1!E15</f>
        <v>0</v>
      </c>
      <c r="D10" s="877">
        <f>Financials1!D15</f>
        <v>3681977.02</v>
      </c>
      <c r="E10" s="877">
        <f>Financials1!C15</f>
        <v>4932710.9000000004</v>
      </c>
      <c r="F10" s="877">
        <f>Financials1!B15</f>
        <v>0</v>
      </c>
      <c r="G10" s="868" t="s">
        <v>2883</v>
      </c>
    </row>
    <row r="11" spans="1:7" x14ac:dyDescent="0.2">
      <c r="A11" s="876" t="s">
        <v>2724</v>
      </c>
      <c r="B11" s="876" t="s">
        <v>2725</v>
      </c>
      <c r="C11" s="879"/>
      <c r="D11" s="879"/>
      <c r="E11" s="879"/>
      <c r="F11" s="879"/>
    </row>
    <row r="12" spans="1:7" x14ac:dyDescent="0.2">
      <c r="A12" s="876" t="s">
        <v>2726</v>
      </c>
      <c r="B12" s="876" t="s">
        <v>2727</v>
      </c>
      <c r="C12" s="879"/>
      <c r="D12" s="879"/>
      <c r="E12" s="879"/>
      <c r="F12" s="879"/>
    </row>
    <row r="13" spans="1:7" x14ac:dyDescent="0.2">
      <c r="A13" s="876" t="s">
        <v>2728</v>
      </c>
      <c r="B13" s="876" t="s">
        <v>2729</v>
      </c>
      <c r="C13" s="879"/>
      <c r="D13" s="879"/>
      <c r="E13" s="879"/>
      <c r="F13" s="879"/>
    </row>
    <row r="14" spans="1:7" x14ac:dyDescent="0.2">
      <c r="A14" s="876" t="s">
        <v>2730</v>
      </c>
      <c r="B14" s="876" t="s">
        <v>2731</v>
      </c>
      <c r="C14" s="878">
        <f>(C9+C10+C11+C12+C13)</f>
        <v>0</v>
      </c>
      <c r="D14" s="878">
        <f>(D9+D10+D11+D12+D13)</f>
        <v>81632138.890000001</v>
      </c>
      <c r="E14" s="878">
        <f>(E9+E10+E11+E12+E13)</f>
        <v>72837914.150000006</v>
      </c>
      <c r="F14" s="878">
        <f>(F9+F10+F11+F12+F13)</f>
        <v>0</v>
      </c>
    </row>
    <row r="15" spans="1:7" x14ac:dyDescent="0.2">
      <c r="A15" s="874" t="s">
        <v>2732</v>
      </c>
      <c r="B15" s="874" t="s">
        <v>2733</v>
      </c>
      <c r="C15" s="875" t="s">
        <v>2038</v>
      </c>
      <c r="D15" s="875" t="s">
        <v>2038</v>
      </c>
      <c r="E15" s="875" t="s">
        <v>2038</v>
      </c>
      <c r="F15" s="875" t="s">
        <v>2038</v>
      </c>
    </row>
    <row r="16" spans="1:7" x14ac:dyDescent="0.2">
      <c r="A16" s="876" t="s">
        <v>2734</v>
      </c>
      <c r="B16" s="876" t="s">
        <v>2735</v>
      </c>
      <c r="C16" s="875" t="s">
        <v>2038</v>
      </c>
      <c r="D16" s="875" t="s">
        <v>2038</v>
      </c>
      <c r="E16" s="875" t="s">
        <v>2038</v>
      </c>
      <c r="F16" s="875" t="s">
        <v>2038</v>
      </c>
    </row>
    <row r="17" spans="1:7" x14ac:dyDescent="0.2">
      <c r="A17" s="880" t="s">
        <v>2736</v>
      </c>
      <c r="B17" s="880" t="s">
        <v>2737</v>
      </c>
      <c r="C17" s="877">
        <f>Financials1!E17</f>
        <v>0</v>
      </c>
      <c r="D17" s="877">
        <f>Financials1!D17</f>
        <v>36394424.450000003</v>
      </c>
      <c r="E17" s="877">
        <f>Financials1!C17</f>
        <v>40738528.969999999</v>
      </c>
      <c r="F17" s="877">
        <f>Financials1!B17</f>
        <v>0</v>
      </c>
      <c r="G17" s="868" t="s">
        <v>27</v>
      </c>
    </row>
    <row r="18" spans="1:7" x14ac:dyDescent="0.2">
      <c r="A18" s="880" t="s">
        <v>2738</v>
      </c>
      <c r="B18" s="880" t="s">
        <v>2739</v>
      </c>
      <c r="C18" s="879"/>
      <c r="D18" s="879"/>
      <c r="E18" s="879"/>
      <c r="F18" s="879"/>
    </row>
    <row r="19" spans="1:7" x14ac:dyDescent="0.2">
      <c r="A19" s="876" t="s">
        <v>2740</v>
      </c>
      <c r="B19" s="876" t="s">
        <v>2741</v>
      </c>
      <c r="C19" s="875" t="s">
        <v>2038</v>
      </c>
      <c r="D19" s="875" t="s">
        <v>2038</v>
      </c>
      <c r="E19" s="875" t="s">
        <v>2038</v>
      </c>
      <c r="F19" s="875" t="s">
        <v>2038</v>
      </c>
    </row>
    <row r="20" spans="1:7" x14ac:dyDescent="0.2">
      <c r="A20" s="880" t="s">
        <v>2742</v>
      </c>
      <c r="B20" s="880" t="s">
        <v>2737</v>
      </c>
      <c r="C20" s="879"/>
      <c r="D20" s="879"/>
      <c r="E20" s="879"/>
      <c r="F20" s="879"/>
    </row>
    <row r="21" spans="1:7" x14ac:dyDescent="0.2">
      <c r="A21" s="880" t="s">
        <v>2743</v>
      </c>
      <c r="B21" s="880" t="s">
        <v>2739</v>
      </c>
      <c r="C21" s="879"/>
      <c r="D21" s="879"/>
      <c r="E21" s="879"/>
      <c r="F21" s="879"/>
    </row>
    <row r="22" spans="1:7" x14ac:dyDescent="0.2">
      <c r="A22" s="876" t="s">
        <v>2744</v>
      </c>
      <c r="B22" s="876" t="s">
        <v>2745</v>
      </c>
      <c r="C22" s="879"/>
      <c r="D22" s="879"/>
      <c r="E22" s="879"/>
      <c r="F22" s="879"/>
    </row>
    <row r="23" spans="1:7" x14ac:dyDescent="0.2">
      <c r="A23" s="876" t="s">
        <v>2746</v>
      </c>
      <c r="B23" s="876" t="s">
        <v>2747</v>
      </c>
      <c r="C23" s="877">
        <f>Financials1!E19</f>
        <v>0</v>
      </c>
      <c r="D23" s="877">
        <f>Financials1!D19</f>
        <v>1741023.39</v>
      </c>
      <c r="E23" s="877">
        <f>Financials1!C19</f>
        <v>-791646</v>
      </c>
      <c r="F23" s="877">
        <f>Financials1!B19</f>
        <v>0</v>
      </c>
      <c r="G23" s="868" t="s">
        <v>1761</v>
      </c>
    </row>
    <row r="24" spans="1:7" x14ac:dyDescent="0.2">
      <c r="A24" s="876" t="s">
        <v>2748</v>
      </c>
      <c r="B24" s="876" t="s">
        <v>2749</v>
      </c>
      <c r="C24" s="877">
        <f>Financials1!E18</f>
        <v>0</v>
      </c>
      <c r="D24" s="877">
        <f>Financials1!D18</f>
        <v>27055468.520000003</v>
      </c>
      <c r="E24" s="877">
        <f>Financials1!C18</f>
        <v>18949844.119999997</v>
      </c>
      <c r="F24" s="877">
        <f>Financials1!B18</f>
        <v>0</v>
      </c>
      <c r="G24" s="868" t="s">
        <v>2884</v>
      </c>
    </row>
    <row r="25" spans="1:7" x14ac:dyDescent="0.2">
      <c r="A25" s="876" t="s">
        <v>2750</v>
      </c>
      <c r="B25" s="876" t="s">
        <v>2751</v>
      </c>
      <c r="C25" s="877">
        <f>Financials1!E27+Financials1!E28</f>
        <v>0</v>
      </c>
      <c r="D25" s="877">
        <f>Financials1!D27+Financials1!D28</f>
        <v>2287718</v>
      </c>
      <c r="E25" s="877">
        <f>Financials1!C27+Financials1!C28</f>
        <v>1989388</v>
      </c>
      <c r="F25" s="877">
        <f>Financials1!B27+Financials1!B28</f>
        <v>0</v>
      </c>
      <c r="G25" s="868" t="s">
        <v>2885</v>
      </c>
    </row>
    <row r="26" spans="1:7" x14ac:dyDescent="0.2">
      <c r="A26" s="876" t="s">
        <v>2752</v>
      </c>
      <c r="B26" s="876" t="s">
        <v>2753</v>
      </c>
      <c r="C26" s="879"/>
      <c r="D26" s="879"/>
      <c r="E26" s="879"/>
      <c r="F26" s="879"/>
    </row>
    <row r="27" spans="1:7" x14ac:dyDescent="0.2">
      <c r="A27" s="876" t="s">
        <v>2754</v>
      </c>
      <c r="B27" s="876" t="s">
        <v>2755</v>
      </c>
      <c r="C27" s="879"/>
      <c r="D27" s="879"/>
      <c r="E27" s="879"/>
      <c r="F27" s="879"/>
    </row>
    <row r="28" spans="1:7" x14ac:dyDescent="0.2">
      <c r="A28" s="876" t="s">
        <v>2756</v>
      </c>
      <c r="B28" s="876" t="s">
        <v>2757</v>
      </c>
      <c r="C28" s="879"/>
      <c r="D28" s="879"/>
      <c r="E28" s="879"/>
      <c r="F28" s="879"/>
    </row>
    <row r="29" spans="1:7" x14ac:dyDescent="0.2">
      <c r="A29" s="876" t="s">
        <v>2758</v>
      </c>
      <c r="B29" s="876" t="s">
        <v>2759</v>
      </c>
      <c r="C29" s="878">
        <f>(C17+C18+C20+C21+C22+C23+C24+C25+C26+C27+C28)</f>
        <v>0</v>
      </c>
      <c r="D29" s="878">
        <f>(D17+D18+D20+D21+D22+D23+D24+D25+D26+D27+D28)</f>
        <v>67478634.360000014</v>
      </c>
      <c r="E29" s="878">
        <f>(E17+E18+E20+E21+E22+E23+E24+E25+E26+E27+E28)</f>
        <v>60886115.089999996</v>
      </c>
      <c r="F29" s="878">
        <f>(F17+F18+F20+F21+F22+F23+F24+F25+F26+F27+F28)</f>
        <v>0</v>
      </c>
    </row>
    <row r="30" spans="1:7" x14ac:dyDescent="0.2">
      <c r="A30" s="876" t="s">
        <v>2760</v>
      </c>
      <c r="B30" s="876" t="s">
        <v>2761</v>
      </c>
      <c r="C30" s="879"/>
      <c r="D30" s="879"/>
      <c r="E30" s="879"/>
      <c r="F30" s="879"/>
    </row>
    <row r="31" spans="1:7" x14ac:dyDescent="0.2">
      <c r="A31" s="876" t="s">
        <v>2762</v>
      </c>
      <c r="B31" s="876" t="s">
        <v>2763</v>
      </c>
      <c r="C31" s="879"/>
      <c r="D31" s="879"/>
      <c r="E31" s="879"/>
      <c r="F31" s="879"/>
    </row>
    <row r="32" spans="1:7" x14ac:dyDescent="0.2">
      <c r="A32" s="876" t="s">
        <v>2764</v>
      </c>
      <c r="B32" s="876" t="s">
        <v>2765</v>
      </c>
      <c r="C32" s="878">
        <f>C29+C30-C31</f>
        <v>0</v>
      </c>
      <c r="D32" s="878">
        <f>D29+D30-D31</f>
        <v>67478634.360000014</v>
      </c>
      <c r="E32" s="878">
        <f>E29+E30-E31</f>
        <v>60886115.089999996</v>
      </c>
      <c r="F32" s="878">
        <f>F29+F30-F31</f>
        <v>0</v>
      </c>
    </row>
    <row r="33" spans="1:7" x14ac:dyDescent="0.2">
      <c r="A33" s="876" t="s">
        <v>2766</v>
      </c>
      <c r="B33" s="876" t="s">
        <v>2767</v>
      </c>
      <c r="C33" s="879"/>
      <c r="D33" s="879"/>
      <c r="E33" s="879"/>
      <c r="F33" s="879"/>
    </row>
    <row r="34" spans="1:7" x14ac:dyDescent="0.2">
      <c r="A34" s="876" t="s">
        <v>2768</v>
      </c>
      <c r="B34" s="876" t="s">
        <v>2769</v>
      </c>
      <c r="C34" s="879"/>
      <c r="D34" s="879"/>
      <c r="E34" s="879"/>
      <c r="F34" s="879"/>
    </row>
    <row r="35" spans="1:7" x14ac:dyDescent="0.2">
      <c r="A35" s="876" t="s">
        <v>2770</v>
      </c>
      <c r="B35" s="876" t="s">
        <v>2771</v>
      </c>
      <c r="C35" s="878">
        <f>C32+C33-C34</f>
        <v>0</v>
      </c>
      <c r="D35" s="878">
        <f>D32+D33-D34</f>
        <v>67478634.360000014</v>
      </c>
      <c r="E35" s="878">
        <f>E32+E33-E34</f>
        <v>60886115.089999996</v>
      </c>
      <c r="F35" s="878">
        <f>F32+F33-F34</f>
        <v>0</v>
      </c>
    </row>
    <row r="36" spans="1:7" x14ac:dyDescent="0.2">
      <c r="A36" s="876" t="s">
        <v>2772</v>
      </c>
      <c r="B36" s="876" t="s">
        <v>2773</v>
      </c>
      <c r="C36" s="877">
        <f>Financials1!E24</f>
        <v>0</v>
      </c>
      <c r="D36" s="877">
        <f>Financials1!D24</f>
        <v>14588842.049999999</v>
      </c>
      <c r="E36" s="877">
        <f>Financials1!C24</f>
        <v>13089020.589999998</v>
      </c>
      <c r="F36" s="877">
        <f>Financials1!B24</f>
        <v>0</v>
      </c>
      <c r="G36" s="881" t="s">
        <v>2886</v>
      </c>
    </row>
    <row r="37" spans="1:7" x14ac:dyDescent="0.2">
      <c r="A37" s="876" t="s">
        <v>2774</v>
      </c>
      <c r="B37" s="876" t="s">
        <v>2775</v>
      </c>
      <c r="C37" s="878">
        <f>(C35+C36)</f>
        <v>0</v>
      </c>
      <c r="D37" s="878">
        <f>(D35+D36)</f>
        <v>82067476.410000011</v>
      </c>
      <c r="E37" s="878">
        <f>(E35+E36)</f>
        <v>73975135.679999992</v>
      </c>
      <c r="F37" s="878">
        <f>(F35+F36)</f>
        <v>0</v>
      </c>
    </row>
    <row r="38" spans="1:7" x14ac:dyDescent="0.2">
      <c r="A38" s="876" t="s">
        <v>2776</v>
      </c>
      <c r="B38" s="876" t="s">
        <v>2777</v>
      </c>
      <c r="C38" s="878">
        <f>(C14-C37)</f>
        <v>0</v>
      </c>
      <c r="D38" s="878">
        <f>(D14-D37)</f>
        <v>-435337.52000001073</v>
      </c>
      <c r="E38" s="878">
        <f>(E14-E37)</f>
        <v>-1137221.5299999863</v>
      </c>
      <c r="F38" s="878">
        <f>(F14-F37)</f>
        <v>0</v>
      </c>
    </row>
    <row r="39" spans="1:7" x14ac:dyDescent="0.2">
      <c r="A39" s="876" t="s">
        <v>2778</v>
      </c>
      <c r="B39" s="876" t="s">
        <v>2779</v>
      </c>
      <c r="C39" s="875" t="s">
        <v>2038</v>
      </c>
      <c r="D39" s="875" t="s">
        <v>2038</v>
      </c>
      <c r="E39" s="875" t="s">
        <v>2038</v>
      </c>
      <c r="F39" s="875" t="s">
        <v>2038</v>
      </c>
    </row>
    <row r="40" spans="1:7" x14ac:dyDescent="0.2">
      <c r="A40" s="880" t="s">
        <v>2780</v>
      </c>
      <c r="B40" s="880" t="s">
        <v>2781</v>
      </c>
      <c r="C40" s="879"/>
      <c r="D40" s="879"/>
      <c r="E40" s="879"/>
      <c r="F40" s="879"/>
    </row>
    <row r="41" spans="1:7" x14ac:dyDescent="0.2">
      <c r="A41" s="880" t="s">
        <v>2782</v>
      </c>
      <c r="B41" s="880" t="s">
        <v>2783</v>
      </c>
      <c r="C41" s="882">
        <f>Financials1!E31</f>
        <v>0</v>
      </c>
      <c r="D41" s="882">
        <f>Financials1!D31</f>
        <v>5247141.5999999996</v>
      </c>
      <c r="E41" s="882">
        <f>Financials1!C31</f>
        <v>4971108.01</v>
      </c>
      <c r="F41" s="882">
        <f>Financials1!B31</f>
        <v>0</v>
      </c>
      <c r="G41" s="868" t="s">
        <v>2887</v>
      </c>
    </row>
    <row r="42" spans="1:7" x14ac:dyDescent="0.2">
      <c r="A42" s="876" t="s">
        <v>2784</v>
      </c>
      <c r="B42" s="876" t="s">
        <v>2785</v>
      </c>
      <c r="C42" s="875" t="s">
        <v>2038</v>
      </c>
      <c r="D42" s="875" t="s">
        <v>2038</v>
      </c>
      <c r="E42" s="875" t="s">
        <v>2038</v>
      </c>
      <c r="F42" s="875" t="s">
        <v>2038</v>
      </c>
    </row>
    <row r="43" spans="1:7" x14ac:dyDescent="0.2">
      <c r="A43" s="880" t="s">
        <v>2786</v>
      </c>
      <c r="B43" s="880" t="s">
        <v>2781</v>
      </c>
      <c r="C43" s="879"/>
      <c r="D43" s="879"/>
      <c r="E43" s="879"/>
      <c r="F43" s="879"/>
    </row>
    <row r="44" spans="1:7" x14ac:dyDescent="0.2">
      <c r="A44" s="880" t="s">
        <v>2787</v>
      </c>
      <c r="B44" s="880" t="s">
        <v>2783</v>
      </c>
      <c r="C44" s="879"/>
      <c r="D44" s="879"/>
      <c r="E44" s="879"/>
      <c r="F44" s="879"/>
    </row>
    <row r="45" spans="1:7" x14ac:dyDescent="0.2">
      <c r="A45" s="876" t="s">
        <v>2788</v>
      </c>
      <c r="B45" s="876" t="s">
        <v>2789</v>
      </c>
      <c r="C45" s="879"/>
      <c r="D45" s="879"/>
      <c r="E45" s="879"/>
      <c r="F45" s="879"/>
    </row>
    <row r="46" spans="1:7" x14ac:dyDescent="0.2">
      <c r="A46" s="876" t="s">
        <v>2790</v>
      </c>
      <c r="B46" s="876" t="s">
        <v>2791</v>
      </c>
      <c r="C46" s="878">
        <f>(C40+C41+C43+C44+C45)</f>
        <v>0</v>
      </c>
      <c r="D46" s="878">
        <f>(D40+D41+D43+D44+D45)</f>
        <v>5247141.5999999996</v>
      </c>
      <c r="E46" s="878">
        <f>(E40+E41+E43+E44+E45)</f>
        <v>4971108.01</v>
      </c>
      <c r="F46" s="878">
        <f>(F40+F41+F43+F44+F45)</f>
        <v>0</v>
      </c>
    </row>
    <row r="47" spans="1:7" x14ac:dyDescent="0.2">
      <c r="A47" s="876" t="s">
        <v>2792</v>
      </c>
      <c r="B47" s="876" t="s">
        <v>2793</v>
      </c>
      <c r="C47" s="878">
        <f>(C38-C46)</f>
        <v>0</v>
      </c>
      <c r="D47" s="878">
        <f>(D38-D46)</f>
        <v>-5682479.1200000104</v>
      </c>
      <c r="E47" s="878">
        <f>(E38-E46)</f>
        <v>-6108329.5399999861</v>
      </c>
      <c r="F47" s="878">
        <f>(F38-F46)</f>
        <v>0</v>
      </c>
    </row>
    <row r="48" spans="1:7" x14ac:dyDescent="0.2">
      <c r="A48" s="874" t="s">
        <v>2794</v>
      </c>
      <c r="B48" s="874" t="s">
        <v>2795</v>
      </c>
      <c r="C48" s="875" t="s">
        <v>2038</v>
      </c>
      <c r="D48" s="875" t="s">
        <v>2038</v>
      </c>
      <c r="E48" s="875" t="s">
        <v>2038</v>
      </c>
      <c r="F48" s="875" t="s">
        <v>2038</v>
      </c>
    </row>
    <row r="49" spans="1:7" x14ac:dyDescent="0.2">
      <c r="A49" s="876" t="s">
        <v>2796</v>
      </c>
      <c r="B49" s="876" t="s">
        <v>2797</v>
      </c>
      <c r="C49" s="875" t="s">
        <v>2038</v>
      </c>
      <c r="D49" s="875" t="s">
        <v>2038</v>
      </c>
      <c r="E49" s="875" t="s">
        <v>2038</v>
      </c>
      <c r="F49" s="875" t="s">
        <v>2038</v>
      </c>
    </row>
    <row r="50" spans="1:7" x14ac:dyDescent="0.2">
      <c r="A50" s="880" t="s">
        <v>2798</v>
      </c>
      <c r="B50" s="880" t="s">
        <v>2799</v>
      </c>
      <c r="C50" s="879"/>
      <c r="D50" s="879"/>
      <c r="E50" s="879"/>
      <c r="F50" s="879"/>
    </row>
    <row r="51" spans="1:7" x14ac:dyDescent="0.2">
      <c r="A51" s="880" t="s">
        <v>2800</v>
      </c>
      <c r="B51" s="880" t="s">
        <v>2801</v>
      </c>
      <c r="C51" s="879"/>
      <c r="D51" s="879"/>
      <c r="E51" s="879"/>
      <c r="F51" s="879"/>
    </row>
    <row r="52" spans="1:7" x14ac:dyDescent="0.2">
      <c r="A52" s="880" t="s">
        <v>2802</v>
      </c>
      <c r="B52" s="880" t="s">
        <v>2803</v>
      </c>
      <c r="C52" s="879"/>
      <c r="D52" s="879"/>
      <c r="E52" s="879"/>
      <c r="F52" s="879"/>
    </row>
    <row r="53" spans="1:7" x14ac:dyDescent="0.2">
      <c r="A53" s="880" t="s">
        <v>2804</v>
      </c>
      <c r="B53" s="880" t="s">
        <v>2805</v>
      </c>
      <c r="C53" s="879"/>
      <c r="D53" s="879"/>
      <c r="E53" s="879"/>
      <c r="F53" s="879"/>
    </row>
    <row r="54" spans="1:7" x14ac:dyDescent="0.2">
      <c r="A54" s="880" t="s">
        <v>2806</v>
      </c>
      <c r="B54" s="880" t="s">
        <v>2807</v>
      </c>
      <c r="C54" s="879"/>
      <c r="D54" s="879"/>
      <c r="E54" s="879"/>
      <c r="F54" s="879"/>
    </row>
    <row r="55" spans="1:7" x14ac:dyDescent="0.2">
      <c r="A55" s="880" t="s">
        <v>2808</v>
      </c>
      <c r="B55" s="880" t="s">
        <v>2809</v>
      </c>
      <c r="C55" s="879"/>
      <c r="D55" s="879"/>
      <c r="E55" s="879"/>
      <c r="F55" s="879"/>
    </row>
    <row r="56" spans="1:7" x14ac:dyDescent="0.2">
      <c r="A56" s="876" t="s">
        <v>2810</v>
      </c>
      <c r="B56" s="876" t="s">
        <v>2811</v>
      </c>
      <c r="C56" s="877">
        <f>Financials1!E14</f>
        <v>0</v>
      </c>
      <c r="D56" s="877">
        <f>Financials1!D14</f>
        <v>3630203.5700000003</v>
      </c>
      <c r="E56" s="877">
        <f>Financials1!C14</f>
        <v>8027185.0800000001</v>
      </c>
      <c r="F56" s="877">
        <f>Financials1!B14</f>
        <v>0</v>
      </c>
      <c r="G56" s="868" t="s">
        <v>480</v>
      </c>
    </row>
    <row r="57" spans="1:7" x14ac:dyDescent="0.2">
      <c r="A57" s="876" t="s">
        <v>2812</v>
      </c>
      <c r="B57" s="876" t="s">
        <v>2813</v>
      </c>
      <c r="C57" s="875" t="s">
        <v>2038</v>
      </c>
      <c r="D57" s="875" t="s">
        <v>2038</v>
      </c>
      <c r="E57" s="875" t="s">
        <v>2038</v>
      </c>
      <c r="F57" s="875" t="s">
        <v>2038</v>
      </c>
    </row>
    <row r="58" spans="1:7" x14ac:dyDescent="0.2">
      <c r="A58" s="880" t="s">
        <v>2814</v>
      </c>
      <c r="B58" s="880" t="s">
        <v>2815</v>
      </c>
      <c r="C58" s="879"/>
      <c r="D58" s="879"/>
      <c r="E58" s="879"/>
      <c r="F58" s="879"/>
    </row>
    <row r="59" spans="1:7" x14ac:dyDescent="0.2">
      <c r="A59" s="876" t="s">
        <v>2816</v>
      </c>
      <c r="B59" s="876" t="s">
        <v>2817</v>
      </c>
      <c r="C59" s="878">
        <f>(C50+C51+C52+C53+C54+C55+C56+C58)</f>
        <v>0</v>
      </c>
      <c r="D59" s="878">
        <f>(D50+D51+D52+D53+D54+D55+D56+D58)</f>
        <v>3630203.5700000003</v>
      </c>
      <c r="E59" s="878">
        <f>(E50+E51+E52+E53+E54+E55+E56+E58)</f>
        <v>8027185.0800000001</v>
      </c>
      <c r="F59" s="878">
        <f>(F50+F51+F52+F53+F54+F55+F56+F58)</f>
        <v>0</v>
      </c>
    </row>
    <row r="60" spans="1:7" x14ac:dyDescent="0.2">
      <c r="A60" s="874" t="s">
        <v>2818</v>
      </c>
      <c r="B60" s="874" t="s">
        <v>2819</v>
      </c>
      <c r="C60" s="875" t="s">
        <v>2038</v>
      </c>
      <c r="D60" s="875" t="s">
        <v>2038</v>
      </c>
      <c r="E60" s="875" t="s">
        <v>2038</v>
      </c>
      <c r="F60" s="875" t="s">
        <v>2038</v>
      </c>
    </row>
    <row r="61" spans="1:7" x14ac:dyDescent="0.2">
      <c r="A61" s="876" t="s">
        <v>2820</v>
      </c>
      <c r="B61" s="876" t="s">
        <v>2821</v>
      </c>
      <c r="C61" s="875" t="s">
        <v>2038</v>
      </c>
      <c r="D61" s="875" t="s">
        <v>2038</v>
      </c>
      <c r="E61" s="875" t="s">
        <v>2038</v>
      </c>
      <c r="F61" s="875" t="s">
        <v>2038</v>
      </c>
    </row>
    <row r="62" spans="1:7" x14ac:dyDescent="0.2">
      <c r="A62" s="880" t="s">
        <v>2822</v>
      </c>
      <c r="B62" s="880" t="s">
        <v>2823</v>
      </c>
      <c r="C62" s="879"/>
      <c r="D62" s="879"/>
      <c r="E62" s="879"/>
      <c r="F62" s="879"/>
    </row>
    <row r="63" spans="1:7" x14ac:dyDescent="0.2">
      <c r="A63" s="880" t="s">
        <v>2824</v>
      </c>
      <c r="B63" s="880" t="s">
        <v>2825</v>
      </c>
      <c r="C63" s="879"/>
      <c r="D63" s="879"/>
      <c r="E63" s="879"/>
      <c r="F63" s="879"/>
    </row>
    <row r="64" spans="1:7" x14ac:dyDescent="0.2">
      <c r="A64" s="880" t="s">
        <v>2826</v>
      </c>
      <c r="B64" s="880" t="s">
        <v>2827</v>
      </c>
      <c r="C64" s="879"/>
      <c r="D64" s="879"/>
      <c r="E64" s="879"/>
      <c r="F64" s="879"/>
    </row>
    <row r="65" spans="1:7" x14ac:dyDescent="0.2">
      <c r="A65" s="876" t="s">
        <v>2828</v>
      </c>
      <c r="B65" s="876" t="s">
        <v>2829</v>
      </c>
      <c r="C65" s="875" t="s">
        <v>2038</v>
      </c>
      <c r="D65" s="875" t="s">
        <v>2038</v>
      </c>
      <c r="E65" s="875" t="s">
        <v>2038</v>
      </c>
      <c r="F65" s="875" t="s">
        <v>2038</v>
      </c>
    </row>
    <row r="66" spans="1:7" x14ac:dyDescent="0.2">
      <c r="A66" s="880" t="s">
        <v>2830</v>
      </c>
      <c r="B66" s="880" t="s">
        <v>2831</v>
      </c>
      <c r="C66" s="879"/>
      <c r="D66" s="879"/>
      <c r="E66" s="879"/>
      <c r="F66" s="879"/>
    </row>
    <row r="67" spans="1:7" x14ac:dyDescent="0.2">
      <c r="A67" s="880" t="s">
        <v>2832</v>
      </c>
      <c r="B67" s="880" t="s">
        <v>2833</v>
      </c>
      <c r="C67" s="879"/>
      <c r="D67" s="879"/>
      <c r="E67" s="879"/>
      <c r="F67" s="879"/>
    </row>
    <row r="68" spans="1:7" x14ac:dyDescent="0.2">
      <c r="A68" s="880" t="s">
        <v>2834</v>
      </c>
      <c r="B68" s="880" t="s">
        <v>2835</v>
      </c>
      <c r="C68" s="879"/>
      <c r="D68" s="879"/>
      <c r="E68" s="879"/>
      <c r="F68" s="879"/>
    </row>
    <row r="69" spans="1:7" x14ac:dyDescent="0.2">
      <c r="A69" s="880" t="s">
        <v>2836</v>
      </c>
      <c r="B69" s="880" t="s">
        <v>2837</v>
      </c>
      <c r="C69" s="879"/>
      <c r="D69" s="879"/>
      <c r="E69" s="879"/>
      <c r="F69" s="879"/>
    </row>
    <row r="70" spans="1:7" x14ac:dyDescent="0.2">
      <c r="A70" s="876" t="s">
        <v>2838</v>
      </c>
      <c r="B70" s="876" t="s">
        <v>2839</v>
      </c>
      <c r="C70" s="878">
        <f>(C62+C63+C64+C66+C67+C68+C69)</f>
        <v>0</v>
      </c>
      <c r="D70" s="878">
        <f>(D62+D63+D64+D66+D67+D68+D69)</f>
        <v>0</v>
      </c>
      <c r="E70" s="878">
        <f>(E62+E63+E64+E66+E67+E68+E69)</f>
        <v>0</v>
      </c>
      <c r="F70" s="878">
        <f>(F62+F63+F64+F66+F67+F68+F69)</f>
        <v>0</v>
      </c>
    </row>
    <row r="71" spans="1:7" x14ac:dyDescent="0.2">
      <c r="A71" s="874" t="s">
        <v>2840</v>
      </c>
      <c r="B71" s="874" t="s">
        <v>2841</v>
      </c>
      <c r="C71" s="878">
        <f>(C59-C70)</f>
        <v>0</v>
      </c>
      <c r="D71" s="878">
        <f>(D59-D70)</f>
        <v>3630203.5700000003</v>
      </c>
      <c r="E71" s="878">
        <f>(E59-E70)</f>
        <v>8027185.0800000001</v>
      </c>
      <c r="F71" s="878">
        <f>(F59-F70)</f>
        <v>0</v>
      </c>
    </row>
    <row r="72" spans="1:7" x14ac:dyDescent="0.2">
      <c r="A72" s="874" t="s">
        <v>2842</v>
      </c>
      <c r="B72" s="874" t="s">
        <v>2843</v>
      </c>
      <c r="C72" s="878">
        <f>(C25+C46+C47+C71)</f>
        <v>0</v>
      </c>
      <c r="D72" s="878">
        <f>(D25+D46+D47+D71)</f>
        <v>5482584.0499999896</v>
      </c>
      <c r="E72" s="878">
        <f>(E25+E46+E47+E71)</f>
        <v>8879351.5500000138</v>
      </c>
      <c r="F72" s="878">
        <f>(F25+F46+F47+F71)</f>
        <v>0</v>
      </c>
    </row>
    <row r="73" spans="1:7" x14ac:dyDescent="0.2">
      <c r="A73" s="874" t="s">
        <v>2844</v>
      </c>
      <c r="B73" s="874" t="s">
        <v>2845</v>
      </c>
      <c r="C73" s="878">
        <f>(C47+C71)</f>
        <v>0</v>
      </c>
      <c r="D73" s="878">
        <f>(D47+D71)</f>
        <v>-2052275.5500000101</v>
      </c>
      <c r="E73" s="878">
        <f>(E47+E71)</f>
        <v>1918855.540000014</v>
      </c>
      <c r="F73" s="878">
        <f>(F47+F71)</f>
        <v>0</v>
      </c>
    </row>
    <row r="74" spans="1:7" x14ac:dyDescent="0.2">
      <c r="A74" s="874" t="s">
        <v>2846</v>
      </c>
      <c r="B74" s="874" t="s">
        <v>2847</v>
      </c>
      <c r="C74" s="877"/>
      <c r="D74" s="877"/>
      <c r="E74" s="877"/>
      <c r="F74" s="877"/>
    </row>
    <row r="75" spans="1:7" x14ac:dyDescent="0.2">
      <c r="A75" s="874" t="s">
        <v>2848</v>
      </c>
      <c r="B75" s="874" t="s">
        <v>2849</v>
      </c>
      <c r="C75" s="875" t="s">
        <v>2038</v>
      </c>
      <c r="D75" s="875" t="s">
        <v>2038</v>
      </c>
      <c r="E75" s="875" t="s">
        <v>2038</v>
      </c>
      <c r="F75" s="875" t="s">
        <v>2038</v>
      </c>
    </row>
    <row r="76" spans="1:7" x14ac:dyDescent="0.2">
      <c r="A76" s="876" t="s">
        <v>2850</v>
      </c>
      <c r="B76" s="876" t="s">
        <v>2851</v>
      </c>
      <c r="C76" s="877">
        <f>Financials1!E35</f>
        <v>0</v>
      </c>
      <c r="D76" s="877">
        <f>Financials1!D35</f>
        <v>453874</v>
      </c>
      <c r="E76" s="877">
        <f>Financials1!C35</f>
        <v>141663</v>
      </c>
      <c r="F76" s="877">
        <f>Financials1!B35</f>
        <v>0</v>
      </c>
      <c r="G76" s="868" t="s">
        <v>23</v>
      </c>
    </row>
    <row r="77" spans="1:7" x14ac:dyDescent="0.2">
      <c r="A77" s="876" t="s">
        <v>2852</v>
      </c>
      <c r="B77" s="876" t="s">
        <v>2853</v>
      </c>
      <c r="C77" s="879"/>
      <c r="D77" s="879"/>
      <c r="E77" s="879"/>
      <c r="F77" s="879"/>
    </row>
    <row r="78" spans="1:7" x14ac:dyDescent="0.2">
      <c r="A78" s="876" t="s">
        <v>2854</v>
      </c>
      <c r="B78" s="876" t="s">
        <v>2855</v>
      </c>
      <c r="C78" s="878">
        <f>(C76+C77)</f>
        <v>0</v>
      </c>
      <c r="D78" s="878">
        <f>(D76+D77)</f>
        <v>453874</v>
      </c>
      <c r="E78" s="878">
        <f>(E76+E77)</f>
        <v>141663</v>
      </c>
      <c r="F78" s="878">
        <f>(F76+F77)</f>
        <v>0</v>
      </c>
    </row>
    <row r="79" spans="1:7" x14ac:dyDescent="0.2">
      <c r="A79" s="874" t="s">
        <v>2856</v>
      </c>
      <c r="B79" s="874" t="s">
        <v>2857</v>
      </c>
      <c r="C79" s="878">
        <f>(C73-C74-C78)</f>
        <v>0</v>
      </c>
      <c r="D79" s="878">
        <f>(D73-D74-D78)</f>
        <v>-2506149.5500000101</v>
      </c>
      <c r="E79" s="878">
        <f>(E73-E74-E78)</f>
        <v>1777192.540000014</v>
      </c>
      <c r="F79" s="878">
        <f>(F73-F74-F78)</f>
        <v>0</v>
      </c>
    </row>
    <row r="80" spans="1:7" x14ac:dyDescent="0.2">
      <c r="A80" s="874" t="s">
        <v>2858</v>
      </c>
      <c r="B80" s="874" t="s">
        <v>2859</v>
      </c>
      <c r="C80" s="875" t="s">
        <v>2038</v>
      </c>
      <c r="D80" s="875" t="s">
        <v>2038</v>
      </c>
      <c r="E80" s="875" t="s">
        <v>2038</v>
      </c>
      <c r="F80" s="875" t="s">
        <v>2038</v>
      </c>
    </row>
    <row r="81" spans="1:7" x14ac:dyDescent="0.2">
      <c r="A81" s="876" t="s">
        <v>2860</v>
      </c>
      <c r="B81" s="876" t="s">
        <v>2861</v>
      </c>
      <c r="C81" s="879"/>
      <c r="D81" s="879"/>
      <c r="E81" s="879"/>
      <c r="F81" s="879"/>
    </row>
    <row r="82" spans="1:7" x14ac:dyDescent="0.2">
      <c r="A82" s="876" t="s">
        <v>2862</v>
      </c>
      <c r="B82" s="876" t="s">
        <v>2863</v>
      </c>
      <c r="C82" s="879"/>
      <c r="D82" s="879"/>
      <c r="E82" s="879"/>
      <c r="F82" s="879"/>
    </row>
    <row r="83" spans="1:7" x14ac:dyDescent="0.2">
      <c r="A83" s="876" t="s">
        <v>2864</v>
      </c>
      <c r="B83" s="876" t="s">
        <v>2865</v>
      </c>
      <c r="C83" s="878">
        <f>(C81-C82)</f>
        <v>0</v>
      </c>
      <c r="D83" s="878">
        <f>(D81-D82)</f>
        <v>0</v>
      </c>
      <c r="E83" s="878">
        <f>(E81-E82)</f>
        <v>0</v>
      </c>
      <c r="F83" s="878">
        <f>(F81-F82)</f>
        <v>0</v>
      </c>
    </row>
    <row r="84" spans="1:7" x14ac:dyDescent="0.2">
      <c r="A84" s="874" t="s">
        <v>2710</v>
      </c>
      <c r="B84" s="874" t="s">
        <v>2866</v>
      </c>
      <c r="C84" s="878">
        <f>(C79-C83)</f>
        <v>0</v>
      </c>
      <c r="D84" s="878">
        <f>(D79-D83)</f>
        <v>-2506149.5500000101</v>
      </c>
      <c r="E84" s="878">
        <f>(E79-E83)</f>
        <v>1777192.540000014</v>
      </c>
      <c r="F84" s="878">
        <f>(F79-F83)</f>
        <v>0</v>
      </c>
    </row>
    <row r="85" spans="1:7" x14ac:dyDescent="0.2">
      <c r="A85" s="874" t="s">
        <v>2867</v>
      </c>
      <c r="B85" s="874" t="s">
        <v>2868</v>
      </c>
      <c r="C85" s="875" t="s">
        <v>2038</v>
      </c>
      <c r="D85" s="875" t="s">
        <v>2038</v>
      </c>
      <c r="E85" s="875" t="s">
        <v>2038</v>
      </c>
      <c r="F85" s="875" t="s">
        <v>2038</v>
      </c>
    </row>
    <row r="86" spans="1:7" x14ac:dyDescent="0.2">
      <c r="A86" s="876" t="s">
        <v>2869</v>
      </c>
      <c r="B86" s="876" t="s">
        <v>2870</v>
      </c>
      <c r="C86" s="879"/>
      <c r="D86" s="879"/>
      <c r="E86" s="879"/>
      <c r="F86" s="879"/>
    </row>
    <row r="87" spans="1:7" x14ac:dyDescent="0.2">
      <c r="A87" s="876" t="s">
        <v>2871</v>
      </c>
      <c r="B87" s="876" t="s">
        <v>2872</v>
      </c>
      <c r="C87" s="879"/>
      <c r="D87" s="879"/>
      <c r="E87" s="879"/>
      <c r="F87" s="879"/>
    </row>
    <row r="88" spans="1:7" x14ac:dyDescent="0.2">
      <c r="A88" s="874" t="s">
        <v>2873</v>
      </c>
      <c r="B88" s="874" t="s">
        <v>2874</v>
      </c>
      <c r="C88" s="879"/>
      <c r="D88" s="879"/>
      <c r="E88" s="879"/>
      <c r="F88" s="879"/>
    </row>
    <row r="89" spans="1:7" x14ac:dyDescent="0.2">
      <c r="A89" s="874" t="s">
        <v>2875</v>
      </c>
      <c r="B89" s="874" t="s">
        <v>2876</v>
      </c>
      <c r="C89" s="877">
        <f>Financials1!E22</f>
        <v>0</v>
      </c>
      <c r="D89" s="877">
        <f>Financials1!D22</f>
        <v>0</v>
      </c>
      <c r="E89" s="877">
        <f>Financials1!C22</f>
        <v>0</v>
      </c>
      <c r="F89" s="877">
        <f>Financials1!B22</f>
        <v>0</v>
      </c>
      <c r="G89" s="868" t="s">
        <v>81</v>
      </c>
    </row>
    <row r="90" spans="1:7" x14ac:dyDescent="0.2">
      <c r="A90" s="874" t="s">
        <v>2877</v>
      </c>
      <c r="B90" s="874" t="s">
        <v>2878</v>
      </c>
      <c r="C90" s="877">
        <f>Financials1!E23</f>
        <v>0</v>
      </c>
      <c r="D90" s="877">
        <f>Financials1!D23</f>
        <v>0</v>
      </c>
      <c r="E90" s="877">
        <f>Financials1!C23</f>
        <v>0</v>
      </c>
      <c r="F90" s="877">
        <f>Financials1!B23</f>
        <v>0</v>
      </c>
      <c r="G90" s="868" t="s">
        <v>82</v>
      </c>
    </row>
    <row r="91" spans="1:7" x14ac:dyDescent="0.2">
      <c r="A91" s="874" t="s">
        <v>2879</v>
      </c>
      <c r="B91" s="874" t="s">
        <v>2880</v>
      </c>
      <c r="C91" s="878">
        <f>(C84-C86-C88-C89-C90)</f>
        <v>0</v>
      </c>
      <c r="D91" s="878">
        <f>(D84-D86-D88-D89-D90)</f>
        <v>-2506149.5500000101</v>
      </c>
      <c r="E91" s="878">
        <f>(E84-E86-E88-E89-E90)</f>
        <v>1777192.540000014</v>
      </c>
      <c r="F91" s="878">
        <f>(F84-F86-F88-F89-F90)</f>
        <v>0</v>
      </c>
    </row>
    <row r="92" spans="1:7" x14ac:dyDescent="0.2">
      <c r="C92" s="868">
        <f>Financials1!E36</f>
        <v>0</v>
      </c>
      <c r="D92" s="868">
        <f>Financials1!D36</f>
        <v>43715</v>
      </c>
      <c r="E92" s="885">
        <f>Financials1!C35</f>
        <v>141663</v>
      </c>
      <c r="F92" s="868">
        <f>Financials1!B36</f>
        <v>0</v>
      </c>
    </row>
  </sheetData>
  <pageMargins left="0.7" right="0.7" top="0.75" bottom="0.75" header="0.3" footer="0.3"/>
  <pageSetup paperSize="9" orientation="portrait" r:id="rId1"/>
  <headerFooter>
    <oddFooter>&amp;C&amp;1#&amp;"Calibri"&amp;10&amp;K000000 For internal use only</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F131"/>
  <sheetViews>
    <sheetView topLeftCell="A40" workbookViewId="0">
      <selection activeCell="G1" sqref="G1:G1048576"/>
    </sheetView>
  </sheetViews>
  <sheetFormatPr defaultRowHeight="12.75" x14ac:dyDescent="0.2"/>
  <cols>
    <col min="1" max="1" width="10.85546875" style="868" bestFit="1" customWidth="1"/>
    <col min="2" max="2" width="59.5703125" style="868" bestFit="1"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Financials1!E7</f>
        <v>43190</v>
      </c>
      <c r="D1" s="872">
        <f>Financials1!D7</f>
        <v>43555</v>
      </c>
      <c r="E1" s="872">
        <f>Financials1!C7</f>
        <v>43921</v>
      </c>
      <c r="F1" s="872">
        <f>Financials1!B7</f>
        <v>44286</v>
      </c>
    </row>
    <row r="2" spans="1:6" x14ac:dyDescent="0.2">
      <c r="A2" s="871" t="s">
        <v>2038</v>
      </c>
      <c r="B2" s="871" t="s">
        <v>2708</v>
      </c>
      <c r="C2" s="873">
        <f>Financials1!E8</f>
        <v>0</v>
      </c>
      <c r="D2" s="873" t="str">
        <f>Financials1!D8</f>
        <v>Audited</v>
      </c>
      <c r="E2" s="873" t="str">
        <f>Financials1!C8</f>
        <v>Audited</v>
      </c>
      <c r="F2" s="873">
        <f>Financials1!B8</f>
        <v>0</v>
      </c>
    </row>
    <row r="3" spans="1:6" x14ac:dyDescent="0.2">
      <c r="A3" s="871" t="s">
        <v>2038</v>
      </c>
      <c r="B3" s="871" t="s">
        <v>2709</v>
      </c>
      <c r="C3" s="873">
        <v>12</v>
      </c>
      <c r="D3" s="873">
        <v>12</v>
      </c>
      <c r="E3" s="873">
        <v>12</v>
      </c>
      <c r="F3" s="873">
        <v>12</v>
      </c>
    </row>
    <row r="4" spans="1:6" x14ac:dyDescent="0.2">
      <c r="A4" s="874" t="s">
        <v>686</v>
      </c>
      <c r="B4" s="874" t="s">
        <v>2888</v>
      </c>
      <c r="C4" s="875" t="s">
        <v>2038</v>
      </c>
      <c r="D4" s="875" t="s">
        <v>2038</v>
      </c>
      <c r="E4" s="875" t="s">
        <v>2038</v>
      </c>
      <c r="F4" s="875" t="s">
        <v>2038</v>
      </c>
    </row>
    <row r="5" spans="1:6" x14ac:dyDescent="0.2">
      <c r="A5" s="876" t="s">
        <v>2712</v>
      </c>
      <c r="B5" s="876" t="s">
        <v>2889</v>
      </c>
      <c r="C5" s="875" t="s">
        <v>2038</v>
      </c>
      <c r="D5" s="875" t="s">
        <v>2038</v>
      </c>
      <c r="E5" s="875" t="s">
        <v>2038</v>
      </c>
      <c r="F5" s="875" t="s">
        <v>2038</v>
      </c>
    </row>
    <row r="6" spans="1:6" ht="22.5" x14ac:dyDescent="0.2">
      <c r="A6" s="880" t="s">
        <v>2890</v>
      </c>
      <c r="B6" s="880" t="s">
        <v>2891</v>
      </c>
      <c r="C6" s="875" t="s">
        <v>2038</v>
      </c>
      <c r="D6" s="875" t="s">
        <v>2038</v>
      </c>
      <c r="E6" s="875" t="s">
        <v>2038</v>
      </c>
      <c r="F6" s="875" t="s">
        <v>2038</v>
      </c>
    </row>
    <row r="7" spans="1:6" x14ac:dyDescent="0.2">
      <c r="A7" s="883" t="s">
        <v>2892</v>
      </c>
      <c r="B7" s="883" t="s">
        <v>2893</v>
      </c>
      <c r="C7" s="884">
        <f>Financials1!E66</f>
        <v>0</v>
      </c>
      <c r="D7" s="884">
        <f>Financials1!D66</f>
        <v>9194641.8300000001</v>
      </c>
      <c r="E7" s="884">
        <f>Financials1!C66</f>
        <v>36998190.119999997</v>
      </c>
      <c r="F7" s="884">
        <f>Financials1!B66</f>
        <v>0</v>
      </c>
    </row>
    <row r="8" spans="1:6" x14ac:dyDescent="0.2">
      <c r="A8" s="883" t="s">
        <v>2894</v>
      </c>
      <c r="B8" s="883" t="s">
        <v>2895</v>
      </c>
      <c r="C8" s="879"/>
      <c r="D8" s="879"/>
      <c r="E8" s="879"/>
      <c r="F8" s="879"/>
    </row>
    <row r="9" spans="1:6" x14ac:dyDescent="0.2">
      <c r="A9" s="883" t="s">
        <v>2896</v>
      </c>
      <c r="B9" s="883" t="s">
        <v>2897</v>
      </c>
      <c r="C9" s="879"/>
      <c r="D9" s="879"/>
      <c r="E9" s="879"/>
      <c r="F9" s="879"/>
    </row>
    <row r="10" spans="1:6" x14ac:dyDescent="0.2">
      <c r="A10" s="883" t="s">
        <v>2898</v>
      </c>
      <c r="B10" s="883" t="s">
        <v>2759</v>
      </c>
      <c r="C10" s="878">
        <f>(C7+C8+C9)</f>
        <v>0</v>
      </c>
      <c r="D10" s="878">
        <f>(D7+D8+D9)</f>
        <v>9194641.8300000001</v>
      </c>
      <c r="E10" s="878">
        <f>(E7+E8+E9)</f>
        <v>36998190.119999997</v>
      </c>
      <c r="F10" s="878">
        <f>(F7+F8+F9)</f>
        <v>0</v>
      </c>
    </row>
    <row r="11" spans="1:6" x14ac:dyDescent="0.2">
      <c r="A11" s="880" t="s">
        <v>2899</v>
      </c>
      <c r="B11" s="880" t="s">
        <v>2900</v>
      </c>
      <c r="C11" s="884">
        <f>Financials1!E65</f>
        <v>0</v>
      </c>
      <c r="D11" s="884">
        <f>Financials1!D65</f>
        <v>10782112.880000001</v>
      </c>
      <c r="E11" s="884">
        <f>Financials1!C65</f>
        <v>6450665.3799999999</v>
      </c>
      <c r="F11" s="884">
        <f>Financials1!B65</f>
        <v>0</v>
      </c>
    </row>
    <row r="12" spans="1:6" x14ac:dyDescent="0.2">
      <c r="A12" s="880" t="s">
        <v>2901</v>
      </c>
      <c r="B12" s="880" t="s">
        <v>2902</v>
      </c>
      <c r="C12" s="879"/>
      <c r="D12" s="879"/>
      <c r="E12" s="879"/>
      <c r="F12" s="879"/>
    </row>
    <row r="13" spans="1:6" x14ac:dyDescent="0.2">
      <c r="A13" s="880" t="s">
        <v>2903</v>
      </c>
      <c r="B13" s="880" t="s">
        <v>2904</v>
      </c>
      <c r="C13" s="879"/>
      <c r="D13" s="879"/>
      <c r="E13" s="879"/>
      <c r="F13" s="879"/>
    </row>
    <row r="14" spans="1:6" x14ac:dyDescent="0.2">
      <c r="A14" s="880" t="s">
        <v>2905</v>
      </c>
      <c r="B14" s="880" t="s">
        <v>2906</v>
      </c>
      <c r="C14" s="879"/>
      <c r="D14" s="879"/>
      <c r="E14" s="879"/>
      <c r="F14" s="879"/>
    </row>
    <row r="15" spans="1:6" x14ac:dyDescent="0.2">
      <c r="A15" s="880" t="s">
        <v>2907</v>
      </c>
      <c r="B15" s="880" t="s">
        <v>2908</v>
      </c>
      <c r="C15" s="879"/>
      <c r="D15" s="879"/>
      <c r="E15" s="879"/>
      <c r="F15" s="879"/>
    </row>
    <row r="16" spans="1:6" x14ac:dyDescent="0.2">
      <c r="A16" s="880" t="s">
        <v>2909</v>
      </c>
      <c r="B16" s="880" t="s">
        <v>2910</v>
      </c>
      <c r="C16" s="879"/>
      <c r="D16" s="879"/>
      <c r="E16" s="879"/>
      <c r="F16" s="879"/>
    </row>
    <row r="17" spans="1:6" x14ac:dyDescent="0.2">
      <c r="A17" s="880" t="s">
        <v>2911</v>
      </c>
      <c r="B17" s="880" t="s">
        <v>2912</v>
      </c>
      <c r="C17" s="879"/>
      <c r="D17" s="879"/>
      <c r="E17" s="879"/>
      <c r="F17" s="879"/>
    </row>
    <row r="18" spans="1:6" x14ac:dyDescent="0.2">
      <c r="A18" s="880" t="s">
        <v>2913</v>
      </c>
      <c r="B18" s="880" t="s">
        <v>2914</v>
      </c>
      <c r="C18" s="879"/>
      <c r="D18" s="879"/>
      <c r="E18" s="879"/>
      <c r="F18" s="879"/>
    </row>
    <row r="19" spans="1:6" ht="22.5" x14ac:dyDescent="0.2">
      <c r="A19" s="880" t="s">
        <v>2915</v>
      </c>
      <c r="B19" s="880" t="s">
        <v>2916</v>
      </c>
      <c r="C19" s="879"/>
      <c r="D19" s="879"/>
      <c r="E19" s="879"/>
      <c r="F19" s="879"/>
    </row>
    <row r="20" spans="1:6" x14ac:dyDescent="0.2">
      <c r="A20" s="880" t="s">
        <v>2917</v>
      </c>
      <c r="B20" s="880" t="s">
        <v>2918</v>
      </c>
      <c r="C20" s="879"/>
      <c r="D20" s="879"/>
      <c r="E20" s="879"/>
      <c r="F20" s="879"/>
    </row>
    <row r="21" spans="1:6" x14ac:dyDescent="0.2">
      <c r="A21" s="880" t="s">
        <v>2919</v>
      </c>
      <c r="B21" s="880" t="s">
        <v>2920</v>
      </c>
      <c r="C21" s="879"/>
      <c r="D21" s="879"/>
      <c r="E21" s="879"/>
      <c r="F21" s="879"/>
    </row>
    <row r="22" spans="1:6" x14ac:dyDescent="0.2">
      <c r="A22" s="880" t="s">
        <v>2921</v>
      </c>
      <c r="B22" s="880" t="s">
        <v>2922</v>
      </c>
      <c r="C22" s="878">
        <f>(C19+C20+C21)</f>
        <v>0</v>
      </c>
      <c r="D22" s="878">
        <f>(D19+D20+D21)</f>
        <v>0</v>
      </c>
      <c r="E22" s="878">
        <f>(E19+E20+E21)</f>
        <v>0</v>
      </c>
      <c r="F22" s="878">
        <f>(F19+F20+F21)</f>
        <v>0</v>
      </c>
    </row>
    <row r="23" spans="1:6" x14ac:dyDescent="0.2">
      <c r="A23" s="880" t="s">
        <v>2923</v>
      </c>
      <c r="B23" s="880" t="s">
        <v>2924</v>
      </c>
      <c r="C23" s="884">
        <f>+Financials1!E67</f>
        <v>0</v>
      </c>
      <c r="D23" s="884">
        <f>+Financials1!D67</f>
        <v>2504285.19</v>
      </c>
      <c r="E23" s="884">
        <f>+Financials1!C67</f>
        <v>614607.25</v>
      </c>
      <c r="F23" s="884">
        <f>+Financials1!B67</f>
        <v>0</v>
      </c>
    </row>
    <row r="24" spans="1:6" x14ac:dyDescent="0.2">
      <c r="A24" s="880" t="s">
        <v>2925</v>
      </c>
      <c r="B24" s="880" t="s">
        <v>2926</v>
      </c>
      <c r="C24" s="879"/>
      <c r="D24" s="879"/>
      <c r="E24" s="879"/>
      <c r="F24" s="879"/>
    </row>
    <row r="25" spans="1:6" x14ac:dyDescent="0.2">
      <c r="A25" s="880" t="s">
        <v>2927</v>
      </c>
      <c r="B25" s="880" t="s">
        <v>2928</v>
      </c>
      <c r="C25" s="879"/>
      <c r="D25" s="879"/>
      <c r="E25" s="879"/>
      <c r="F25" s="879"/>
    </row>
    <row r="26" spans="1:6" x14ac:dyDescent="0.2">
      <c r="A26" s="880" t="s">
        <v>2929</v>
      </c>
      <c r="B26" s="880" t="s">
        <v>2930</v>
      </c>
      <c r="C26" s="879"/>
      <c r="D26" s="879"/>
      <c r="E26" s="879"/>
      <c r="F26" s="879"/>
    </row>
    <row r="27" spans="1:6" x14ac:dyDescent="0.2">
      <c r="A27" s="880" t="s">
        <v>2931</v>
      </c>
      <c r="B27" s="880" t="s">
        <v>2932</v>
      </c>
      <c r="C27" s="879"/>
      <c r="D27" s="879"/>
      <c r="E27" s="879"/>
      <c r="F27" s="879"/>
    </row>
    <row r="28" spans="1:6" x14ac:dyDescent="0.2">
      <c r="A28" s="880" t="s">
        <v>2933</v>
      </c>
      <c r="B28" s="880" t="s">
        <v>2934</v>
      </c>
      <c r="C28" s="879"/>
      <c r="D28" s="879"/>
      <c r="E28" s="879"/>
      <c r="F28" s="879"/>
    </row>
    <row r="29" spans="1:6" x14ac:dyDescent="0.2">
      <c r="A29" s="880" t="s">
        <v>2935</v>
      </c>
      <c r="B29" s="880" t="s">
        <v>2759</v>
      </c>
      <c r="C29" s="878">
        <f>(C11+C12+C13+C14+C15+C16+C17+C18+C22+C23+C24+C25+C26+C27+C28)</f>
        <v>0</v>
      </c>
      <c r="D29" s="878">
        <f>(D11+D12+D13+D14+D15+D16+D17+D18+D22+D23+D24+D25+D26+D27+D28)</f>
        <v>13286398.07</v>
      </c>
      <c r="E29" s="878">
        <f>(E11+E12+E13+E14+E15+E16+E17+E18+E22+E23+E24+E25+E26+E27+E28)</f>
        <v>7065272.6299999999</v>
      </c>
      <c r="F29" s="878">
        <f>(F11+F12+F13+F14+F15+F16+F17+F18+F22+F23+F24+F25+F26+F27+F28)</f>
        <v>0</v>
      </c>
    </row>
    <row r="30" spans="1:6" x14ac:dyDescent="0.2">
      <c r="A30" s="880" t="s">
        <v>2936</v>
      </c>
      <c r="B30" s="880" t="s">
        <v>2937</v>
      </c>
      <c r="C30" s="878">
        <f>(C10+C29)</f>
        <v>0</v>
      </c>
      <c r="D30" s="878">
        <f>(D10+D29)</f>
        <v>22481039.899999999</v>
      </c>
      <c r="E30" s="878">
        <f>(E10+E29)</f>
        <v>44063462.75</v>
      </c>
      <c r="F30" s="878">
        <f>(F10+F29)</f>
        <v>0</v>
      </c>
    </row>
    <row r="31" spans="1:6" x14ac:dyDescent="0.2">
      <c r="A31" s="876" t="s">
        <v>2714</v>
      </c>
      <c r="B31" s="876" t="s">
        <v>2938</v>
      </c>
      <c r="C31" s="875" t="s">
        <v>2038</v>
      </c>
      <c r="D31" s="875" t="s">
        <v>2038</v>
      </c>
      <c r="E31" s="875" t="s">
        <v>2038</v>
      </c>
      <c r="F31" s="875" t="s">
        <v>2038</v>
      </c>
    </row>
    <row r="32" spans="1:6" x14ac:dyDescent="0.2">
      <c r="A32" s="880" t="s">
        <v>2939</v>
      </c>
      <c r="B32" s="880" t="s">
        <v>2940</v>
      </c>
      <c r="C32" s="879"/>
      <c r="D32" s="879"/>
      <c r="E32" s="879"/>
      <c r="F32" s="879"/>
    </row>
    <row r="33" spans="1:6" x14ac:dyDescent="0.2">
      <c r="A33" s="880" t="s">
        <v>2941</v>
      </c>
      <c r="B33" s="880" t="s">
        <v>2942</v>
      </c>
      <c r="C33" s="879"/>
      <c r="D33" s="879"/>
      <c r="E33" s="879"/>
      <c r="F33" s="879"/>
    </row>
    <row r="34" spans="1:6" x14ac:dyDescent="0.2">
      <c r="A34" s="880" t="s">
        <v>2943</v>
      </c>
      <c r="B34" s="880" t="s">
        <v>2944</v>
      </c>
      <c r="C34" s="877">
        <f>+Financials1!E60</f>
        <v>0</v>
      </c>
      <c r="D34" s="877">
        <f>+Financials1!D60</f>
        <v>45224866.760000005</v>
      </c>
      <c r="E34" s="877">
        <f>+Financials1!C60</f>
        <v>14214753.699999999</v>
      </c>
      <c r="F34" s="877">
        <f>+Financials1!B60</f>
        <v>0</v>
      </c>
    </row>
    <row r="35" spans="1:6" x14ac:dyDescent="0.2">
      <c r="A35" s="880" t="s">
        <v>2945</v>
      </c>
      <c r="B35" s="880" t="s">
        <v>2946</v>
      </c>
      <c r="C35" s="884"/>
      <c r="D35" s="884"/>
      <c r="E35" s="884"/>
      <c r="F35" s="884"/>
    </row>
    <row r="36" spans="1:6" x14ac:dyDescent="0.2">
      <c r="A36" s="880" t="s">
        <v>2947</v>
      </c>
      <c r="B36" s="880" t="s">
        <v>2948</v>
      </c>
      <c r="C36" s="879"/>
      <c r="D36" s="879"/>
      <c r="E36" s="879"/>
      <c r="F36" s="879"/>
    </row>
    <row r="37" spans="1:6" x14ac:dyDescent="0.2">
      <c r="A37" s="880" t="s">
        <v>2949</v>
      </c>
      <c r="B37" s="880" t="s">
        <v>2950</v>
      </c>
      <c r="C37" s="879"/>
      <c r="D37" s="879"/>
      <c r="E37" s="879"/>
      <c r="F37" s="879"/>
    </row>
    <row r="38" spans="1:6" x14ac:dyDescent="0.2">
      <c r="A38" s="880" t="s">
        <v>2951</v>
      </c>
      <c r="B38" s="880" t="s">
        <v>2952</v>
      </c>
      <c r="C38" s="884">
        <f>+Financials1!E61</f>
        <v>0</v>
      </c>
      <c r="D38" s="884">
        <f>+Financials1!D61</f>
        <v>14730757</v>
      </c>
      <c r="E38" s="884">
        <f>+Financials1!C61</f>
        <v>18736909</v>
      </c>
      <c r="F38" s="884">
        <f>+Financials1!B61</f>
        <v>0</v>
      </c>
    </row>
    <row r="39" spans="1:6" x14ac:dyDescent="0.2">
      <c r="A39" s="880" t="s">
        <v>2953</v>
      </c>
      <c r="B39" s="880" t="s">
        <v>2954</v>
      </c>
      <c r="C39" s="884">
        <f>+Financials1!E57</f>
        <v>0</v>
      </c>
      <c r="D39" s="884">
        <f>+Financials1!D57</f>
        <v>0</v>
      </c>
      <c r="E39" s="884">
        <f>+Financials1!C57</f>
        <v>0</v>
      </c>
      <c r="F39" s="884">
        <f>+Financials1!B57</f>
        <v>0</v>
      </c>
    </row>
    <row r="40" spans="1:6" ht="22.5" x14ac:dyDescent="0.2">
      <c r="A40" s="880" t="s">
        <v>2955</v>
      </c>
      <c r="B40" s="880" t="s">
        <v>2956</v>
      </c>
      <c r="C40" s="879"/>
      <c r="D40" s="879"/>
      <c r="E40" s="879"/>
      <c r="F40" s="879"/>
    </row>
    <row r="41" spans="1:6" x14ac:dyDescent="0.2">
      <c r="A41" s="880" t="s">
        <v>2957</v>
      </c>
      <c r="B41" s="880" t="s">
        <v>2958</v>
      </c>
      <c r="C41" s="884">
        <f>+Financials1!E62</f>
        <v>0</v>
      </c>
      <c r="D41" s="884">
        <f>+Financials1!D62</f>
        <v>0</v>
      </c>
      <c r="E41" s="884">
        <f>+Financials1!C62</f>
        <v>0</v>
      </c>
      <c r="F41" s="884">
        <f>+Financials1!B62</f>
        <v>0</v>
      </c>
    </row>
    <row r="42" spans="1:6" x14ac:dyDescent="0.2">
      <c r="A42" s="880" t="s">
        <v>2959</v>
      </c>
      <c r="B42" s="880" t="s">
        <v>2960</v>
      </c>
      <c r="C42" s="877">
        <f>Financials1!E69</f>
        <v>0</v>
      </c>
      <c r="D42" s="877">
        <f>Financials1!D69</f>
        <v>0</v>
      </c>
      <c r="E42" s="877">
        <f>Financials1!C69</f>
        <v>0</v>
      </c>
      <c r="F42" s="877">
        <f>Financials1!B69</f>
        <v>0</v>
      </c>
    </row>
    <row r="43" spans="1:6" x14ac:dyDescent="0.2">
      <c r="A43" s="880" t="s">
        <v>2961</v>
      </c>
      <c r="B43" s="880" t="s">
        <v>2962</v>
      </c>
      <c r="C43" s="878">
        <f>(C32+C33+C34+C35+C36+C37+C38+C39+C40+C41+C42)</f>
        <v>0</v>
      </c>
      <c r="D43" s="878">
        <f>(D32+D33+D34+D35+D36+D37+D38+D39+D40+D41+D42)</f>
        <v>59955623.760000005</v>
      </c>
      <c r="E43" s="878">
        <f>(E32+E33+E34+E35+E36+E37+E38+E39+E40+E41+E42)</f>
        <v>32951662.699999999</v>
      </c>
      <c r="F43" s="878">
        <f>(F32+F33+F34+F35+F36+F37+F38+F39+F40+F41+F42)</f>
        <v>0</v>
      </c>
    </row>
    <row r="44" spans="1:6" x14ac:dyDescent="0.2">
      <c r="A44" s="876" t="s">
        <v>2716</v>
      </c>
      <c r="B44" s="876" t="s">
        <v>2963</v>
      </c>
      <c r="C44" s="878">
        <f>(C30+C43)</f>
        <v>0</v>
      </c>
      <c r="D44" s="878">
        <f>(D30+D43)</f>
        <v>82436663.659999996</v>
      </c>
      <c r="E44" s="878">
        <f>(E30+E43)</f>
        <v>77015125.450000003</v>
      </c>
      <c r="F44" s="878">
        <f>(F30+F43)</f>
        <v>0</v>
      </c>
    </row>
    <row r="45" spans="1:6" x14ac:dyDescent="0.2">
      <c r="A45" s="876" t="s">
        <v>2718</v>
      </c>
      <c r="B45" s="876" t="s">
        <v>2964</v>
      </c>
      <c r="C45" s="875" t="s">
        <v>2038</v>
      </c>
      <c r="D45" s="875" t="s">
        <v>2038</v>
      </c>
      <c r="E45" s="875" t="s">
        <v>2038</v>
      </c>
      <c r="F45" s="875" t="s">
        <v>2038</v>
      </c>
    </row>
    <row r="46" spans="1:6" x14ac:dyDescent="0.2">
      <c r="A46" s="880" t="s">
        <v>2965</v>
      </c>
      <c r="B46" s="880" t="s">
        <v>2966</v>
      </c>
      <c r="C46" s="879"/>
      <c r="D46" s="879"/>
      <c r="E46" s="879"/>
      <c r="F46" s="879"/>
    </row>
    <row r="47" spans="1:6" x14ac:dyDescent="0.2">
      <c r="A47" s="880" t="s">
        <v>2967</v>
      </c>
      <c r="B47" s="880" t="s">
        <v>2968</v>
      </c>
      <c r="C47" s="884">
        <f>Financials1!E55</f>
        <v>0</v>
      </c>
      <c r="D47" s="884">
        <f>Financials1!D55</f>
        <v>14223023.390000001</v>
      </c>
      <c r="E47" s="884">
        <f>Financials1!C55</f>
        <v>21720039.760000002</v>
      </c>
      <c r="F47" s="884">
        <f>Financials1!B55</f>
        <v>0</v>
      </c>
    </row>
    <row r="48" spans="1:6" x14ac:dyDescent="0.2">
      <c r="A48" s="880" t="s">
        <v>2969</v>
      </c>
      <c r="B48" s="880" t="s">
        <v>2970</v>
      </c>
      <c r="C48" s="879"/>
      <c r="D48" s="879"/>
      <c r="E48" s="879"/>
      <c r="F48" s="879"/>
    </row>
    <row r="49" spans="1:6" x14ac:dyDescent="0.2">
      <c r="A49" s="880" t="s">
        <v>2971</v>
      </c>
      <c r="B49" s="880" t="s">
        <v>2972</v>
      </c>
      <c r="C49" s="878">
        <f>(C46+C47+C48)</f>
        <v>0</v>
      </c>
      <c r="D49" s="878">
        <f>(D46+D47+D48)</f>
        <v>14223023.390000001</v>
      </c>
      <c r="E49" s="878">
        <f>(E46+E47+E48)</f>
        <v>21720039.760000002</v>
      </c>
      <c r="F49" s="878">
        <f>(F46+F47+F48)</f>
        <v>0</v>
      </c>
    </row>
    <row r="50" spans="1:6" x14ac:dyDescent="0.2">
      <c r="A50" s="880" t="s">
        <v>2973</v>
      </c>
      <c r="B50" s="880" t="s">
        <v>2974</v>
      </c>
      <c r="C50" s="875" t="s">
        <v>2038</v>
      </c>
      <c r="D50" s="875" t="s">
        <v>2038</v>
      </c>
      <c r="E50" s="875" t="s">
        <v>2038</v>
      </c>
      <c r="F50" s="875" t="s">
        <v>2038</v>
      </c>
    </row>
    <row r="51" spans="1:6" x14ac:dyDescent="0.2">
      <c r="A51" s="883" t="s">
        <v>2975</v>
      </c>
      <c r="B51" s="883" t="s">
        <v>2976</v>
      </c>
      <c r="C51" s="879"/>
      <c r="D51" s="879"/>
      <c r="E51" s="879"/>
      <c r="F51" s="879"/>
    </row>
    <row r="52" spans="1:6" x14ac:dyDescent="0.2">
      <c r="A52" s="883" t="s">
        <v>2977</v>
      </c>
      <c r="B52" s="883" t="s">
        <v>2978</v>
      </c>
      <c r="C52" s="879"/>
      <c r="D52" s="879"/>
      <c r="E52" s="879"/>
      <c r="F52" s="879"/>
    </row>
    <row r="53" spans="1:6" x14ac:dyDescent="0.2">
      <c r="A53" s="883" t="s">
        <v>2979</v>
      </c>
      <c r="B53" s="883" t="s">
        <v>2980</v>
      </c>
      <c r="C53" s="879"/>
      <c r="D53" s="879"/>
      <c r="E53" s="879"/>
      <c r="F53" s="879"/>
    </row>
    <row r="54" spans="1:6" x14ac:dyDescent="0.2">
      <c r="A54" s="883" t="s">
        <v>2981</v>
      </c>
      <c r="B54" s="883" t="s">
        <v>2759</v>
      </c>
      <c r="C54" s="878">
        <f>(C51+C52+C53)</f>
        <v>0</v>
      </c>
      <c r="D54" s="878">
        <f>(D51+D52+D53)</f>
        <v>0</v>
      </c>
      <c r="E54" s="878">
        <f>(E51+E52+E53)</f>
        <v>0</v>
      </c>
      <c r="F54" s="878">
        <f>(F51+F52+F53)</f>
        <v>0</v>
      </c>
    </row>
    <row r="55" spans="1:6" x14ac:dyDescent="0.2">
      <c r="A55" s="880" t="s">
        <v>2982</v>
      </c>
      <c r="B55" s="880" t="s">
        <v>2983</v>
      </c>
      <c r="C55" s="879"/>
      <c r="D55" s="879"/>
      <c r="E55" s="879"/>
      <c r="F55" s="879"/>
    </row>
    <row r="56" spans="1:6" x14ac:dyDescent="0.2">
      <c r="A56" s="880" t="s">
        <v>2984</v>
      </c>
      <c r="B56" s="880" t="s">
        <v>2985</v>
      </c>
      <c r="C56" s="884">
        <f>Financials1!E56</f>
        <v>0</v>
      </c>
      <c r="D56" s="884">
        <f>Financials1!D56</f>
        <v>0</v>
      </c>
      <c r="E56" s="884">
        <f>Financials1!C56</f>
        <v>0</v>
      </c>
      <c r="F56" s="884">
        <f>Financials1!B56</f>
        <v>0</v>
      </c>
    </row>
    <row r="57" spans="1:6" x14ac:dyDescent="0.2">
      <c r="A57" s="880" t="s">
        <v>2986</v>
      </c>
      <c r="B57" s="880" t="s">
        <v>2987</v>
      </c>
      <c r="C57" s="879"/>
      <c r="D57" s="879"/>
      <c r="E57" s="879"/>
      <c r="F57" s="879"/>
    </row>
    <row r="58" spans="1:6" x14ac:dyDescent="0.2">
      <c r="A58" s="880" t="s">
        <v>2988</v>
      </c>
      <c r="B58" s="880" t="s">
        <v>2989</v>
      </c>
      <c r="C58" s="879"/>
      <c r="D58" s="879"/>
      <c r="E58" s="879"/>
      <c r="F58" s="879"/>
    </row>
    <row r="59" spans="1:6" x14ac:dyDescent="0.2">
      <c r="A59" s="880" t="s">
        <v>2990</v>
      </c>
      <c r="B59" s="880" t="s">
        <v>2991</v>
      </c>
      <c r="C59" s="879"/>
      <c r="D59" s="879"/>
      <c r="E59" s="879"/>
      <c r="F59" s="879"/>
    </row>
    <row r="60" spans="1:6" x14ac:dyDescent="0.2">
      <c r="A60" s="880" t="s">
        <v>2992</v>
      </c>
      <c r="B60" s="880" t="s">
        <v>2993</v>
      </c>
      <c r="C60" s="878">
        <f>(C49+C54+C55+C56+C57+C58+C59)-C53</f>
        <v>0</v>
      </c>
      <c r="D60" s="878">
        <f>(D49+D54+D55+D56+D57+D58+D59)-D53</f>
        <v>14223023.390000001</v>
      </c>
      <c r="E60" s="878">
        <f>(E49+E54+E55+E56+E57+E58+E59)-E53</f>
        <v>21720039.760000002</v>
      </c>
      <c r="F60" s="878">
        <f>(F49+F54+F55+F56+F57+F58+F59)-F53</f>
        <v>0</v>
      </c>
    </row>
    <row r="61" spans="1:6" x14ac:dyDescent="0.2">
      <c r="A61" s="876" t="s">
        <v>2720</v>
      </c>
      <c r="B61" s="876" t="s">
        <v>2994</v>
      </c>
      <c r="C61" s="878">
        <f>(C30+C43+C60)</f>
        <v>0</v>
      </c>
      <c r="D61" s="878">
        <f>(D30+D43+D60)</f>
        <v>96659687.049999997</v>
      </c>
      <c r="E61" s="878">
        <f>(E30+E43+E60)</f>
        <v>98735165.210000008</v>
      </c>
      <c r="F61" s="878">
        <f>(F30+F43+F60)</f>
        <v>0</v>
      </c>
    </row>
    <row r="62" spans="1:6" x14ac:dyDescent="0.2">
      <c r="A62" s="876" t="s">
        <v>2722</v>
      </c>
      <c r="B62" s="876" t="s">
        <v>2995</v>
      </c>
      <c r="C62" s="875" t="s">
        <v>2038</v>
      </c>
      <c r="D62" s="875" t="s">
        <v>2038</v>
      </c>
      <c r="E62" s="875" t="s">
        <v>2038</v>
      </c>
      <c r="F62" s="875" t="s">
        <v>2038</v>
      </c>
    </row>
    <row r="63" spans="1:6" x14ac:dyDescent="0.2">
      <c r="A63" s="880" t="s">
        <v>2996</v>
      </c>
      <c r="B63" s="880" t="s">
        <v>2997</v>
      </c>
      <c r="C63" s="879"/>
      <c r="D63" s="879"/>
      <c r="E63" s="879"/>
      <c r="F63" s="879"/>
    </row>
    <row r="64" spans="1:6" x14ac:dyDescent="0.2">
      <c r="A64" s="880" t="s">
        <v>2998</v>
      </c>
      <c r="B64" s="880" t="s">
        <v>2999</v>
      </c>
      <c r="C64" s="879"/>
      <c r="D64" s="879"/>
      <c r="E64" s="879"/>
      <c r="F64" s="879"/>
    </row>
    <row r="65" spans="1:6" x14ac:dyDescent="0.2">
      <c r="A65" s="880" t="s">
        <v>3000</v>
      </c>
      <c r="B65" s="880" t="s">
        <v>3001</v>
      </c>
      <c r="C65" s="879"/>
      <c r="D65" s="879"/>
      <c r="E65" s="879"/>
      <c r="F65" s="879"/>
    </row>
    <row r="66" spans="1:6" x14ac:dyDescent="0.2">
      <c r="A66" s="880" t="s">
        <v>3002</v>
      </c>
      <c r="B66" s="880" t="s">
        <v>3003</v>
      </c>
      <c r="C66" s="879"/>
      <c r="D66" s="879"/>
      <c r="E66" s="879"/>
      <c r="F66" s="879"/>
    </row>
    <row r="67" spans="1:6" x14ac:dyDescent="0.2">
      <c r="A67" s="880" t="s">
        <v>3004</v>
      </c>
      <c r="B67" s="880" t="s">
        <v>3005</v>
      </c>
      <c r="C67" s="879"/>
      <c r="D67" s="879"/>
      <c r="E67" s="879"/>
      <c r="F67" s="879"/>
    </row>
    <row r="68" spans="1:6" x14ac:dyDescent="0.2">
      <c r="A68" s="880" t="s">
        <v>3006</v>
      </c>
      <c r="B68" s="880" t="s">
        <v>3007</v>
      </c>
      <c r="C68" s="879"/>
      <c r="D68" s="879"/>
      <c r="E68" s="879"/>
      <c r="F68" s="879"/>
    </row>
    <row r="69" spans="1:6" ht="22.5" x14ac:dyDescent="0.2">
      <c r="A69" s="880" t="s">
        <v>3008</v>
      </c>
      <c r="B69" s="880" t="s">
        <v>3009</v>
      </c>
      <c r="C69" s="877">
        <f>Financials1!E71</f>
        <v>0</v>
      </c>
      <c r="D69" s="877">
        <f>Financials1!D71</f>
        <v>0</v>
      </c>
      <c r="E69" s="877">
        <f>Financials1!C71</f>
        <v>0</v>
      </c>
      <c r="F69" s="877">
        <f>Financials1!B71</f>
        <v>0</v>
      </c>
    </row>
    <row r="70" spans="1:6" x14ac:dyDescent="0.2">
      <c r="A70" s="874" t="s">
        <v>2732</v>
      </c>
      <c r="B70" s="874" t="s">
        <v>3010</v>
      </c>
      <c r="C70" s="875" t="s">
        <v>2038</v>
      </c>
      <c r="D70" s="875" t="s">
        <v>2038</v>
      </c>
      <c r="E70" s="875" t="s">
        <v>2038</v>
      </c>
      <c r="F70" s="875" t="s">
        <v>2038</v>
      </c>
    </row>
    <row r="71" spans="1:6" x14ac:dyDescent="0.2">
      <c r="A71" s="876" t="s">
        <v>2734</v>
      </c>
      <c r="B71" s="876" t="s">
        <v>3011</v>
      </c>
      <c r="C71" s="875" t="s">
        <v>2038</v>
      </c>
      <c r="D71" s="875" t="s">
        <v>2038</v>
      </c>
      <c r="E71" s="875" t="s">
        <v>2038</v>
      </c>
      <c r="F71" s="875" t="s">
        <v>2038</v>
      </c>
    </row>
    <row r="72" spans="1:6" x14ac:dyDescent="0.2">
      <c r="A72" s="880" t="s">
        <v>2736</v>
      </c>
      <c r="B72" s="880" t="s">
        <v>3012</v>
      </c>
      <c r="C72" s="884">
        <f>Financials1!E47</f>
        <v>0</v>
      </c>
      <c r="D72" s="884">
        <f>Financials1!D47</f>
        <v>3884944.43</v>
      </c>
      <c r="E72" s="884">
        <f>Financials1!C47</f>
        <v>2605512.21</v>
      </c>
      <c r="F72" s="884">
        <f>Financials1!B47</f>
        <v>0</v>
      </c>
    </row>
    <row r="73" spans="1:6" x14ac:dyDescent="0.2">
      <c r="A73" s="876" t="s">
        <v>2740</v>
      </c>
      <c r="B73" s="876" t="s">
        <v>3013</v>
      </c>
      <c r="C73" s="875" t="s">
        <v>2038</v>
      </c>
      <c r="D73" s="875" t="s">
        <v>2038</v>
      </c>
      <c r="E73" s="875" t="s">
        <v>2038</v>
      </c>
      <c r="F73" s="875" t="s">
        <v>2038</v>
      </c>
    </row>
    <row r="74" spans="1:6" x14ac:dyDescent="0.2">
      <c r="A74" s="880" t="s">
        <v>2742</v>
      </c>
      <c r="B74" s="880" t="s">
        <v>3014</v>
      </c>
      <c r="C74" s="879"/>
      <c r="D74" s="879"/>
      <c r="E74" s="879"/>
      <c r="F74" s="879"/>
    </row>
    <row r="75" spans="1:6" x14ac:dyDescent="0.2">
      <c r="A75" s="880" t="s">
        <v>2743</v>
      </c>
      <c r="B75" s="880" t="s">
        <v>3015</v>
      </c>
      <c r="C75" s="879"/>
      <c r="D75" s="879"/>
      <c r="E75" s="879"/>
      <c r="F75" s="879"/>
    </row>
    <row r="76" spans="1:6" x14ac:dyDescent="0.2">
      <c r="A76" s="880" t="s">
        <v>3016</v>
      </c>
      <c r="B76" s="880" t="s">
        <v>3017</v>
      </c>
      <c r="C76" s="879"/>
      <c r="D76" s="879"/>
      <c r="E76" s="879"/>
      <c r="F76" s="879"/>
    </row>
    <row r="77" spans="1:6" x14ac:dyDescent="0.2">
      <c r="A77" s="876" t="s">
        <v>2744</v>
      </c>
      <c r="B77" s="876" t="s">
        <v>3018</v>
      </c>
      <c r="C77" s="875" t="s">
        <v>2038</v>
      </c>
      <c r="D77" s="875" t="s">
        <v>2038</v>
      </c>
      <c r="E77" s="875" t="s">
        <v>2038</v>
      </c>
      <c r="F77" s="875" t="s">
        <v>2038</v>
      </c>
    </row>
    <row r="78" spans="1:6" ht="22.5" x14ac:dyDescent="0.2">
      <c r="A78" s="880" t="s">
        <v>3019</v>
      </c>
      <c r="B78" s="880" t="s">
        <v>3020</v>
      </c>
      <c r="C78" s="884">
        <f>Financials1!E46</f>
        <v>0</v>
      </c>
      <c r="D78" s="884">
        <f>Financials1!D46</f>
        <v>9283609.5099999998</v>
      </c>
      <c r="E78" s="884">
        <f>Financials1!C46</f>
        <v>9663014.9000000004</v>
      </c>
      <c r="F78" s="884">
        <f>Financials1!B46</f>
        <v>0</v>
      </c>
    </row>
    <row r="79" spans="1:6" x14ac:dyDescent="0.2">
      <c r="A79" s="880" t="s">
        <v>3021</v>
      </c>
      <c r="B79" s="880" t="s">
        <v>3022</v>
      </c>
      <c r="C79" s="879"/>
      <c r="D79" s="879"/>
      <c r="E79" s="879"/>
      <c r="F79" s="879"/>
    </row>
    <row r="80" spans="1:6" x14ac:dyDescent="0.2">
      <c r="A80" s="880" t="s">
        <v>3023</v>
      </c>
      <c r="B80" s="880" t="s">
        <v>3024</v>
      </c>
      <c r="C80" s="879"/>
      <c r="D80" s="879"/>
      <c r="E80" s="879"/>
      <c r="F80" s="879"/>
    </row>
    <row r="81" spans="1:6" x14ac:dyDescent="0.2">
      <c r="A81" s="876" t="s">
        <v>2746</v>
      </c>
      <c r="B81" s="876" t="s">
        <v>3025</v>
      </c>
      <c r="C81" s="875" t="s">
        <v>2038</v>
      </c>
      <c r="D81" s="875" t="s">
        <v>2038</v>
      </c>
      <c r="E81" s="875" t="s">
        <v>2038</v>
      </c>
      <c r="F81" s="875" t="s">
        <v>2038</v>
      </c>
    </row>
    <row r="82" spans="1:6" x14ac:dyDescent="0.2">
      <c r="A82" s="880" t="s">
        <v>3026</v>
      </c>
      <c r="B82" s="880" t="s">
        <v>3027</v>
      </c>
      <c r="C82" s="884">
        <f>Financials1!E44</f>
        <v>0</v>
      </c>
      <c r="D82" s="884">
        <f>Financials1!D44</f>
        <v>38665987</v>
      </c>
      <c r="E82" s="884">
        <f>Financials1!C44</f>
        <v>34339063</v>
      </c>
      <c r="F82" s="884">
        <f>Financials1!B44</f>
        <v>0</v>
      </c>
    </row>
    <row r="83" spans="1:6" x14ac:dyDescent="0.2">
      <c r="A83" s="880" t="s">
        <v>3028</v>
      </c>
      <c r="B83" s="880" t="s">
        <v>3029</v>
      </c>
      <c r="C83" s="879"/>
      <c r="D83" s="879"/>
      <c r="E83" s="879"/>
      <c r="F83" s="879"/>
    </row>
    <row r="84" spans="1:6" x14ac:dyDescent="0.2">
      <c r="A84" s="880" t="s">
        <v>3030</v>
      </c>
      <c r="B84" s="880" t="s">
        <v>3031</v>
      </c>
      <c r="C84" s="879"/>
      <c r="D84" s="879"/>
      <c r="E84" s="879"/>
      <c r="F84" s="879"/>
    </row>
    <row r="85" spans="1:6" x14ac:dyDescent="0.2">
      <c r="A85" s="880" t="s">
        <v>3032</v>
      </c>
      <c r="B85" s="880" t="s">
        <v>3033</v>
      </c>
      <c r="C85" s="879"/>
      <c r="D85" s="879"/>
      <c r="E85" s="879"/>
      <c r="F85" s="879"/>
    </row>
    <row r="86" spans="1:6" x14ac:dyDescent="0.2">
      <c r="A86" s="880" t="s">
        <v>3034</v>
      </c>
      <c r="B86" s="880" t="s">
        <v>3035</v>
      </c>
      <c r="C86" s="879"/>
      <c r="D86" s="879"/>
      <c r="E86" s="879"/>
      <c r="F86" s="879"/>
    </row>
    <row r="87" spans="1:6" x14ac:dyDescent="0.2">
      <c r="A87" s="880" t="s">
        <v>3036</v>
      </c>
      <c r="B87" s="880" t="s">
        <v>3037</v>
      </c>
      <c r="C87" s="879"/>
      <c r="D87" s="879"/>
      <c r="E87" s="879"/>
      <c r="F87" s="879"/>
    </row>
    <row r="88" spans="1:6" x14ac:dyDescent="0.2">
      <c r="A88" s="880" t="s">
        <v>3038</v>
      </c>
      <c r="B88" s="880" t="s">
        <v>3039</v>
      </c>
      <c r="C88" s="878">
        <f>(C86+C87)</f>
        <v>0</v>
      </c>
      <c r="D88" s="878">
        <f>(D86+D87)</f>
        <v>0</v>
      </c>
      <c r="E88" s="878">
        <f>(E86+E87)</f>
        <v>0</v>
      </c>
      <c r="F88" s="878">
        <f>(F86+F87)</f>
        <v>0</v>
      </c>
    </row>
    <row r="89" spans="1:6" x14ac:dyDescent="0.2">
      <c r="A89" s="880" t="s">
        <v>3040</v>
      </c>
      <c r="B89" s="880" t="s">
        <v>3041</v>
      </c>
      <c r="C89" s="879"/>
      <c r="D89" s="879"/>
      <c r="E89" s="879"/>
      <c r="F89" s="879"/>
    </row>
    <row r="90" spans="1:6" x14ac:dyDescent="0.2">
      <c r="A90" s="880" t="s">
        <v>3042</v>
      </c>
      <c r="B90" s="880" t="s">
        <v>3043</v>
      </c>
      <c r="C90" s="878">
        <f>(C82+C83+C84+C85+C88+C89)</f>
        <v>0</v>
      </c>
      <c r="D90" s="878">
        <f>(D82+D83+D84+D85+D88+D89)</f>
        <v>38665987</v>
      </c>
      <c r="E90" s="878">
        <f>(E82+E83+E84+E85+E88+E89)</f>
        <v>34339063</v>
      </c>
      <c r="F90" s="878">
        <f>(F82+F83+F84+F85+F88+F89)</f>
        <v>0</v>
      </c>
    </row>
    <row r="91" spans="1:6" x14ac:dyDescent="0.2">
      <c r="A91" s="880" t="s">
        <v>3044</v>
      </c>
      <c r="B91" s="880" t="s">
        <v>3045</v>
      </c>
      <c r="C91" s="879"/>
      <c r="D91" s="879"/>
      <c r="E91" s="879"/>
      <c r="F91" s="879"/>
    </row>
    <row r="92" spans="1:6" x14ac:dyDescent="0.2">
      <c r="A92" s="880" t="s">
        <v>3046</v>
      </c>
      <c r="B92" s="880" t="s">
        <v>3047</v>
      </c>
      <c r="C92" s="879"/>
      <c r="D92" s="879"/>
      <c r="E92" s="879"/>
      <c r="F92" s="879"/>
    </row>
    <row r="93" spans="1:6" x14ac:dyDescent="0.2">
      <c r="A93" s="876" t="s">
        <v>2748</v>
      </c>
      <c r="B93" s="876" t="s">
        <v>3048</v>
      </c>
      <c r="C93" s="875" t="s">
        <v>2038</v>
      </c>
      <c r="D93" s="875" t="s">
        <v>2038</v>
      </c>
      <c r="E93" s="875" t="s">
        <v>2038</v>
      </c>
      <c r="F93" s="875" t="s">
        <v>2038</v>
      </c>
    </row>
    <row r="94" spans="1:6" x14ac:dyDescent="0.2">
      <c r="A94" s="880" t="s">
        <v>3049</v>
      </c>
      <c r="B94" s="880" t="s">
        <v>3050</v>
      </c>
      <c r="C94" s="879"/>
      <c r="D94" s="879"/>
      <c r="E94" s="879"/>
      <c r="F94" s="879"/>
    </row>
    <row r="95" spans="1:6" x14ac:dyDescent="0.2">
      <c r="A95" s="880" t="s">
        <v>3051</v>
      </c>
      <c r="B95" s="880" t="s">
        <v>3052</v>
      </c>
      <c r="C95" s="879"/>
      <c r="D95" s="879"/>
      <c r="E95" s="879"/>
      <c r="F95" s="879"/>
    </row>
    <row r="96" spans="1:6" x14ac:dyDescent="0.2">
      <c r="A96" s="880" t="s">
        <v>3053</v>
      </c>
      <c r="B96" s="880" t="s">
        <v>3054</v>
      </c>
      <c r="C96" s="879"/>
      <c r="D96" s="879"/>
      <c r="E96" s="879"/>
      <c r="F96" s="879"/>
    </row>
    <row r="97" spans="1:6" x14ac:dyDescent="0.2">
      <c r="A97" s="880" t="s">
        <v>3055</v>
      </c>
      <c r="B97" s="880" t="s">
        <v>3056</v>
      </c>
      <c r="C97" s="879"/>
      <c r="D97" s="879"/>
      <c r="E97" s="879"/>
      <c r="F97" s="879"/>
    </row>
    <row r="98" spans="1:6" x14ac:dyDescent="0.2">
      <c r="A98" s="880" t="s">
        <v>3057</v>
      </c>
      <c r="B98" s="880" t="s">
        <v>3058</v>
      </c>
      <c r="C98" s="884">
        <f>Financials1!E48</f>
        <v>0</v>
      </c>
      <c r="D98" s="884">
        <f>Financials1!D48</f>
        <v>19626290.010000002</v>
      </c>
      <c r="E98" s="884">
        <f>Financials1!C48</f>
        <v>23547792.150000002</v>
      </c>
      <c r="F98" s="884">
        <f>Financials1!B48</f>
        <v>0</v>
      </c>
    </row>
    <row r="99" spans="1:6" x14ac:dyDescent="0.2">
      <c r="A99" s="876" t="s">
        <v>2750</v>
      </c>
      <c r="B99" s="876" t="s">
        <v>3059</v>
      </c>
      <c r="C99" s="878">
        <f>(C72+C74+C75+C76+C78+C79+C80+C82+C83+C84+C85+C88+C89+C91+C92+C94+C95+C96+C97+C98)</f>
        <v>0</v>
      </c>
      <c r="D99" s="878">
        <f>(D72+D74+D75+D76+D78+D79+D80+D82+D83+D84+D85+D88+D89+D91+D92+D94+D95+D96+D97+D98)</f>
        <v>71460830.950000003</v>
      </c>
      <c r="E99" s="878">
        <f>(E72+E74+E75+E76+E78+E79+E80+E82+E83+E84+E85+E88+E89+E91+E92+E94+E95+E96+E97+E98)</f>
        <v>70155382.260000005</v>
      </c>
      <c r="F99" s="878">
        <f>(F72+F74+F75+F76+F78+F79+F80+F82+F83+F84+F85+F88+F89+F91+F92+F94+F95+F96+F97+F98)</f>
        <v>0</v>
      </c>
    </row>
    <row r="100" spans="1:6" x14ac:dyDescent="0.2">
      <c r="A100" s="876" t="s">
        <v>2752</v>
      </c>
      <c r="B100" s="876" t="s">
        <v>3060</v>
      </c>
      <c r="C100" s="875" t="s">
        <v>2038</v>
      </c>
      <c r="D100" s="875" t="s">
        <v>2038</v>
      </c>
      <c r="E100" s="875" t="s">
        <v>2038</v>
      </c>
      <c r="F100" s="875" t="s">
        <v>2038</v>
      </c>
    </row>
    <row r="101" spans="1:6" x14ac:dyDescent="0.2">
      <c r="A101" s="880" t="s">
        <v>3061</v>
      </c>
      <c r="B101" s="880" t="s">
        <v>3062</v>
      </c>
      <c r="C101" s="879"/>
      <c r="D101" s="879"/>
      <c r="E101" s="879"/>
      <c r="F101" s="879"/>
    </row>
    <row r="102" spans="1:6" x14ac:dyDescent="0.2">
      <c r="A102" s="880" t="s">
        <v>3063</v>
      </c>
      <c r="B102" s="880" t="s">
        <v>3064</v>
      </c>
      <c r="C102" s="879"/>
      <c r="D102" s="879"/>
      <c r="E102" s="879"/>
      <c r="F102" s="879"/>
    </row>
    <row r="103" spans="1:6" x14ac:dyDescent="0.2">
      <c r="A103" s="880" t="s">
        <v>3065</v>
      </c>
      <c r="B103" s="880" t="s">
        <v>3066</v>
      </c>
      <c r="C103" s="879"/>
      <c r="D103" s="879"/>
      <c r="E103" s="879"/>
      <c r="F103" s="879"/>
    </row>
    <row r="104" spans="1:6" x14ac:dyDescent="0.2">
      <c r="A104" s="880" t="s">
        <v>3067</v>
      </c>
      <c r="B104" s="880" t="s">
        <v>3068</v>
      </c>
      <c r="C104" s="879"/>
      <c r="D104" s="879"/>
      <c r="E104" s="879"/>
      <c r="F104" s="879"/>
    </row>
    <row r="105" spans="1:6" x14ac:dyDescent="0.2">
      <c r="A105" s="880" t="s">
        <v>3069</v>
      </c>
      <c r="B105" s="880" t="s">
        <v>3070</v>
      </c>
      <c r="C105" s="879"/>
      <c r="D105" s="879"/>
      <c r="E105" s="879"/>
      <c r="F105" s="879"/>
    </row>
    <row r="106" spans="1:6" x14ac:dyDescent="0.2">
      <c r="A106" s="880" t="s">
        <v>3071</v>
      </c>
      <c r="B106" s="880" t="s">
        <v>3072</v>
      </c>
      <c r="C106" s="884">
        <f>Financials1!E41</f>
        <v>0</v>
      </c>
      <c r="D106" s="884">
        <f>Financials1!D41</f>
        <v>19681024.66</v>
      </c>
      <c r="E106" s="884">
        <f>Financials1!C41</f>
        <v>17858704.129999999</v>
      </c>
      <c r="F106" s="884">
        <f>Financials1!B41</f>
        <v>0</v>
      </c>
    </row>
    <row r="107" spans="1:6" x14ac:dyDescent="0.2">
      <c r="A107" s="880" t="s">
        <v>3073</v>
      </c>
      <c r="B107" s="880" t="s">
        <v>3074</v>
      </c>
      <c r="C107" s="879"/>
      <c r="D107" s="879"/>
      <c r="E107" s="879"/>
      <c r="F107" s="879"/>
    </row>
    <row r="108" spans="1:6" x14ac:dyDescent="0.2">
      <c r="A108" s="880" t="s">
        <v>3075</v>
      </c>
      <c r="B108" s="880" t="s">
        <v>3076</v>
      </c>
      <c r="C108" s="878">
        <f>(C101+C102+C103+C104+C105+C106+C107)</f>
        <v>0</v>
      </c>
      <c r="D108" s="878">
        <f>(D101+D102+D103+D104+D105+D106+D107)</f>
        <v>19681024.66</v>
      </c>
      <c r="E108" s="878">
        <f>(E101+E102+E103+E104+E105+E106+E107)</f>
        <v>17858704.129999999</v>
      </c>
      <c r="F108" s="878">
        <f>(F101+F102+F103+F104+F105+F106+F107)</f>
        <v>0</v>
      </c>
    </row>
    <row r="109" spans="1:6" x14ac:dyDescent="0.2">
      <c r="A109" s="880" t="s">
        <v>3077</v>
      </c>
      <c r="B109" s="880" t="s">
        <v>3078</v>
      </c>
      <c r="C109" s="879"/>
      <c r="D109" s="879"/>
      <c r="E109" s="879"/>
      <c r="F109" s="879"/>
    </row>
    <row r="110" spans="1:6" x14ac:dyDescent="0.2">
      <c r="A110" s="880" t="s">
        <v>3079</v>
      </c>
      <c r="B110" s="880" t="s">
        <v>3080</v>
      </c>
      <c r="C110" s="878">
        <f>(C108-C109-C53)</f>
        <v>0</v>
      </c>
      <c r="D110" s="878">
        <f>(D108-D109-D53)</f>
        <v>19681024.66</v>
      </c>
      <c r="E110" s="878">
        <f>(E108-E109-E53)</f>
        <v>17858704.129999999</v>
      </c>
      <c r="F110" s="878">
        <f>(F108-F109-F53)</f>
        <v>0</v>
      </c>
    </row>
    <row r="111" spans="1:6" x14ac:dyDescent="0.2">
      <c r="A111" s="876" t="s">
        <v>2754</v>
      </c>
      <c r="B111" s="876" t="s">
        <v>3081</v>
      </c>
      <c r="C111" s="875" t="s">
        <v>2038</v>
      </c>
      <c r="D111" s="875" t="s">
        <v>2038</v>
      </c>
      <c r="E111" s="875" t="s">
        <v>2038</v>
      </c>
      <c r="F111" s="875" t="s">
        <v>2038</v>
      </c>
    </row>
    <row r="112" spans="1:6" x14ac:dyDescent="0.2">
      <c r="A112" s="880" t="s">
        <v>3082</v>
      </c>
      <c r="B112" s="880" t="s">
        <v>3083</v>
      </c>
      <c r="C112" s="879"/>
      <c r="D112" s="879"/>
      <c r="E112" s="879"/>
      <c r="F112" s="879"/>
    </row>
    <row r="113" spans="1:6" x14ac:dyDescent="0.2">
      <c r="A113" s="880" t="s">
        <v>3084</v>
      </c>
      <c r="B113" s="880" t="s">
        <v>3085</v>
      </c>
      <c r="C113" s="884">
        <f>Financials1!E42</f>
        <v>0</v>
      </c>
      <c r="D113" s="884">
        <f>Financials1!D42</f>
        <v>0</v>
      </c>
      <c r="E113" s="884">
        <f>Financials1!C42</f>
        <v>0</v>
      </c>
      <c r="F113" s="884">
        <f>Financials1!B42</f>
        <v>0</v>
      </c>
    </row>
    <row r="114" spans="1:6" x14ac:dyDescent="0.2">
      <c r="A114" s="880" t="s">
        <v>3086</v>
      </c>
      <c r="B114" s="880" t="s">
        <v>3087</v>
      </c>
      <c r="C114" s="877">
        <f>+Financials1!E58</f>
        <v>0</v>
      </c>
      <c r="D114" s="877">
        <f>+Financials1!D58</f>
        <v>0</v>
      </c>
      <c r="E114" s="877">
        <f>+Financials1!C58</f>
        <v>0</v>
      </c>
      <c r="F114" s="877">
        <f>+Financials1!B58</f>
        <v>0</v>
      </c>
    </row>
    <row r="115" spans="1:6" x14ac:dyDescent="0.2">
      <c r="A115" s="880" t="s">
        <v>3088</v>
      </c>
      <c r="B115" s="880" t="s">
        <v>3089</v>
      </c>
      <c r="C115" s="879"/>
      <c r="D115" s="879"/>
      <c r="E115" s="879"/>
      <c r="F115" s="879"/>
    </row>
    <row r="116" spans="1:6" x14ac:dyDescent="0.2">
      <c r="A116" s="880" t="s">
        <v>3090</v>
      </c>
      <c r="B116" s="880" t="s">
        <v>3091</v>
      </c>
      <c r="C116" s="879"/>
      <c r="D116" s="879"/>
      <c r="E116" s="879"/>
      <c r="F116" s="879"/>
    </row>
    <row r="117" spans="1:6" x14ac:dyDescent="0.2">
      <c r="A117" s="880" t="s">
        <v>3092</v>
      </c>
      <c r="B117" s="880" t="s">
        <v>3093</v>
      </c>
      <c r="C117" s="877">
        <f>Financials1!E45</f>
        <v>0</v>
      </c>
      <c r="D117" s="877">
        <f>Financials1!D45</f>
        <v>0</v>
      </c>
      <c r="E117" s="877">
        <f>Financials1!C45</f>
        <v>0</v>
      </c>
      <c r="F117" s="877">
        <f>Financials1!B45</f>
        <v>0</v>
      </c>
    </row>
    <row r="118" spans="1:6" x14ac:dyDescent="0.2">
      <c r="A118" s="880" t="s">
        <v>3094</v>
      </c>
      <c r="B118" s="880" t="s">
        <v>3095</v>
      </c>
      <c r="C118" s="879"/>
      <c r="D118" s="879"/>
      <c r="E118" s="879"/>
      <c r="F118" s="879"/>
    </row>
    <row r="119" spans="1:6" x14ac:dyDescent="0.2">
      <c r="A119" s="880" t="s">
        <v>3096</v>
      </c>
      <c r="B119" s="880" t="s">
        <v>3097</v>
      </c>
      <c r="C119" s="879"/>
      <c r="D119" s="879"/>
      <c r="E119" s="879"/>
      <c r="F119" s="879"/>
    </row>
    <row r="120" spans="1:6" ht="33.75" x14ac:dyDescent="0.2">
      <c r="A120" s="880" t="s">
        <v>3098</v>
      </c>
      <c r="B120" s="880" t="s">
        <v>3099</v>
      </c>
      <c r="C120" s="884">
        <f>Financials1!E50</f>
        <v>0</v>
      </c>
      <c r="D120" s="884">
        <f>Financials1!D50</f>
        <v>5517831.4399999995</v>
      </c>
      <c r="E120" s="884">
        <f>Financials1!C50</f>
        <v>10721078.82</v>
      </c>
      <c r="F120" s="884">
        <f>Financials1!B50</f>
        <v>0</v>
      </c>
    </row>
    <row r="121" spans="1:6" x14ac:dyDescent="0.2">
      <c r="A121" s="880" t="s">
        <v>3100</v>
      </c>
      <c r="B121" s="880" t="s">
        <v>3101</v>
      </c>
      <c r="C121" s="879"/>
      <c r="D121" s="879"/>
      <c r="E121" s="879"/>
      <c r="F121" s="879"/>
    </row>
    <row r="122" spans="1:6" x14ac:dyDescent="0.2">
      <c r="A122" s="880" t="s">
        <v>3102</v>
      </c>
      <c r="B122" s="880" t="s">
        <v>3103</v>
      </c>
      <c r="C122" s="879"/>
      <c r="D122" s="879"/>
      <c r="E122" s="879"/>
      <c r="F122" s="879"/>
    </row>
    <row r="123" spans="1:6" x14ac:dyDescent="0.2">
      <c r="A123" s="880" t="s">
        <v>3104</v>
      </c>
      <c r="B123" s="880" t="s">
        <v>3105</v>
      </c>
      <c r="C123" s="877">
        <f>Financials1!E51</f>
        <v>0</v>
      </c>
      <c r="D123" s="877">
        <f>Financials1!D51</f>
        <v>0</v>
      </c>
      <c r="E123" s="877">
        <f>Financials1!C51</f>
        <v>0</v>
      </c>
      <c r="F123" s="877">
        <f>Financials1!B51</f>
        <v>0</v>
      </c>
    </row>
    <row r="124" spans="1:6" x14ac:dyDescent="0.2">
      <c r="A124" s="880" t="s">
        <v>3106</v>
      </c>
      <c r="B124" s="880" t="s">
        <v>3107</v>
      </c>
      <c r="C124" s="878">
        <f>(C112+C113+C114+C115+C116+C117+C118+C119+C120+C121+C122+C123)</f>
        <v>0</v>
      </c>
      <c r="D124" s="878">
        <f>(D112+D113+D114+D115+D116+D117+D118+D119+D120+D121+D122+D123)</f>
        <v>5517831.4399999995</v>
      </c>
      <c r="E124" s="878">
        <f>(E112+E113+E114+E115+E116+E117+E118+E119+E120+E121+E122+E123)</f>
        <v>10721078.82</v>
      </c>
      <c r="F124" s="878">
        <f>(F112+F113+F114+F115+F116+F117+F118+F119+F120+F121+F122+F123)</f>
        <v>0</v>
      </c>
    </row>
    <row r="125" spans="1:6" ht="22.5" x14ac:dyDescent="0.2">
      <c r="A125" s="876" t="s">
        <v>2756</v>
      </c>
      <c r="B125" s="876" t="s">
        <v>3108</v>
      </c>
      <c r="C125" s="875" t="s">
        <v>2038</v>
      </c>
      <c r="D125" s="875" t="s">
        <v>2038</v>
      </c>
      <c r="E125" s="875" t="s">
        <v>2038</v>
      </c>
      <c r="F125" s="875" t="s">
        <v>2038</v>
      </c>
    </row>
    <row r="126" spans="1:6" ht="22.5" x14ac:dyDescent="0.2">
      <c r="A126" s="880" t="s">
        <v>3109</v>
      </c>
      <c r="B126" s="880" t="s">
        <v>3110</v>
      </c>
      <c r="C126" s="879"/>
      <c r="D126" s="879"/>
      <c r="E126" s="879"/>
      <c r="F126" s="879"/>
    </row>
    <row r="127" spans="1:6" x14ac:dyDescent="0.2">
      <c r="A127" s="880" t="s">
        <v>3111</v>
      </c>
      <c r="B127" s="880" t="s">
        <v>3112</v>
      </c>
      <c r="C127" s="879"/>
      <c r="D127" s="879"/>
      <c r="E127" s="879"/>
      <c r="F127" s="879"/>
    </row>
    <row r="128" spans="1:6" x14ac:dyDescent="0.2">
      <c r="A128" s="880" t="s">
        <v>3113</v>
      </c>
      <c r="B128" s="880" t="s">
        <v>2759</v>
      </c>
      <c r="C128" s="878">
        <f>(C126+C127)</f>
        <v>0</v>
      </c>
      <c r="D128" s="878">
        <f>(D126+D127)</f>
        <v>0</v>
      </c>
      <c r="E128" s="878">
        <f>(E126+E127)</f>
        <v>0</v>
      </c>
      <c r="F128" s="878">
        <f>(F126+F127)</f>
        <v>0</v>
      </c>
    </row>
    <row r="129" spans="1:6" x14ac:dyDescent="0.2">
      <c r="A129" s="876" t="s">
        <v>2758</v>
      </c>
      <c r="B129" s="876" t="s">
        <v>3114</v>
      </c>
      <c r="C129" s="878">
        <f>(C99+C110+C124+C128)</f>
        <v>0</v>
      </c>
      <c r="D129" s="878">
        <f>(D99+D110+D124+D128)</f>
        <v>96659687.049999997</v>
      </c>
      <c r="E129" s="878">
        <f>(E99+E110+E124+E128)</f>
        <v>98735165.210000008</v>
      </c>
      <c r="F129" s="878">
        <f>(F99+F110+F124+F128)</f>
        <v>0</v>
      </c>
    </row>
    <row r="130" spans="1:6" x14ac:dyDescent="0.2">
      <c r="A130" s="876" t="s">
        <v>2760</v>
      </c>
      <c r="B130" s="876" t="s">
        <v>3115</v>
      </c>
      <c r="C130" s="878">
        <f>(C60-C53-C128)</f>
        <v>0</v>
      </c>
      <c r="D130" s="878">
        <f>(D60-D53-D128)</f>
        <v>14223023.390000001</v>
      </c>
      <c r="E130" s="878">
        <f>(E60-E53-E128)</f>
        <v>21720039.760000002</v>
      </c>
      <c r="F130" s="878">
        <f>(F60-F53-F128)</f>
        <v>0</v>
      </c>
    </row>
    <row r="131" spans="1:6" x14ac:dyDescent="0.2">
      <c r="A131" s="876" t="s">
        <v>2762</v>
      </c>
      <c r="B131" s="876" t="s">
        <v>3116</v>
      </c>
      <c r="C131" s="878">
        <f>(C61-C129)</f>
        <v>0</v>
      </c>
      <c r="D131" s="878">
        <f>(D61-D129)</f>
        <v>0</v>
      </c>
      <c r="E131" s="878">
        <f>(E61-E129)</f>
        <v>0</v>
      </c>
      <c r="F131" s="878">
        <f>(F61-F129)</f>
        <v>0</v>
      </c>
    </row>
  </sheetData>
  <pageMargins left="0.7" right="0.7" top="0.75" bottom="0.75" header="0.3" footer="0.3"/>
  <pageSetup paperSize="9" orientation="portrait" r:id="rId1"/>
  <headerFooter>
    <oddFooter>&amp;C&amp;1#&amp;"Calibri"&amp;10&amp;K000000 For internal use only</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pageSetUpPr fitToPage="1"/>
  </sheetPr>
  <dimension ref="A1:O104"/>
  <sheetViews>
    <sheetView zoomScale="75" zoomScaleNormal="75" workbookViewId="0">
      <selection activeCell="R1" sqref="R1:R1048576"/>
    </sheetView>
  </sheetViews>
  <sheetFormatPr defaultColWidth="0" defaultRowHeight="0" customHeight="1" zeroHeight="1" x14ac:dyDescent="0.2"/>
  <cols>
    <col min="1" max="1" width="53.140625" style="50" customWidth="1"/>
    <col min="2" max="3" width="20.28515625" style="50" customWidth="1"/>
    <col min="4" max="4" width="20.5703125" style="50" customWidth="1"/>
    <col min="5" max="5" width="21.140625" style="50" customWidth="1"/>
    <col min="6" max="8" width="18.28515625" style="50" customWidth="1"/>
    <col min="9" max="9" width="38.42578125" style="50" customWidth="1"/>
    <col min="10" max="10" width="16.140625" style="1435" hidden="1" customWidth="1"/>
    <col min="11" max="12" width="9.140625" style="114" customWidth="1"/>
    <col min="13" max="13" width="25.140625" style="114" customWidth="1"/>
    <col min="14" max="14" width="9.140625" style="114" customWidth="1"/>
    <col min="15" max="15" width="0" style="48" hidden="1" customWidth="1"/>
    <col min="16" max="16384" width="9.140625" style="48" hidden="1"/>
  </cols>
  <sheetData>
    <row r="1" spans="1:15" ht="14.25" customHeight="1" x14ac:dyDescent="0.2">
      <c r="A1" s="2095" t="str">
        <f>'Borrower Details'!A2</f>
        <v>Mortgage-Magnus-Unsecured</v>
      </c>
      <c r="B1" s="2096"/>
      <c r="C1" s="2096"/>
      <c r="D1" s="2096"/>
      <c r="E1" s="2096"/>
      <c r="F1" s="933"/>
      <c r="G1" s="933"/>
      <c r="H1" s="933"/>
      <c r="I1" s="934"/>
      <c r="K1" s="2119" t="s">
        <v>186</v>
      </c>
      <c r="L1" s="2101"/>
      <c r="M1" s="2101"/>
      <c r="N1" s="941"/>
      <c r="O1" s="964"/>
    </row>
    <row r="2" spans="1:15" ht="18" x14ac:dyDescent="0.2">
      <c r="A2" s="2097"/>
      <c r="B2" s="2098"/>
      <c r="C2" s="2098"/>
      <c r="D2" s="2098"/>
      <c r="E2" s="2098"/>
      <c r="F2" s="935"/>
      <c r="G2" s="935"/>
      <c r="H2" s="935"/>
      <c r="I2" s="936" t="s">
        <v>3</v>
      </c>
      <c r="K2" s="2119"/>
      <c r="L2" s="2101"/>
      <c r="M2" s="2101"/>
      <c r="N2" s="941"/>
      <c r="O2" s="964"/>
    </row>
    <row r="3" spans="1:15" ht="14.25" customHeight="1" x14ac:dyDescent="0.2">
      <c r="A3" s="2099"/>
      <c r="B3" s="2100"/>
      <c r="C3" s="2100"/>
      <c r="D3" s="2100"/>
      <c r="E3" s="2100"/>
      <c r="F3" s="935"/>
      <c r="G3" s="935"/>
      <c r="H3" s="935"/>
      <c r="I3" s="937"/>
      <c r="K3" s="2119"/>
      <c r="L3" s="2101"/>
      <c r="M3" s="2101"/>
      <c r="N3" s="941"/>
      <c r="O3" s="964"/>
    </row>
    <row r="4" spans="1:15" s="47" customFormat="1" ht="15.75" x14ac:dyDescent="0.2">
      <c r="A4" s="19" t="s">
        <v>3228</v>
      </c>
      <c r="B4" s="2110"/>
      <c r="C4" s="2111"/>
      <c r="D4" s="2111"/>
      <c r="E4" s="2111"/>
      <c r="F4" s="940" t="s">
        <v>3231</v>
      </c>
      <c r="G4" s="1505"/>
      <c r="H4" s="940" t="s">
        <v>1804</v>
      </c>
      <c r="I4" s="1379"/>
      <c r="J4" s="1435"/>
      <c r="K4" s="941"/>
      <c r="L4" s="941"/>
      <c r="M4" s="941"/>
      <c r="N4" s="941"/>
      <c r="O4" s="6"/>
    </row>
    <row r="5" spans="1:15" ht="24.95" customHeight="1" x14ac:dyDescent="0.2">
      <c r="A5" s="2102" t="s">
        <v>58</v>
      </c>
      <c r="B5" s="2103"/>
      <c r="C5" s="2103"/>
      <c r="D5" s="2103"/>
      <c r="E5" s="2104"/>
      <c r="F5" s="2104"/>
      <c r="G5" s="2104"/>
      <c r="H5" s="2105"/>
      <c r="I5" s="2106"/>
      <c r="K5" s="965"/>
      <c r="L5" s="965"/>
      <c r="M5" s="965"/>
      <c r="N5" s="965"/>
      <c r="O5" s="964"/>
    </row>
    <row r="6" spans="1:15" s="113" customFormat="1" ht="24.95" customHeight="1" x14ac:dyDescent="0.2">
      <c r="A6" s="942" t="s">
        <v>3233</v>
      </c>
      <c r="B6" s="1380" t="s">
        <v>3234</v>
      </c>
      <c r="C6" s="1380" t="s">
        <v>3235</v>
      </c>
      <c r="D6" s="1381" t="s">
        <v>3236</v>
      </c>
      <c r="E6" s="1381" t="s">
        <v>3237</v>
      </c>
      <c r="F6" s="1382"/>
      <c r="G6" s="1382"/>
      <c r="H6" s="1382"/>
      <c r="I6" s="78"/>
      <c r="J6" s="1435" t="s">
        <v>3305</v>
      </c>
      <c r="K6" s="941"/>
      <c r="L6" s="941"/>
      <c r="M6" s="941"/>
    </row>
    <row r="7" spans="1:15" ht="36.75" customHeight="1" x14ac:dyDescent="0.2">
      <c r="A7" s="942" t="s">
        <v>3238</v>
      </c>
      <c r="B7" s="1383">
        <f>Financials1!B7</f>
        <v>44286</v>
      </c>
      <c r="C7" s="1383">
        <f>Financials1!C7</f>
        <v>43921</v>
      </c>
      <c r="D7" s="1383">
        <f>EDATE(C7,-12)</f>
        <v>43555</v>
      </c>
      <c r="E7" s="1383">
        <f t="shared" ref="E7" si="0">EDATE(D7,-12)</f>
        <v>43190</v>
      </c>
      <c r="F7" s="1376" t="str">
        <f>YEAR(B7) &amp; " to " &amp; YEAR(C7)</f>
        <v>2021 to 2020</v>
      </c>
      <c r="G7" s="1376" t="str">
        <f xml:space="preserve"> YEAR(C7) &amp; " to " &amp; YEAR(D7)</f>
        <v>2020 to 2019</v>
      </c>
      <c r="H7" s="1376" t="str">
        <f>YEAR(D7) &amp; " to " &amp; YEAR(E7)</f>
        <v>2019 to 2018</v>
      </c>
      <c r="I7" s="78" t="s">
        <v>296</v>
      </c>
      <c r="J7" s="1435" t="s">
        <v>3306</v>
      </c>
      <c r="K7" s="965"/>
      <c r="L7" s="965"/>
      <c r="M7" s="965"/>
      <c r="N7" s="965"/>
      <c r="O7" s="964"/>
    </row>
    <row r="8" spans="1:15" ht="15.75" x14ac:dyDescent="0.2">
      <c r="A8" s="942" t="s">
        <v>1802</v>
      </c>
      <c r="B8" s="386"/>
      <c r="C8" s="386"/>
      <c r="D8" s="386"/>
      <c r="E8" s="386"/>
      <c r="F8" s="1377" t="s">
        <v>3230</v>
      </c>
      <c r="G8" s="1377" t="s">
        <v>3230</v>
      </c>
      <c r="H8" s="1377" t="s">
        <v>3230</v>
      </c>
      <c r="I8" s="78"/>
      <c r="J8" s="1435" t="s">
        <v>3307</v>
      </c>
      <c r="K8" s="965"/>
      <c r="L8" s="965"/>
      <c r="M8" s="965"/>
      <c r="N8" s="965"/>
      <c r="O8" s="964"/>
    </row>
    <row r="9" spans="1:15" ht="16.5" thickBot="1" x14ac:dyDescent="0.25">
      <c r="A9" s="943" t="s">
        <v>1803</v>
      </c>
      <c r="B9" s="387"/>
      <c r="C9" s="387"/>
      <c r="D9" s="387"/>
      <c r="E9" s="387"/>
      <c r="F9" s="1377"/>
      <c r="G9" s="1377"/>
      <c r="H9" s="1377"/>
      <c r="I9" s="251"/>
      <c r="J9" s="1435" t="s">
        <v>3308</v>
      </c>
      <c r="K9" s="965"/>
      <c r="L9" s="965"/>
      <c r="M9" s="965"/>
      <c r="N9" s="965"/>
      <c r="O9" s="964"/>
    </row>
    <row r="10" spans="1:15" ht="16.5" thickBot="1" x14ac:dyDescent="0.25">
      <c r="A10" s="2107" t="s">
        <v>69</v>
      </c>
      <c r="B10" s="2108"/>
      <c r="C10" s="2108"/>
      <c r="D10" s="2108"/>
      <c r="E10" s="2108"/>
      <c r="F10" s="2108"/>
      <c r="G10" s="2108"/>
      <c r="H10" s="2108"/>
      <c r="I10" s="2109"/>
      <c r="K10" s="965"/>
      <c r="L10" s="965"/>
      <c r="M10" s="965"/>
      <c r="N10" s="965"/>
      <c r="O10" s="964"/>
    </row>
    <row r="11" spans="1:15" s="113" customFormat="1" ht="15" x14ac:dyDescent="0.2">
      <c r="A11" s="944" t="s">
        <v>4</v>
      </c>
      <c r="B11" s="963">
        <f>SUM(B12:B13)</f>
        <v>0</v>
      </c>
      <c r="C11" s="963">
        <f>SUM(C12:C13)</f>
        <v>0</v>
      </c>
      <c r="D11" s="963">
        <f t="shared" ref="D11:E11" si="1">SUM(D12:D13)</f>
        <v>0</v>
      </c>
      <c r="E11" s="963">
        <f t="shared" si="1"/>
        <v>0</v>
      </c>
      <c r="F11" s="178">
        <f t="shared" ref="F11:G35" si="2">IF(ISERROR((B11-C11)/C11),0,(B11-C11)/C11)</f>
        <v>0</v>
      </c>
      <c r="G11" s="178">
        <f t="shared" si="2"/>
        <v>0</v>
      </c>
      <c r="H11" s="178">
        <f t="shared" ref="H11:H35" si="3">IF(ISERROR((D11-E11)/E11),0,(D11-E11)/E11)</f>
        <v>0</v>
      </c>
      <c r="I11" s="2088" t="s">
        <v>499</v>
      </c>
      <c r="J11" s="1435" t="s">
        <v>3309</v>
      </c>
      <c r="K11" s="945"/>
      <c r="L11" s="945"/>
      <c r="M11" s="946"/>
      <c r="N11" s="941"/>
      <c r="O11" s="941"/>
    </row>
    <row r="12" spans="1:15" s="365" customFormat="1" ht="12.75" x14ac:dyDescent="0.2">
      <c r="A12" s="947" t="s">
        <v>1749</v>
      </c>
      <c r="B12" s="363"/>
      <c r="C12" s="363"/>
      <c r="D12" s="363"/>
      <c r="E12" s="363"/>
      <c r="F12" s="364">
        <f t="shared" si="2"/>
        <v>0</v>
      </c>
      <c r="G12" s="364">
        <f t="shared" si="2"/>
        <v>0</v>
      </c>
      <c r="H12" s="364">
        <f t="shared" si="3"/>
        <v>0</v>
      </c>
      <c r="I12" s="2088"/>
      <c r="J12" s="1436" t="s">
        <v>3310</v>
      </c>
      <c r="K12" s="948"/>
      <c r="L12" s="948"/>
      <c r="M12" s="949"/>
      <c r="N12" s="966"/>
      <c r="O12" s="966"/>
    </row>
    <row r="13" spans="1:15" s="365" customFormat="1" ht="12.75" x14ac:dyDescent="0.2">
      <c r="A13" s="947" t="s">
        <v>1752</v>
      </c>
      <c r="B13" s="363"/>
      <c r="C13" s="363"/>
      <c r="D13" s="363"/>
      <c r="E13" s="363"/>
      <c r="F13" s="364">
        <f t="shared" si="2"/>
        <v>0</v>
      </c>
      <c r="G13" s="364">
        <f t="shared" si="2"/>
        <v>0</v>
      </c>
      <c r="H13" s="364">
        <f t="shared" si="3"/>
        <v>0</v>
      </c>
      <c r="I13" s="2088"/>
      <c r="J13" s="1436" t="s">
        <v>3311</v>
      </c>
      <c r="K13" s="948"/>
      <c r="L13" s="948"/>
      <c r="M13" s="949"/>
      <c r="N13" s="966"/>
      <c r="O13" s="966"/>
    </row>
    <row r="14" spans="1:15" ht="15" x14ac:dyDescent="0.2">
      <c r="A14" s="944" t="s">
        <v>480</v>
      </c>
      <c r="B14" s="3"/>
      <c r="C14" s="3"/>
      <c r="D14" s="3"/>
      <c r="E14" s="3"/>
      <c r="F14" s="49">
        <f t="shared" si="2"/>
        <v>0</v>
      </c>
      <c r="G14" s="49">
        <f t="shared" si="2"/>
        <v>0</v>
      </c>
      <c r="H14" s="49">
        <f t="shared" si="3"/>
        <v>0</v>
      </c>
      <c r="I14" s="2088"/>
      <c r="J14" s="1435" t="s">
        <v>3312</v>
      </c>
      <c r="K14" s="948"/>
      <c r="L14" s="948"/>
      <c r="M14" s="949"/>
      <c r="N14" s="965"/>
      <c r="O14" s="964"/>
    </row>
    <row r="15" spans="1:15" ht="15" x14ac:dyDescent="0.2">
      <c r="A15" s="950" t="s">
        <v>481</v>
      </c>
      <c r="B15" s="1"/>
      <c r="C15" s="1"/>
      <c r="D15" s="1"/>
      <c r="E15" s="1"/>
      <c r="F15" s="49">
        <f t="shared" si="2"/>
        <v>0</v>
      </c>
      <c r="G15" s="49">
        <f t="shared" si="2"/>
        <v>0</v>
      </c>
      <c r="H15" s="49">
        <f t="shared" si="3"/>
        <v>0</v>
      </c>
      <c r="I15" s="2088"/>
      <c r="J15" s="1435" t="s">
        <v>3313</v>
      </c>
      <c r="K15" s="949"/>
      <c r="L15" s="949"/>
      <c r="M15" s="949"/>
      <c r="N15" s="965"/>
      <c r="O15" s="964"/>
    </row>
    <row r="16" spans="1:15" ht="15.75" x14ac:dyDescent="0.2">
      <c r="A16" s="952" t="s">
        <v>6</v>
      </c>
      <c r="B16" s="2">
        <f>B15+B11</f>
        <v>0</v>
      </c>
      <c r="C16" s="2">
        <f>C15+C11</f>
        <v>0</v>
      </c>
      <c r="D16" s="2">
        <f>D15+D11</f>
        <v>0</v>
      </c>
      <c r="E16" s="2">
        <f>E15+E11</f>
        <v>0</v>
      </c>
      <c r="F16" s="49">
        <f t="shared" si="2"/>
        <v>0</v>
      </c>
      <c r="G16" s="49">
        <f t="shared" si="2"/>
        <v>0</v>
      </c>
      <c r="H16" s="49">
        <f t="shared" si="3"/>
        <v>0</v>
      </c>
      <c r="I16" s="2088"/>
      <c r="J16" s="1435" t="s">
        <v>3314</v>
      </c>
      <c r="K16" s="949"/>
      <c r="L16" s="949"/>
      <c r="M16" s="949"/>
      <c r="N16" s="965"/>
      <c r="O16" s="964"/>
    </row>
    <row r="17" spans="1:15" ht="15" x14ac:dyDescent="0.2">
      <c r="A17" s="950" t="s">
        <v>27</v>
      </c>
      <c r="B17" s="1"/>
      <c r="C17" s="1"/>
      <c r="D17" s="1"/>
      <c r="E17" s="1"/>
      <c r="F17" s="49">
        <f t="shared" si="2"/>
        <v>0</v>
      </c>
      <c r="G17" s="49">
        <f t="shared" si="2"/>
        <v>0</v>
      </c>
      <c r="H17" s="49">
        <f t="shared" si="3"/>
        <v>0</v>
      </c>
      <c r="I17" s="2088"/>
      <c r="J17" s="1435" t="s">
        <v>3315</v>
      </c>
      <c r="K17" s="949"/>
      <c r="L17" s="949"/>
      <c r="M17" s="949"/>
      <c r="N17" s="965"/>
      <c r="O17" s="964"/>
    </row>
    <row r="18" spans="1:15" ht="15" x14ac:dyDescent="0.2">
      <c r="A18" s="950" t="s">
        <v>2019</v>
      </c>
      <c r="B18" s="1"/>
      <c r="C18" s="1"/>
      <c r="D18" s="1"/>
      <c r="E18" s="1"/>
      <c r="F18" s="49">
        <f t="shared" si="2"/>
        <v>0</v>
      </c>
      <c r="G18" s="49">
        <f t="shared" si="2"/>
        <v>0</v>
      </c>
      <c r="H18" s="49">
        <f t="shared" si="3"/>
        <v>0</v>
      </c>
      <c r="I18" s="2088"/>
      <c r="J18" s="1435" t="s">
        <v>3316</v>
      </c>
      <c r="K18" s="949"/>
      <c r="L18" s="949"/>
      <c r="M18" s="949"/>
      <c r="N18" s="965"/>
      <c r="O18" s="964"/>
    </row>
    <row r="19" spans="1:15" s="113" customFormat="1" ht="15" x14ac:dyDescent="0.2">
      <c r="A19" s="950" t="s">
        <v>1761</v>
      </c>
      <c r="B19" s="1"/>
      <c r="C19" s="1"/>
      <c r="D19" s="1"/>
      <c r="E19" s="1"/>
      <c r="F19" s="49">
        <f t="shared" si="2"/>
        <v>0</v>
      </c>
      <c r="G19" s="49">
        <f t="shared" si="2"/>
        <v>0</v>
      </c>
      <c r="H19" s="49">
        <f t="shared" si="3"/>
        <v>0</v>
      </c>
      <c r="I19" s="2088"/>
      <c r="J19" s="1435" t="s">
        <v>3317</v>
      </c>
      <c r="K19" s="946"/>
      <c r="L19" s="946"/>
      <c r="M19" s="946"/>
      <c r="N19" s="941"/>
      <c r="O19" s="941"/>
    </row>
    <row r="20" spans="1:15" ht="15.75" x14ac:dyDescent="0.2">
      <c r="A20" s="952" t="s">
        <v>28</v>
      </c>
      <c r="B20" s="2">
        <f>B11-(B17+B18)</f>
        <v>0</v>
      </c>
      <c r="C20" s="2">
        <f>C11-(C17+C18)</f>
        <v>0</v>
      </c>
      <c r="D20" s="2">
        <f t="shared" ref="D20:E20" si="4">D11-(D17+D18)</f>
        <v>0</v>
      </c>
      <c r="E20" s="2">
        <f t="shared" si="4"/>
        <v>0</v>
      </c>
      <c r="F20" s="49">
        <f t="shared" si="2"/>
        <v>0</v>
      </c>
      <c r="G20" s="49">
        <f t="shared" si="2"/>
        <v>0</v>
      </c>
      <c r="H20" s="49">
        <f t="shared" si="3"/>
        <v>0</v>
      </c>
      <c r="I20" s="2088"/>
      <c r="J20" s="1435" t="s">
        <v>3318</v>
      </c>
      <c r="K20" s="949"/>
      <c r="L20" s="949"/>
      <c r="M20" s="949"/>
      <c r="N20" s="965"/>
      <c r="O20" s="964"/>
    </row>
    <row r="21" spans="1:15" ht="15.75" x14ac:dyDescent="0.2">
      <c r="A21" s="952" t="s">
        <v>30</v>
      </c>
      <c r="B21" s="17" t="e">
        <f>B20/B11</f>
        <v>#DIV/0!</v>
      </c>
      <c r="C21" s="17" t="e">
        <f>C20/C11</f>
        <v>#DIV/0!</v>
      </c>
      <c r="D21" s="17" t="e">
        <f>D20/D11</f>
        <v>#DIV/0!</v>
      </c>
      <c r="E21" s="17" t="e">
        <f>E20/E11</f>
        <v>#DIV/0!</v>
      </c>
      <c r="F21" s="49">
        <f t="shared" si="2"/>
        <v>0</v>
      </c>
      <c r="G21" s="49">
        <f t="shared" si="2"/>
        <v>0</v>
      </c>
      <c r="H21" s="49">
        <f t="shared" si="3"/>
        <v>0</v>
      </c>
      <c r="I21" s="2088"/>
      <c r="J21" s="1435" t="s">
        <v>3319</v>
      </c>
      <c r="K21" s="948"/>
      <c r="L21" s="948"/>
      <c r="M21" s="949"/>
      <c r="N21" s="965"/>
      <c r="O21" s="964"/>
    </row>
    <row r="22" spans="1:15" ht="15" x14ac:dyDescent="0.2">
      <c r="A22" s="950" t="s">
        <v>81</v>
      </c>
      <c r="B22" s="1"/>
      <c r="C22" s="1"/>
      <c r="D22" s="1"/>
      <c r="E22" s="1"/>
      <c r="F22" s="49">
        <f t="shared" si="2"/>
        <v>0</v>
      </c>
      <c r="G22" s="49">
        <f t="shared" si="2"/>
        <v>0</v>
      </c>
      <c r="H22" s="49">
        <f t="shared" si="3"/>
        <v>0</v>
      </c>
      <c r="I22" s="2088"/>
      <c r="J22" s="1435" t="s">
        <v>3320</v>
      </c>
      <c r="K22" s="949"/>
      <c r="L22" s="949"/>
      <c r="M22" s="949"/>
      <c r="N22" s="965"/>
      <c r="O22" s="964"/>
    </row>
    <row r="23" spans="1:15" ht="15" x14ac:dyDescent="0.2">
      <c r="A23" s="950" t="s">
        <v>82</v>
      </c>
      <c r="B23" s="1"/>
      <c r="C23" s="1"/>
      <c r="D23" s="1"/>
      <c r="E23" s="1"/>
      <c r="F23" s="49">
        <f t="shared" si="2"/>
        <v>0</v>
      </c>
      <c r="G23" s="49">
        <f t="shared" si="2"/>
        <v>0</v>
      </c>
      <c r="H23" s="49">
        <f t="shared" si="3"/>
        <v>0</v>
      </c>
      <c r="I23" s="2088"/>
      <c r="J23" s="1435" t="s">
        <v>3321</v>
      </c>
      <c r="K23" s="949"/>
      <c r="L23" s="949"/>
      <c r="M23" s="949"/>
      <c r="N23" s="965"/>
      <c r="O23" s="964"/>
    </row>
    <row r="24" spans="1:15" ht="30" x14ac:dyDescent="0.2">
      <c r="A24" s="953" t="s">
        <v>83</v>
      </c>
      <c r="B24" s="1"/>
      <c r="C24" s="1"/>
      <c r="D24" s="1"/>
      <c r="E24" s="1"/>
      <c r="F24" s="49">
        <f t="shared" si="2"/>
        <v>0</v>
      </c>
      <c r="G24" s="49">
        <f t="shared" si="2"/>
        <v>0</v>
      </c>
      <c r="H24" s="49">
        <f t="shared" si="3"/>
        <v>0</v>
      </c>
      <c r="I24" s="2088"/>
      <c r="J24" s="1435" t="s">
        <v>3322</v>
      </c>
      <c r="K24" s="949"/>
      <c r="L24" s="949"/>
      <c r="M24" s="949"/>
      <c r="N24" s="965"/>
      <c r="O24" s="964"/>
    </row>
    <row r="25" spans="1:15" s="113" customFormat="1" ht="15.75" x14ac:dyDescent="0.2">
      <c r="A25" s="952" t="s">
        <v>7</v>
      </c>
      <c r="B25" s="2">
        <f>(B20+B19+B15)-B24-B22-B23</f>
        <v>0</v>
      </c>
      <c r="C25" s="2">
        <f>(C20+C19+C15)-C24-C22-C23</f>
        <v>0</v>
      </c>
      <c r="D25" s="2">
        <f t="shared" ref="D25:E25" si="5">(D20+D19+D15)-D24-D22-D23</f>
        <v>0</v>
      </c>
      <c r="E25" s="2">
        <f t="shared" si="5"/>
        <v>0</v>
      </c>
      <c r="F25" s="49">
        <f t="shared" si="2"/>
        <v>0</v>
      </c>
      <c r="G25" s="49">
        <f t="shared" si="2"/>
        <v>0</v>
      </c>
      <c r="H25" s="49">
        <f t="shared" si="3"/>
        <v>0</v>
      </c>
      <c r="I25" s="2088"/>
      <c r="J25" s="1435" t="s">
        <v>3323</v>
      </c>
      <c r="K25" s="946"/>
      <c r="L25" s="946"/>
      <c r="M25" s="946"/>
      <c r="N25" s="941"/>
      <c r="O25" s="941"/>
    </row>
    <row r="26" spans="1:15" ht="15.75" x14ac:dyDescent="0.2">
      <c r="A26" s="952" t="s">
        <v>183</v>
      </c>
      <c r="B26" s="17" t="e">
        <f>B25/B11</f>
        <v>#DIV/0!</v>
      </c>
      <c r="C26" s="17" t="e">
        <f>C25/C11</f>
        <v>#DIV/0!</v>
      </c>
      <c r="D26" s="17" t="e">
        <f>D25/D11</f>
        <v>#DIV/0!</v>
      </c>
      <c r="E26" s="17" t="e">
        <f>E25/E11</f>
        <v>#DIV/0!</v>
      </c>
      <c r="F26" s="49">
        <f t="shared" si="2"/>
        <v>0</v>
      </c>
      <c r="G26" s="49">
        <f t="shared" si="2"/>
        <v>0</v>
      </c>
      <c r="H26" s="49">
        <f t="shared" si="3"/>
        <v>0</v>
      </c>
      <c r="I26" s="2088"/>
      <c r="J26" s="1435" t="s">
        <v>3324</v>
      </c>
      <c r="K26" s="948"/>
      <c r="L26" s="948"/>
      <c r="M26" s="949"/>
      <c r="N26" s="965"/>
      <c r="O26" s="964"/>
    </row>
    <row r="27" spans="1:15" ht="15" x14ac:dyDescent="0.2">
      <c r="A27" s="950" t="s">
        <v>9</v>
      </c>
      <c r="B27" s="1"/>
      <c r="C27" s="1"/>
      <c r="D27" s="1"/>
      <c r="E27" s="1"/>
      <c r="F27" s="49">
        <f t="shared" si="2"/>
        <v>0</v>
      </c>
      <c r="G27" s="49">
        <f t="shared" si="2"/>
        <v>0</v>
      </c>
      <c r="H27" s="49">
        <f t="shared" si="3"/>
        <v>0</v>
      </c>
      <c r="I27" s="2088"/>
      <c r="J27" s="1435" t="s">
        <v>3325</v>
      </c>
      <c r="K27" s="949"/>
      <c r="L27" s="949"/>
      <c r="M27" s="949"/>
      <c r="N27" s="965"/>
      <c r="O27" s="964"/>
    </row>
    <row r="28" spans="1:15" ht="15" x14ac:dyDescent="0.2">
      <c r="A28" s="950" t="s">
        <v>22</v>
      </c>
      <c r="B28" s="1"/>
      <c r="C28" s="1"/>
      <c r="D28" s="1"/>
      <c r="E28" s="1"/>
      <c r="F28" s="49">
        <f t="shared" si="2"/>
        <v>0</v>
      </c>
      <c r="G28" s="49">
        <f t="shared" si="2"/>
        <v>0</v>
      </c>
      <c r="H28" s="49">
        <f t="shared" si="3"/>
        <v>0</v>
      </c>
      <c r="I28" s="2088"/>
      <c r="J28" s="1435" t="s">
        <v>3326</v>
      </c>
      <c r="K28" s="949"/>
      <c r="L28" s="949"/>
      <c r="M28" s="949"/>
      <c r="N28" s="965"/>
      <c r="O28" s="964"/>
    </row>
    <row r="29" spans="1:15" ht="15.75" x14ac:dyDescent="0.2">
      <c r="A29" s="954" t="s">
        <v>39</v>
      </c>
      <c r="B29" s="11">
        <f>B25-B27-B28</f>
        <v>0</v>
      </c>
      <c r="C29" s="11">
        <f>C25-C27-C28</f>
        <v>0</v>
      </c>
      <c r="D29" s="11">
        <f>D25-D27-D28</f>
        <v>0</v>
      </c>
      <c r="E29" s="12">
        <f>E25-E27-E28</f>
        <v>0</v>
      </c>
      <c r="F29" s="49">
        <f t="shared" si="2"/>
        <v>0</v>
      </c>
      <c r="G29" s="49">
        <f t="shared" si="2"/>
        <v>0</v>
      </c>
      <c r="H29" s="49">
        <f t="shared" si="3"/>
        <v>0</v>
      </c>
      <c r="I29" s="2088"/>
      <c r="J29" s="1435" t="s">
        <v>3327</v>
      </c>
      <c r="K29" s="949"/>
      <c r="L29" s="949"/>
      <c r="M29" s="949"/>
      <c r="N29" s="965"/>
      <c r="O29" s="964"/>
    </row>
    <row r="30" spans="1:15" ht="15.75" x14ac:dyDescent="0.2">
      <c r="A30" s="952" t="s">
        <v>199</v>
      </c>
      <c r="B30" s="17" t="e">
        <f>B29/B11</f>
        <v>#DIV/0!</v>
      </c>
      <c r="C30" s="17" t="e">
        <f>C29/C11</f>
        <v>#DIV/0!</v>
      </c>
      <c r="D30" s="17" t="e">
        <f>D29/D11</f>
        <v>#DIV/0!</v>
      </c>
      <c r="E30" s="17" t="e">
        <f>E29/E11</f>
        <v>#DIV/0!</v>
      </c>
      <c r="F30" s="49">
        <f t="shared" si="2"/>
        <v>0</v>
      </c>
      <c r="G30" s="49">
        <f t="shared" si="2"/>
        <v>0</v>
      </c>
      <c r="H30" s="49">
        <f t="shared" si="3"/>
        <v>0</v>
      </c>
      <c r="I30" s="2088"/>
      <c r="J30" s="1435" t="s">
        <v>3328</v>
      </c>
      <c r="K30" s="948"/>
      <c r="L30" s="948"/>
      <c r="M30" s="949"/>
      <c r="N30" s="965"/>
      <c r="O30" s="964"/>
    </row>
    <row r="31" spans="1:15" ht="15" x14ac:dyDescent="0.2">
      <c r="A31" s="950" t="s">
        <v>8</v>
      </c>
      <c r="B31" s="1"/>
      <c r="C31" s="1"/>
      <c r="D31" s="1"/>
      <c r="E31" s="1"/>
      <c r="F31" s="49">
        <f t="shared" si="2"/>
        <v>0</v>
      </c>
      <c r="G31" s="49">
        <f t="shared" si="2"/>
        <v>0</v>
      </c>
      <c r="H31" s="49">
        <f t="shared" si="3"/>
        <v>0</v>
      </c>
      <c r="I31" s="2088"/>
      <c r="J31" s="1435" t="s">
        <v>3329</v>
      </c>
      <c r="K31" s="949"/>
      <c r="L31" s="949"/>
      <c r="M31" s="949"/>
      <c r="N31" s="965"/>
      <c r="O31" s="964"/>
    </row>
    <row r="32" spans="1:15" ht="15.75" x14ac:dyDescent="0.2">
      <c r="A32" s="952" t="s">
        <v>10</v>
      </c>
      <c r="B32" s="2">
        <f>B29-B31</f>
        <v>0</v>
      </c>
      <c r="C32" s="2">
        <f>C29-C31</f>
        <v>0</v>
      </c>
      <c r="D32" s="2">
        <f>D29-D31</f>
        <v>0</v>
      </c>
      <c r="E32" s="2">
        <f>E29-E31</f>
        <v>0</v>
      </c>
      <c r="F32" s="49">
        <f t="shared" si="2"/>
        <v>0</v>
      </c>
      <c r="G32" s="49">
        <f t="shared" si="2"/>
        <v>0</v>
      </c>
      <c r="H32" s="49">
        <f t="shared" si="3"/>
        <v>0</v>
      </c>
      <c r="I32" s="2088"/>
      <c r="J32" s="1435" t="s">
        <v>3330</v>
      </c>
      <c r="K32" s="949"/>
      <c r="L32" s="949"/>
      <c r="M32" s="949"/>
      <c r="N32" s="965"/>
      <c r="O32" s="964"/>
    </row>
    <row r="33" spans="1:15" ht="15.75" x14ac:dyDescent="0.2">
      <c r="A33" s="952" t="s">
        <v>198</v>
      </c>
      <c r="B33" s="17" t="e">
        <f>B32/B11</f>
        <v>#DIV/0!</v>
      </c>
      <c r="C33" s="17" t="e">
        <f>C32/C11</f>
        <v>#DIV/0!</v>
      </c>
      <c r="D33" s="17" t="e">
        <f>D32/D11</f>
        <v>#DIV/0!</v>
      </c>
      <c r="E33" s="17" t="e">
        <f>E32/E11</f>
        <v>#DIV/0!</v>
      </c>
      <c r="F33" s="49">
        <f t="shared" si="2"/>
        <v>0</v>
      </c>
      <c r="G33" s="49">
        <f t="shared" si="2"/>
        <v>0</v>
      </c>
      <c r="H33" s="49">
        <f t="shared" si="3"/>
        <v>0</v>
      </c>
      <c r="I33" s="2088"/>
      <c r="J33" s="1435" t="s">
        <v>3331</v>
      </c>
      <c r="K33" s="949"/>
      <c r="L33" s="949"/>
      <c r="M33" s="949"/>
      <c r="N33" s="965"/>
      <c r="O33" s="964"/>
    </row>
    <row r="34" spans="1:15" ht="15.75" x14ac:dyDescent="0.2">
      <c r="A34" s="952" t="s">
        <v>233</v>
      </c>
      <c r="B34" s="2">
        <f>B32+B27+B28+B22+B23</f>
        <v>0</v>
      </c>
      <c r="C34" s="2">
        <f>C32+C27+C28+C22+C23</f>
        <v>0</v>
      </c>
      <c r="D34" s="2">
        <f>D32+D27+D28+D22+D23</f>
        <v>0</v>
      </c>
      <c r="E34" s="2">
        <f>E32+E27+E28+E22+E23</f>
        <v>0</v>
      </c>
      <c r="F34" s="49">
        <f t="shared" si="2"/>
        <v>0</v>
      </c>
      <c r="G34" s="49">
        <f t="shared" si="2"/>
        <v>0</v>
      </c>
      <c r="H34" s="49">
        <f t="shared" si="3"/>
        <v>0</v>
      </c>
      <c r="I34" s="2088"/>
      <c r="J34" s="1435" t="s">
        <v>3332</v>
      </c>
      <c r="K34" s="949"/>
      <c r="L34" s="949"/>
      <c r="M34" s="949"/>
      <c r="N34" s="965"/>
      <c r="O34" s="964"/>
    </row>
    <row r="35" spans="1:15" ht="15" x14ac:dyDescent="0.2">
      <c r="A35" s="950" t="s">
        <v>23</v>
      </c>
      <c r="B35" s="1"/>
      <c r="C35" s="1"/>
      <c r="D35" s="1"/>
      <c r="E35" s="1"/>
      <c r="F35" s="49">
        <f t="shared" si="2"/>
        <v>0</v>
      </c>
      <c r="G35" s="49">
        <f t="shared" si="2"/>
        <v>0</v>
      </c>
      <c r="H35" s="49">
        <f t="shared" si="3"/>
        <v>0</v>
      </c>
      <c r="I35" s="2088"/>
      <c r="J35" s="1435" t="s">
        <v>3333</v>
      </c>
      <c r="K35" s="949"/>
      <c r="L35" s="949"/>
      <c r="M35" s="949"/>
      <c r="N35" s="965"/>
      <c r="O35" s="964"/>
    </row>
    <row r="36" spans="1:15" ht="15.75" x14ac:dyDescent="0.2">
      <c r="A36" s="954" t="s">
        <v>176</v>
      </c>
      <c r="B36" s="5"/>
      <c r="C36" s="5"/>
      <c r="D36" s="5"/>
      <c r="E36" s="5"/>
      <c r="F36" s="951"/>
      <c r="G36" s="951"/>
      <c r="H36" s="951"/>
      <c r="I36" s="2088"/>
      <c r="J36" s="1435" t="s">
        <v>3334</v>
      </c>
      <c r="K36" s="949"/>
      <c r="L36" s="949"/>
      <c r="M36" s="949"/>
      <c r="N36" s="965"/>
      <c r="O36" s="964"/>
    </row>
    <row r="37" spans="1:15" ht="15.75" x14ac:dyDescent="0.2">
      <c r="A37" s="955" t="s">
        <v>11</v>
      </c>
      <c r="B37" s="13">
        <f>+B32-B35</f>
        <v>0</v>
      </c>
      <c r="C37" s="13">
        <f>+C32-C35</f>
        <v>0</v>
      </c>
      <c r="D37" s="13">
        <f>+D32-D35</f>
        <v>0</v>
      </c>
      <c r="E37" s="13">
        <f>+E32-E35</f>
        <v>0</v>
      </c>
      <c r="F37" s="49">
        <f t="shared" ref="F37:H38" si="6">IF(ISERROR((B37-C37)/C37),0,(B37-C37)/C37)</f>
        <v>0</v>
      </c>
      <c r="G37" s="49">
        <f t="shared" si="6"/>
        <v>0</v>
      </c>
      <c r="H37" s="49">
        <f t="shared" si="6"/>
        <v>0</v>
      </c>
      <c r="I37" s="2088"/>
      <c r="J37" s="1435" t="s">
        <v>3335</v>
      </c>
      <c r="K37" s="949"/>
      <c r="L37" s="949"/>
      <c r="M37" s="949"/>
      <c r="N37" s="965"/>
      <c r="O37" s="964"/>
    </row>
    <row r="38" spans="1:15" ht="16.5" thickBot="1" x14ac:dyDescent="0.25">
      <c r="A38" s="956" t="s">
        <v>80</v>
      </c>
      <c r="B38" s="18" t="e">
        <f>B37/B11</f>
        <v>#DIV/0!</v>
      </c>
      <c r="C38" s="18" t="e">
        <f>C37/C11</f>
        <v>#DIV/0!</v>
      </c>
      <c r="D38" s="18" t="e">
        <f>D37/D11</f>
        <v>#DIV/0!</v>
      </c>
      <c r="E38" s="18" t="e">
        <f>E37/E11</f>
        <v>#DIV/0!</v>
      </c>
      <c r="F38" s="49">
        <f t="shared" si="6"/>
        <v>0</v>
      </c>
      <c r="G38" s="49">
        <f t="shared" si="6"/>
        <v>0</v>
      </c>
      <c r="H38" s="49">
        <f t="shared" si="6"/>
        <v>0</v>
      </c>
      <c r="I38" s="2118"/>
      <c r="J38" s="1435" t="s">
        <v>3336</v>
      </c>
      <c r="K38" s="948"/>
      <c r="L38" s="948"/>
      <c r="M38" s="949"/>
      <c r="N38" s="965"/>
      <c r="O38" s="964"/>
    </row>
    <row r="39" spans="1:15" ht="16.5" thickBot="1" x14ac:dyDescent="0.25">
      <c r="A39" s="2066" t="s">
        <v>70</v>
      </c>
      <c r="B39" s="2067"/>
      <c r="C39" s="2067"/>
      <c r="D39" s="2067"/>
      <c r="E39" s="2067"/>
      <c r="F39" s="2067"/>
      <c r="G39" s="2067"/>
      <c r="H39" s="2067"/>
      <c r="I39" s="2068"/>
      <c r="K39" s="949"/>
      <c r="L39" s="949"/>
      <c r="M39" s="949"/>
      <c r="N39" s="965"/>
      <c r="O39" s="964"/>
    </row>
    <row r="40" spans="1:15" ht="15.75" x14ac:dyDescent="0.2">
      <c r="A40" s="2069" t="s">
        <v>77</v>
      </c>
      <c r="B40" s="2070"/>
      <c r="C40" s="2070"/>
      <c r="D40" s="2070"/>
      <c r="E40" s="2070"/>
      <c r="F40" s="2070"/>
      <c r="G40" s="2070"/>
      <c r="H40" s="2070"/>
      <c r="I40" s="2071"/>
      <c r="K40" s="949"/>
      <c r="L40" s="949"/>
      <c r="M40" s="949"/>
      <c r="N40" s="965"/>
      <c r="O40" s="964"/>
    </row>
    <row r="41" spans="1:15" ht="15" customHeight="1" x14ac:dyDescent="0.2">
      <c r="A41" s="950" t="s">
        <v>66</v>
      </c>
      <c r="B41" s="1"/>
      <c r="C41" s="1"/>
      <c r="D41" s="1"/>
      <c r="E41" s="1"/>
      <c r="F41" s="49">
        <f t="shared" ref="F41:H42" si="7">IF(ISERROR((B41-C41)/C41),0,(B41-C41)/C41)</f>
        <v>0</v>
      </c>
      <c r="G41" s="49">
        <f t="shared" si="7"/>
        <v>0</v>
      </c>
      <c r="H41" s="49">
        <f t="shared" si="7"/>
        <v>0</v>
      </c>
      <c r="I41" s="2072" t="s">
        <v>524</v>
      </c>
      <c r="J41" s="1435" t="s">
        <v>3337</v>
      </c>
      <c r="K41" s="949"/>
      <c r="L41" s="949"/>
      <c r="M41" s="949"/>
      <c r="N41" s="965"/>
      <c r="O41" s="964"/>
    </row>
    <row r="42" spans="1:15" ht="15" customHeight="1" x14ac:dyDescent="0.2">
      <c r="A42" s="950" t="s">
        <v>68</v>
      </c>
      <c r="B42" s="1"/>
      <c r="C42" s="1"/>
      <c r="D42" s="1"/>
      <c r="E42" s="1"/>
      <c r="F42" s="49">
        <f t="shared" si="7"/>
        <v>0</v>
      </c>
      <c r="G42" s="49">
        <f t="shared" si="7"/>
        <v>0</v>
      </c>
      <c r="H42" s="49">
        <f t="shared" si="7"/>
        <v>0</v>
      </c>
      <c r="I42" s="2112"/>
      <c r="J42" s="1435" t="s">
        <v>3338</v>
      </c>
      <c r="K42" s="949"/>
      <c r="L42" s="949"/>
      <c r="M42" s="949"/>
      <c r="N42" s="965"/>
      <c r="O42" s="964"/>
    </row>
    <row r="43" spans="1:15" ht="15.75" x14ac:dyDescent="0.2">
      <c r="A43" s="2075" t="s">
        <v>72</v>
      </c>
      <c r="B43" s="2076"/>
      <c r="C43" s="2076"/>
      <c r="D43" s="2076"/>
      <c r="E43" s="2076"/>
      <c r="F43" s="2076"/>
      <c r="G43" s="2076"/>
      <c r="H43" s="957"/>
      <c r="I43" s="2112"/>
      <c r="K43" s="949"/>
      <c r="L43" s="949"/>
      <c r="M43" s="949"/>
      <c r="N43" s="965"/>
      <c r="O43" s="964"/>
    </row>
    <row r="44" spans="1:15" ht="15" customHeight="1" x14ac:dyDescent="0.2">
      <c r="A44" s="950" t="s">
        <v>71</v>
      </c>
      <c r="B44" s="1"/>
      <c r="C44" s="1"/>
      <c r="D44" s="1"/>
      <c r="E44" s="1"/>
      <c r="F44" s="49">
        <f t="shared" ref="F44:G52" si="8">IF(ISERROR((B44-C44)/C44),0,(B44-C44)/C44)</f>
        <v>0</v>
      </c>
      <c r="G44" s="49">
        <f t="shared" si="8"/>
        <v>0</v>
      </c>
      <c r="H44" s="49">
        <f t="shared" ref="H44:H52" si="9">IF(ISERROR((D44-E44)/E44),0,(D44-E44)/E44)</f>
        <v>0</v>
      </c>
      <c r="I44" s="2112"/>
      <c r="J44" s="1435" t="s">
        <v>3339</v>
      </c>
      <c r="K44" s="949"/>
      <c r="L44" s="949"/>
      <c r="M44" s="949"/>
      <c r="N44" s="965"/>
      <c r="O44" s="964"/>
    </row>
    <row r="45" spans="1:15" ht="15" customHeight="1" x14ac:dyDescent="0.2">
      <c r="A45" s="950" t="s">
        <v>65</v>
      </c>
      <c r="B45" s="1"/>
      <c r="C45" s="1"/>
      <c r="D45" s="1"/>
      <c r="E45" s="1"/>
      <c r="F45" s="49">
        <f t="shared" si="8"/>
        <v>0</v>
      </c>
      <c r="G45" s="49">
        <f t="shared" si="8"/>
        <v>0</v>
      </c>
      <c r="H45" s="49">
        <f t="shared" si="9"/>
        <v>0</v>
      </c>
      <c r="I45" s="2112"/>
      <c r="J45" s="1435" t="s">
        <v>3340</v>
      </c>
      <c r="K45" s="949"/>
      <c r="L45" s="949"/>
      <c r="M45" s="949"/>
      <c r="N45" s="965"/>
      <c r="O45" s="964"/>
    </row>
    <row r="46" spans="1:15" ht="15" customHeight="1" x14ac:dyDescent="0.2">
      <c r="A46" s="950" t="s">
        <v>205</v>
      </c>
      <c r="B46" s="1"/>
      <c r="C46" s="1"/>
      <c r="D46" s="1"/>
      <c r="E46" s="1"/>
      <c r="F46" s="49">
        <f t="shared" si="8"/>
        <v>0</v>
      </c>
      <c r="G46" s="49">
        <f t="shared" si="8"/>
        <v>0</v>
      </c>
      <c r="H46" s="49">
        <f t="shared" si="9"/>
        <v>0</v>
      </c>
      <c r="I46" s="2112"/>
      <c r="J46" s="1435" t="s">
        <v>3341</v>
      </c>
      <c r="K46" s="949" t="s">
        <v>207</v>
      </c>
      <c r="L46" s="949"/>
      <c r="M46" s="949"/>
      <c r="N46" s="965"/>
      <c r="O46" s="964"/>
    </row>
    <row r="47" spans="1:15" ht="15" customHeight="1" x14ac:dyDescent="0.2">
      <c r="A47" s="950" t="s">
        <v>177</v>
      </c>
      <c r="B47" s="1"/>
      <c r="C47" s="1"/>
      <c r="D47" s="1"/>
      <c r="E47" s="1"/>
      <c r="F47" s="49">
        <f t="shared" si="8"/>
        <v>0</v>
      </c>
      <c r="G47" s="49">
        <f t="shared" si="8"/>
        <v>0</v>
      </c>
      <c r="H47" s="49">
        <f t="shared" si="9"/>
        <v>0</v>
      </c>
      <c r="I47" s="2112"/>
      <c r="J47" s="1435" t="s">
        <v>3342</v>
      </c>
      <c r="K47" s="949"/>
      <c r="L47" s="949"/>
      <c r="M47" s="949"/>
      <c r="N47" s="965"/>
      <c r="O47" s="964"/>
    </row>
    <row r="48" spans="1:15" ht="15" customHeight="1" x14ac:dyDescent="0.2">
      <c r="A48" s="950" t="s">
        <v>59</v>
      </c>
      <c r="B48" s="1"/>
      <c r="C48" s="1"/>
      <c r="D48" s="1"/>
      <c r="E48" s="1"/>
      <c r="F48" s="49">
        <f t="shared" si="8"/>
        <v>0</v>
      </c>
      <c r="G48" s="49">
        <f t="shared" si="8"/>
        <v>0</v>
      </c>
      <c r="H48" s="49">
        <f t="shared" si="9"/>
        <v>0</v>
      </c>
      <c r="I48" s="2112"/>
      <c r="J48" s="1435" t="s">
        <v>3343</v>
      </c>
      <c r="K48" s="949"/>
      <c r="L48" s="949"/>
      <c r="M48" s="949"/>
      <c r="N48" s="965"/>
      <c r="O48" s="964"/>
    </row>
    <row r="49" spans="1:15" ht="15.75" x14ac:dyDescent="0.2">
      <c r="A49" s="952" t="s">
        <v>60</v>
      </c>
      <c r="B49" s="2">
        <f>SUM(B44:B48)</f>
        <v>0</v>
      </c>
      <c r="C49" s="2">
        <f>SUM(C44:C48)</f>
        <v>0</v>
      </c>
      <c r="D49" s="2">
        <f>SUM(D44:D48)</f>
        <v>0</v>
      </c>
      <c r="E49" s="2">
        <f>SUM(E44:E48)</f>
        <v>0</v>
      </c>
      <c r="F49" s="49">
        <f t="shared" si="8"/>
        <v>0</v>
      </c>
      <c r="G49" s="49">
        <f t="shared" si="8"/>
        <v>0</v>
      </c>
      <c r="H49" s="49">
        <f t="shared" si="9"/>
        <v>0</v>
      </c>
      <c r="I49" s="2112"/>
      <c r="J49" s="1435" t="s">
        <v>3344</v>
      </c>
      <c r="K49" s="946" t="s">
        <v>702</v>
      </c>
      <c r="L49" s="949"/>
      <c r="M49" s="949"/>
      <c r="N49" s="965"/>
      <c r="O49" s="964"/>
    </row>
    <row r="50" spans="1:15" ht="15" customHeight="1" x14ac:dyDescent="0.2">
      <c r="A50" s="950" t="s">
        <v>73</v>
      </c>
      <c r="B50" s="1"/>
      <c r="C50" s="1"/>
      <c r="D50" s="1"/>
      <c r="E50" s="1"/>
      <c r="F50" s="49">
        <f t="shared" si="8"/>
        <v>0</v>
      </c>
      <c r="G50" s="49">
        <f t="shared" si="8"/>
        <v>0</v>
      </c>
      <c r="H50" s="49">
        <f t="shared" si="9"/>
        <v>0</v>
      </c>
      <c r="I50" s="2112"/>
      <c r="J50" s="1435" t="s">
        <v>3345</v>
      </c>
      <c r="K50" s="949"/>
      <c r="L50" s="949"/>
      <c r="M50" s="949"/>
      <c r="N50" s="965"/>
      <c r="O50" s="964"/>
    </row>
    <row r="51" spans="1:15" ht="15" customHeight="1" x14ac:dyDescent="0.2">
      <c r="A51" s="950" t="s">
        <v>137</v>
      </c>
      <c r="B51" s="1"/>
      <c r="C51" s="1"/>
      <c r="D51" s="1"/>
      <c r="E51" s="1"/>
      <c r="F51" s="49">
        <f t="shared" si="8"/>
        <v>0</v>
      </c>
      <c r="G51" s="49">
        <f t="shared" si="8"/>
        <v>0</v>
      </c>
      <c r="H51" s="49">
        <f t="shared" si="9"/>
        <v>0</v>
      </c>
      <c r="I51" s="2112"/>
      <c r="J51" s="1435" t="s">
        <v>3346</v>
      </c>
      <c r="K51" s="949"/>
      <c r="L51" s="949"/>
      <c r="M51" s="949"/>
      <c r="N51" s="965"/>
      <c r="O51" s="964"/>
    </row>
    <row r="52" spans="1:15" ht="15.75" x14ac:dyDescent="0.2">
      <c r="A52" s="958" t="s">
        <v>74</v>
      </c>
      <c r="B52" s="2">
        <f>B41+B42+B49+B50+B51</f>
        <v>0</v>
      </c>
      <c r="C52" s="2">
        <f>C41+C42+C49+C50+C51</f>
        <v>0</v>
      </c>
      <c r="D52" s="2">
        <f>D41+D42+D49+D50+D51</f>
        <v>0</v>
      </c>
      <c r="E52" s="2">
        <f>E41+E42+E49+E50+E51</f>
        <v>0</v>
      </c>
      <c r="F52" s="49">
        <f t="shared" si="8"/>
        <v>0</v>
      </c>
      <c r="G52" s="49">
        <f t="shared" si="8"/>
        <v>0</v>
      </c>
      <c r="H52" s="49">
        <f t="shared" si="9"/>
        <v>0</v>
      </c>
      <c r="I52" s="2113"/>
      <c r="J52" s="1435" t="s">
        <v>3347</v>
      </c>
      <c r="K52" s="949"/>
      <c r="L52" s="949"/>
      <c r="M52" s="949"/>
      <c r="N52" s="965"/>
      <c r="O52" s="964"/>
    </row>
    <row r="53" spans="1:15" ht="15.75" x14ac:dyDescent="0.2">
      <c r="A53" s="959"/>
      <c r="B53" s="960"/>
      <c r="C53" s="960"/>
      <c r="D53" s="960"/>
      <c r="E53" s="960"/>
      <c r="F53" s="960"/>
      <c r="G53" s="960"/>
      <c r="H53" s="960"/>
      <c r="I53" s="961"/>
      <c r="K53" s="949"/>
      <c r="L53" s="949"/>
      <c r="M53" s="949"/>
      <c r="N53" s="965"/>
      <c r="O53" s="964"/>
    </row>
    <row r="54" spans="1:15" ht="15.75" x14ac:dyDescent="0.2">
      <c r="A54" s="2114" t="s">
        <v>78</v>
      </c>
      <c r="B54" s="2115"/>
      <c r="C54" s="2115"/>
      <c r="D54" s="2115"/>
      <c r="E54" s="2115"/>
      <c r="F54" s="2115"/>
      <c r="G54" s="2115"/>
      <c r="H54" s="2115"/>
      <c r="I54" s="2116"/>
      <c r="K54" s="949"/>
      <c r="L54" s="949"/>
      <c r="M54" s="949"/>
      <c r="N54" s="965"/>
      <c r="O54" s="964"/>
    </row>
    <row r="55" spans="1:15" ht="15" customHeight="1" x14ac:dyDescent="0.2">
      <c r="A55" s="950" t="s">
        <v>18</v>
      </c>
      <c r="B55" s="1"/>
      <c r="C55" s="1"/>
      <c r="D55" s="1"/>
      <c r="E55" s="1"/>
      <c r="F55" s="49">
        <f t="shared" ref="F55:G63" si="10">IF(ISERROR((B55-C55)/C55),0,(B55-C55)/C55)</f>
        <v>0</v>
      </c>
      <c r="G55" s="49">
        <f t="shared" si="10"/>
        <v>0</v>
      </c>
      <c r="H55" s="49">
        <f t="shared" ref="H55:H63" si="11">IF(ISERROR((D55-E55)/E55),0,(D55-E55)/E55)</f>
        <v>0</v>
      </c>
      <c r="I55" s="2080" t="s">
        <v>525</v>
      </c>
      <c r="J55" s="1435" t="s">
        <v>3348</v>
      </c>
      <c r="K55" s="949"/>
      <c r="L55" s="949"/>
      <c r="M55" s="949"/>
      <c r="N55" s="965"/>
      <c r="O55" s="964"/>
    </row>
    <row r="56" spans="1:15" ht="15" customHeight="1" x14ac:dyDescent="0.2">
      <c r="A56" s="950" t="s">
        <v>14</v>
      </c>
      <c r="B56" s="1"/>
      <c r="C56" s="1"/>
      <c r="D56" s="1"/>
      <c r="E56" s="1"/>
      <c r="F56" s="49">
        <f t="shared" si="10"/>
        <v>0</v>
      </c>
      <c r="G56" s="49">
        <f t="shared" si="10"/>
        <v>0</v>
      </c>
      <c r="H56" s="49">
        <f t="shared" si="11"/>
        <v>0</v>
      </c>
      <c r="I56" s="2086"/>
      <c r="J56" s="1435" t="s">
        <v>3349</v>
      </c>
      <c r="K56" s="949"/>
      <c r="L56" s="949"/>
      <c r="M56" s="949"/>
      <c r="N56" s="965"/>
      <c r="O56" s="964"/>
    </row>
    <row r="57" spans="1:15" ht="15" customHeight="1" x14ac:dyDescent="0.2">
      <c r="A57" s="953" t="s">
        <v>179</v>
      </c>
      <c r="B57" s="1"/>
      <c r="C57" s="1"/>
      <c r="D57" s="1"/>
      <c r="E57" s="1"/>
      <c r="F57" s="49">
        <f t="shared" si="10"/>
        <v>0</v>
      </c>
      <c r="G57" s="49">
        <f t="shared" si="10"/>
        <v>0</v>
      </c>
      <c r="H57" s="49">
        <f t="shared" si="11"/>
        <v>0</v>
      </c>
      <c r="I57" s="2086"/>
      <c r="J57" s="1435" t="s">
        <v>3350</v>
      </c>
      <c r="K57" s="949"/>
      <c r="L57" s="949"/>
      <c r="M57" s="949"/>
      <c r="N57" s="965"/>
      <c r="O57" s="964"/>
    </row>
    <row r="58" spans="1:15" ht="15" customHeight="1" x14ac:dyDescent="0.2">
      <c r="A58" s="950" t="s">
        <v>203</v>
      </c>
      <c r="B58" s="1"/>
      <c r="C58" s="1"/>
      <c r="D58" s="1"/>
      <c r="E58" s="1"/>
      <c r="F58" s="49">
        <f t="shared" si="10"/>
        <v>0</v>
      </c>
      <c r="G58" s="49">
        <f t="shared" si="10"/>
        <v>0</v>
      </c>
      <c r="H58" s="49">
        <f t="shared" si="11"/>
        <v>0</v>
      </c>
      <c r="I58" s="2086"/>
      <c r="J58" s="1435" t="s">
        <v>3351</v>
      </c>
      <c r="K58" s="949"/>
      <c r="L58" s="949"/>
      <c r="M58" s="949"/>
      <c r="N58" s="965"/>
      <c r="O58" s="964"/>
    </row>
    <row r="59" spans="1:15" ht="15.75" x14ac:dyDescent="0.2">
      <c r="A59" s="952" t="s">
        <v>15</v>
      </c>
      <c r="B59" s="2">
        <f t="shared" ref="B59:C59" si="12">B55+B56+B57-B58-B45</f>
        <v>0</v>
      </c>
      <c r="C59" s="2">
        <f t="shared" si="12"/>
        <v>0</v>
      </c>
      <c r="D59" s="2">
        <f>D55+D56+D57-D58-D45</f>
        <v>0</v>
      </c>
      <c r="E59" s="2">
        <f t="shared" ref="E59" si="13">E55+E56+E57-E58-E45</f>
        <v>0</v>
      </c>
      <c r="F59" s="49">
        <f t="shared" si="10"/>
        <v>0</v>
      </c>
      <c r="G59" s="49">
        <f t="shared" si="10"/>
        <v>0</v>
      </c>
      <c r="H59" s="49">
        <f t="shared" si="11"/>
        <v>0</v>
      </c>
      <c r="I59" s="2086"/>
      <c r="J59" s="1435" t="s">
        <v>3352</v>
      </c>
      <c r="K59" s="946" t="s">
        <v>703</v>
      </c>
      <c r="L59" s="949"/>
      <c r="M59" s="949"/>
      <c r="N59" s="965"/>
      <c r="O59" s="964"/>
    </row>
    <row r="60" spans="1:15" ht="15" customHeight="1" x14ac:dyDescent="0.2">
      <c r="A60" s="950" t="s">
        <v>185</v>
      </c>
      <c r="B60" s="1"/>
      <c r="C60" s="1"/>
      <c r="D60" s="1"/>
      <c r="E60" s="1"/>
      <c r="F60" s="49">
        <f t="shared" si="10"/>
        <v>0</v>
      </c>
      <c r="G60" s="49">
        <f t="shared" si="10"/>
        <v>0</v>
      </c>
      <c r="H60" s="49">
        <f t="shared" si="11"/>
        <v>0</v>
      </c>
      <c r="I60" s="2086"/>
      <c r="J60" s="1435" t="s">
        <v>3353</v>
      </c>
      <c r="K60" s="949"/>
      <c r="L60" s="949"/>
      <c r="M60" s="949"/>
      <c r="N60" s="965"/>
      <c r="O60" s="964"/>
    </row>
    <row r="61" spans="1:15" ht="15" customHeight="1" x14ac:dyDescent="0.2">
      <c r="A61" s="950" t="s">
        <v>5</v>
      </c>
      <c r="B61" s="1"/>
      <c r="C61" s="1"/>
      <c r="D61" s="1"/>
      <c r="E61" s="1"/>
      <c r="F61" s="49">
        <f t="shared" si="10"/>
        <v>0</v>
      </c>
      <c r="G61" s="49">
        <f t="shared" si="10"/>
        <v>0</v>
      </c>
      <c r="H61" s="49">
        <f t="shared" si="11"/>
        <v>0</v>
      </c>
      <c r="I61" s="2086"/>
      <c r="J61" s="1435" t="s">
        <v>3354</v>
      </c>
      <c r="K61" s="949"/>
      <c r="L61" s="949"/>
      <c r="M61" s="949"/>
      <c r="N61" s="965"/>
      <c r="O61" s="964"/>
    </row>
    <row r="62" spans="1:15" ht="15" customHeight="1" x14ac:dyDescent="0.2">
      <c r="A62" s="950" t="s">
        <v>12</v>
      </c>
      <c r="B62" s="1"/>
      <c r="C62" s="1"/>
      <c r="D62" s="1"/>
      <c r="E62" s="1"/>
      <c r="F62" s="49">
        <f t="shared" si="10"/>
        <v>0</v>
      </c>
      <c r="G62" s="49">
        <f t="shared" si="10"/>
        <v>0</v>
      </c>
      <c r="H62" s="49">
        <f t="shared" si="11"/>
        <v>0</v>
      </c>
      <c r="I62" s="2086"/>
      <c r="J62" s="1435" t="s">
        <v>3355</v>
      </c>
      <c r="K62" s="949"/>
      <c r="L62" s="949"/>
      <c r="M62" s="949"/>
      <c r="N62" s="965"/>
      <c r="O62" s="964"/>
    </row>
    <row r="63" spans="1:15" ht="15.75" x14ac:dyDescent="0.2">
      <c r="A63" s="952" t="s">
        <v>13</v>
      </c>
      <c r="B63" s="2">
        <f>B62+B61+B60</f>
        <v>0</v>
      </c>
      <c r="C63" s="2">
        <f>C62+C61+C60</f>
        <v>0</v>
      </c>
      <c r="D63" s="2">
        <f>D62+D61+D60</f>
        <v>0</v>
      </c>
      <c r="E63" s="2">
        <f>E62+E61+E60</f>
        <v>0</v>
      </c>
      <c r="F63" s="49">
        <f t="shared" si="10"/>
        <v>0</v>
      </c>
      <c r="G63" s="49">
        <f t="shared" si="10"/>
        <v>0</v>
      </c>
      <c r="H63" s="49">
        <f t="shared" si="11"/>
        <v>0</v>
      </c>
      <c r="I63" s="2117"/>
      <c r="J63" s="1435" t="s">
        <v>3356</v>
      </c>
      <c r="K63" s="949"/>
      <c r="L63" s="949"/>
      <c r="M63" s="949"/>
      <c r="N63" s="965"/>
      <c r="O63" s="964"/>
    </row>
    <row r="64" spans="1:15" ht="15.75" x14ac:dyDescent="0.2">
      <c r="A64" s="2083" t="s">
        <v>75</v>
      </c>
      <c r="B64" s="2084"/>
      <c r="C64" s="2084"/>
      <c r="D64" s="2084"/>
      <c r="E64" s="2084"/>
      <c r="F64" s="2084"/>
      <c r="G64" s="2084"/>
      <c r="H64" s="2084"/>
      <c r="I64" s="2085"/>
      <c r="K64" s="949"/>
      <c r="L64" s="949"/>
      <c r="M64" s="949"/>
      <c r="N64" s="965"/>
      <c r="O64" s="964"/>
    </row>
    <row r="65" spans="1:15" ht="15" customHeight="1" x14ac:dyDescent="0.2">
      <c r="A65" s="950" t="s">
        <v>206</v>
      </c>
      <c r="B65" s="1"/>
      <c r="C65" s="1"/>
      <c r="D65" s="1"/>
      <c r="E65" s="1"/>
      <c r="F65" s="49">
        <f t="shared" ref="F65:H71" si="14">IF(ISERROR((B65-C65)/C65),0,(B65-C65)/C65)</f>
        <v>0</v>
      </c>
      <c r="G65" s="49">
        <f t="shared" si="14"/>
        <v>0</v>
      </c>
      <c r="H65" s="49">
        <f t="shared" si="14"/>
        <v>0</v>
      </c>
      <c r="I65" s="2080" t="s">
        <v>526</v>
      </c>
      <c r="J65" s="1435" t="s">
        <v>3357</v>
      </c>
      <c r="K65" s="949" t="s">
        <v>208</v>
      </c>
      <c r="L65" s="949"/>
      <c r="M65" s="949"/>
      <c r="N65" s="965"/>
      <c r="O65" s="964"/>
    </row>
    <row r="66" spans="1:15" ht="15" customHeight="1" x14ac:dyDescent="0.2">
      <c r="A66" s="950" t="s">
        <v>184</v>
      </c>
      <c r="B66" s="1"/>
      <c r="C66" s="1"/>
      <c r="D66" s="1"/>
      <c r="E66" s="1"/>
      <c r="F66" s="49">
        <f t="shared" si="14"/>
        <v>0</v>
      </c>
      <c r="G66" s="49">
        <f t="shared" si="14"/>
        <v>0</v>
      </c>
      <c r="H66" s="49">
        <f t="shared" si="14"/>
        <v>0</v>
      </c>
      <c r="I66" s="2086"/>
      <c r="J66" s="1435" t="s">
        <v>3358</v>
      </c>
      <c r="K66" s="949"/>
      <c r="L66" s="949"/>
      <c r="M66" s="949"/>
      <c r="N66" s="965"/>
      <c r="O66" s="964"/>
    </row>
    <row r="67" spans="1:15" ht="15" customHeight="1" x14ac:dyDescent="0.2">
      <c r="A67" s="950" t="s">
        <v>61</v>
      </c>
      <c r="B67" s="1"/>
      <c r="C67" s="1"/>
      <c r="D67" s="1"/>
      <c r="E67" s="1"/>
      <c r="F67" s="49">
        <f t="shared" si="14"/>
        <v>0</v>
      </c>
      <c r="G67" s="49">
        <f t="shared" si="14"/>
        <v>0</v>
      </c>
      <c r="H67" s="49">
        <f t="shared" si="14"/>
        <v>0</v>
      </c>
      <c r="I67" s="2086"/>
      <c r="J67" s="1435" t="s">
        <v>3359</v>
      </c>
      <c r="K67" s="949"/>
      <c r="L67" s="949"/>
      <c r="M67" s="949"/>
      <c r="N67" s="965"/>
      <c r="O67" s="964"/>
    </row>
    <row r="68" spans="1:15" ht="15.75" x14ac:dyDescent="0.2">
      <c r="A68" s="952" t="s">
        <v>62</v>
      </c>
      <c r="B68" s="2">
        <f>SUM(B65:B67)</f>
        <v>0</v>
      </c>
      <c r="C68" s="2">
        <f>SUM(C65:C67)</f>
        <v>0</v>
      </c>
      <c r="D68" s="2">
        <f>SUM(D65:D67)</f>
        <v>0</v>
      </c>
      <c r="E68" s="2">
        <f>SUM(E65:E67)</f>
        <v>0</v>
      </c>
      <c r="F68" s="49">
        <f t="shared" si="14"/>
        <v>0</v>
      </c>
      <c r="G68" s="49">
        <f t="shared" si="14"/>
        <v>0</v>
      </c>
      <c r="H68" s="49">
        <f t="shared" si="14"/>
        <v>0</v>
      </c>
      <c r="I68" s="2086"/>
      <c r="J68" s="1435" t="s">
        <v>3360</v>
      </c>
      <c r="K68" s="949"/>
      <c r="L68" s="949"/>
      <c r="M68" s="949"/>
      <c r="N68" s="965"/>
      <c r="O68" s="964"/>
    </row>
    <row r="69" spans="1:15" ht="15" customHeight="1" x14ac:dyDescent="0.2">
      <c r="A69" s="950" t="s">
        <v>139</v>
      </c>
      <c r="B69" s="1"/>
      <c r="C69" s="1"/>
      <c r="D69" s="1"/>
      <c r="E69" s="1"/>
      <c r="F69" s="49">
        <f t="shared" si="14"/>
        <v>0</v>
      </c>
      <c r="G69" s="49">
        <f t="shared" si="14"/>
        <v>0</v>
      </c>
      <c r="H69" s="49">
        <f t="shared" si="14"/>
        <v>0</v>
      </c>
      <c r="I69" s="2086"/>
      <c r="J69" s="1435" t="s">
        <v>3361</v>
      </c>
      <c r="K69" s="949"/>
      <c r="L69" s="949"/>
      <c r="M69" s="949"/>
      <c r="N69" s="965"/>
      <c r="O69" s="964"/>
    </row>
    <row r="70" spans="1:15" ht="15.75" x14ac:dyDescent="0.2">
      <c r="A70" s="958" t="s">
        <v>76</v>
      </c>
      <c r="B70" s="2">
        <f>B59+B63+B68+B69</f>
        <v>0</v>
      </c>
      <c r="C70" s="2">
        <f>C59+C63+C68+C69</f>
        <v>0</v>
      </c>
      <c r="D70" s="2">
        <f>D59+D63+D68+D69</f>
        <v>0</v>
      </c>
      <c r="E70" s="2">
        <f>E59+E63+E68+E69</f>
        <v>0</v>
      </c>
      <c r="F70" s="49">
        <f t="shared" si="14"/>
        <v>0</v>
      </c>
      <c r="G70" s="49">
        <f t="shared" si="14"/>
        <v>0</v>
      </c>
      <c r="H70" s="49">
        <f t="shared" si="14"/>
        <v>0</v>
      </c>
      <c r="I70" s="2086"/>
      <c r="J70" s="1435" t="s">
        <v>3362</v>
      </c>
      <c r="K70" s="949"/>
      <c r="L70" s="949"/>
      <c r="M70" s="949"/>
      <c r="N70" s="965"/>
      <c r="O70" s="964"/>
    </row>
    <row r="71" spans="1:15" ht="15" customHeight="1" thickBot="1" x14ac:dyDescent="0.25">
      <c r="A71" s="950" t="s">
        <v>64</v>
      </c>
      <c r="B71" s="1"/>
      <c r="C71" s="1"/>
      <c r="D71" s="1"/>
      <c r="E71" s="1"/>
      <c r="F71" s="49">
        <f t="shared" si="14"/>
        <v>0</v>
      </c>
      <c r="G71" s="49">
        <f t="shared" si="14"/>
        <v>0</v>
      </c>
      <c r="H71" s="49">
        <f t="shared" si="14"/>
        <v>0</v>
      </c>
      <c r="I71" s="2086"/>
      <c r="J71" s="1435" t="s">
        <v>3363</v>
      </c>
      <c r="K71" s="949"/>
      <c r="L71" s="949"/>
      <c r="M71" s="949"/>
      <c r="N71" s="965"/>
      <c r="O71" s="964"/>
    </row>
    <row r="72" spans="1:15" ht="17.25" thickTop="1" thickBot="1" x14ac:dyDescent="0.3">
      <c r="A72" s="954" t="s">
        <v>611</v>
      </c>
      <c r="B72" s="968">
        <f>B70-B52+B45</f>
        <v>0</v>
      </c>
      <c r="C72" s="968">
        <f>C70-C52+C45</f>
        <v>0</v>
      </c>
      <c r="D72" s="968">
        <f>D70-D52+D45</f>
        <v>0</v>
      </c>
      <c r="E72" s="968">
        <f>E70-E52+E45</f>
        <v>0</v>
      </c>
      <c r="F72" s="5"/>
      <c r="G72" s="5"/>
      <c r="H72" s="5"/>
      <c r="I72" s="915"/>
      <c r="J72" s="1435" t="s">
        <v>3364</v>
      </c>
      <c r="K72" s="949"/>
      <c r="L72" s="949"/>
      <c r="M72" s="949"/>
      <c r="N72" s="965"/>
      <c r="O72" s="964"/>
    </row>
    <row r="73" spans="1:15" ht="16.5" thickTop="1" x14ac:dyDescent="0.2">
      <c r="A73" s="2077" t="s">
        <v>79</v>
      </c>
      <c r="B73" s="2078"/>
      <c r="C73" s="2078"/>
      <c r="D73" s="2078"/>
      <c r="E73" s="2078"/>
      <c r="F73" s="2078"/>
      <c r="G73" s="2078"/>
      <c r="H73" s="2078"/>
      <c r="I73" s="2079"/>
      <c r="K73" s="949"/>
      <c r="L73" s="949"/>
      <c r="M73" s="949"/>
      <c r="N73" s="965"/>
      <c r="O73" s="964"/>
    </row>
    <row r="74" spans="1:15" ht="15.75" customHeight="1" x14ac:dyDescent="0.2">
      <c r="A74" s="952" t="s">
        <v>63</v>
      </c>
      <c r="B74" s="14" t="e">
        <f>B49/B68</f>
        <v>#DIV/0!</v>
      </c>
      <c r="C74" s="14" t="e">
        <f>C49/C68</f>
        <v>#DIV/0!</v>
      </c>
      <c r="D74" s="14" t="e">
        <f>D49/D68</f>
        <v>#DIV/0!</v>
      </c>
      <c r="E74" s="14" t="e">
        <f>E49/E68</f>
        <v>#DIV/0!</v>
      </c>
      <c r="F74" s="388">
        <f t="shared" ref="F74:G89" si="15">IF(ISERROR((B74-C74)/C74),0,(B74-C74)/C74)</f>
        <v>0</v>
      </c>
      <c r="G74" s="388">
        <f t="shared" si="15"/>
        <v>0</v>
      </c>
      <c r="H74" s="388">
        <f t="shared" ref="H74:H89" si="16">IF(ISERROR((D74-E74)/E74),0,(D74-E74)/E74)</f>
        <v>0</v>
      </c>
      <c r="I74" s="2087" t="s">
        <v>500</v>
      </c>
      <c r="J74" s="1435" t="s">
        <v>3365</v>
      </c>
      <c r="K74" s="949" t="s">
        <v>527</v>
      </c>
      <c r="L74" s="949"/>
      <c r="M74" s="949"/>
      <c r="N74" s="965"/>
      <c r="O74" s="964"/>
    </row>
    <row r="75" spans="1:15" ht="15.75" x14ac:dyDescent="0.2">
      <c r="A75" s="952" t="s">
        <v>16</v>
      </c>
      <c r="B75" s="14" t="e">
        <f>B63/B59</f>
        <v>#DIV/0!</v>
      </c>
      <c r="C75" s="14" t="e">
        <f>C63/C59</f>
        <v>#DIV/0!</v>
      </c>
      <c r="D75" s="14" t="e">
        <f>D63/D59</f>
        <v>#DIV/0!</v>
      </c>
      <c r="E75" s="14" t="e">
        <f>E63/E59</f>
        <v>#DIV/0!</v>
      </c>
      <c r="F75" s="388">
        <f t="shared" si="15"/>
        <v>0</v>
      </c>
      <c r="G75" s="388">
        <f t="shared" si="15"/>
        <v>0</v>
      </c>
      <c r="H75" s="388">
        <f t="shared" si="16"/>
        <v>0</v>
      </c>
      <c r="I75" s="2088"/>
      <c r="J75" s="1435" t="s">
        <v>3366</v>
      </c>
      <c r="K75" s="949" t="s">
        <v>528</v>
      </c>
      <c r="L75" s="949"/>
      <c r="M75" s="949"/>
      <c r="N75" s="965"/>
      <c r="O75" s="964"/>
    </row>
    <row r="76" spans="1:15" ht="15.75" x14ac:dyDescent="0.2">
      <c r="A76" s="952" t="s">
        <v>17</v>
      </c>
      <c r="B76" s="14" t="e">
        <f>(B63+B68+B69)/B59</f>
        <v>#DIV/0!</v>
      </c>
      <c r="C76" s="14" t="e">
        <f>(C63+C68+C69)/C59</f>
        <v>#DIV/0!</v>
      </c>
      <c r="D76" s="14" t="e">
        <f>(D63+D68+D69)/D59</f>
        <v>#DIV/0!</v>
      </c>
      <c r="E76" s="14" t="e">
        <f>(E63+E68+E69)/E59</f>
        <v>#DIV/0!</v>
      </c>
      <c r="F76" s="388">
        <f t="shared" si="15"/>
        <v>0</v>
      </c>
      <c r="G76" s="388">
        <f t="shared" si="15"/>
        <v>0</v>
      </c>
      <c r="H76" s="388">
        <f t="shared" si="16"/>
        <v>0</v>
      </c>
      <c r="I76" s="2088"/>
      <c r="J76" s="1435" t="s">
        <v>3367</v>
      </c>
      <c r="K76" s="949" t="s">
        <v>529</v>
      </c>
      <c r="L76" s="949"/>
      <c r="M76" s="949"/>
      <c r="N76" s="965"/>
      <c r="O76" s="964"/>
    </row>
    <row r="77" spans="1:15" ht="15.75" x14ac:dyDescent="0.2">
      <c r="A77" s="952" t="s">
        <v>1855</v>
      </c>
      <c r="B77" s="14" t="e">
        <f>B63/(B59+B45)</f>
        <v>#DIV/0!</v>
      </c>
      <c r="C77" s="14" t="e">
        <f>C63/(C59+C45)</f>
        <v>#DIV/0!</v>
      </c>
      <c r="D77" s="14" t="e">
        <f t="shared" ref="D77:E77" si="17">D63/(D59+D45)</f>
        <v>#DIV/0!</v>
      </c>
      <c r="E77" s="14" t="e">
        <f t="shared" si="17"/>
        <v>#DIV/0!</v>
      </c>
      <c r="F77" s="388">
        <f t="shared" si="15"/>
        <v>0</v>
      </c>
      <c r="G77" s="388">
        <f t="shared" si="15"/>
        <v>0</v>
      </c>
      <c r="H77" s="388">
        <f t="shared" si="16"/>
        <v>0</v>
      </c>
      <c r="I77" s="2088"/>
      <c r="J77" s="1435" t="s">
        <v>3368</v>
      </c>
      <c r="K77" s="949"/>
      <c r="L77" s="949"/>
      <c r="M77" s="949"/>
      <c r="N77" s="965"/>
      <c r="O77" s="964"/>
    </row>
    <row r="78" spans="1:15" ht="15.75" x14ac:dyDescent="0.2">
      <c r="A78" s="952" t="s">
        <v>1856</v>
      </c>
      <c r="B78" s="14" t="e">
        <f>(B63+B68+B69)/(B59+B45)</f>
        <v>#DIV/0!</v>
      </c>
      <c r="C78" s="14" t="e">
        <f>(C63+C68+C69)/(C59+C45)</f>
        <v>#DIV/0!</v>
      </c>
      <c r="D78" s="14" t="e">
        <f t="shared" ref="D78:E78" si="18">(D63+D68+D69)/(D59+D45)</f>
        <v>#DIV/0!</v>
      </c>
      <c r="E78" s="14" t="e">
        <f t="shared" si="18"/>
        <v>#DIV/0!</v>
      </c>
      <c r="F78" s="388">
        <f t="shared" si="15"/>
        <v>0</v>
      </c>
      <c r="G78" s="388">
        <f t="shared" si="15"/>
        <v>0</v>
      </c>
      <c r="H78" s="388">
        <f t="shared" si="16"/>
        <v>0</v>
      </c>
      <c r="I78" s="2088"/>
      <c r="J78" s="1435" t="s">
        <v>3369</v>
      </c>
      <c r="K78" s="949"/>
      <c r="L78" s="949"/>
      <c r="M78" s="949"/>
      <c r="N78" s="965"/>
      <c r="O78" s="964"/>
    </row>
    <row r="79" spans="1:15" ht="15.75" x14ac:dyDescent="0.2">
      <c r="A79" s="952" t="s">
        <v>19</v>
      </c>
      <c r="B79" s="14" t="e">
        <f>B63/B25</f>
        <v>#DIV/0!</v>
      </c>
      <c r="C79" s="14" t="e">
        <f>C63/C25</f>
        <v>#DIV/0!</v>
      </c>
      <c r="D79" s="14" t="e">
        <f>D63/D25</f>
        <v>#DIV/0!</v>
      </c>
      <c r="E79" s="14" t="e">
        <f>E63/E25</f>
        <v>#DIV/0!</v>
      </c>
      <c r="F79" s="388">
        <f t="shared" si="15"/>
        <v>0</v>
      </c>
      <c r="G79" s="388">
        <f t="shared" si="15"/>
        <v>0</v>
      </c>
      <c r="H79" s="388">
        <f t="shared" si="16"/>
        <v>0</v>
      </c>
      <c r="I79" s="2088"/>
      <c r="J79" s="1435" t="s">
        <v>3370</v>
      </c>
      <c r="K79" s="949"/>
      <c r="L79" s="949"/>
      <c r="M79" s="949"/>
      <c r="N79" s="965"/>
      <c r="O79" s="964"/>
    </row>
    <row r="80" spans="1:15" ht="15.75" x14ac:dyDescent="0.2">
      <c r="A80" s="952" t="s">
        <v>1032</v>
      </c>
      <c r="B80" s="14" t="e">
        <f>(B63+B66-B47)/B59</f>
        <v>#DIV/0!</v>
      </c>
      <c r="C80" s="14" t="e">
        <f>(C63+C66-C47)/C59</f>
        <v>#DIV/0!</v>
      </c>
      <c r="D80" s="14" t="e">
        <f>(D63+D66-D47)/D59</f>
        <v>#DIV/0!</v>
      </c>
      <c r="E80" s="14" t="e">
        <f>(E63+E66-E47)/E59</f>
        <v>#DIV/0!</v>
      </c>
      <c r="F80" s="388">
        <f t="shared" si="15"/>
        <v>0</v>
      </c>
      <c r="G80" s="388">
        <f t="shared" si="15"/>
        <v>0</v>
      </c>
      <c r="H80" s="388">
        <f t="shared" si="16"/>
        <v>0</v>
      </c>
      <c r="I80" s="2088"/>
      <c r="J80" s="1435" t="s">
        <v>3371</v>
      </c>
      <c r="K80" s="949"/>
      <c r="L80" s="949"/>
      <c r="M80" s="949"/>
      <c r="N80" s="965"/>
      <c r="O80" s="964"/>
    </row>
    <row r="81" spans="1:15" ht="15.75" x14ac:dyDescent="0.2">
      <c r="A81" s="952" t="s">
        <v>1031</v>
      </c>
      <c r="B81" s="14" t="e">
        <f>(B63+B66-B47)/B25</f>
        <v>#DIV/0!</v>
      </c>
      <c r="C81" s="14" t="e">
        <f>(C63+C66-C47)/C25</f>
        <v>#DIV/0!</v>
      </c>
      <c r="D81" s="14" t="e">
        <f>(D63+D66-D47)/D25</f>
        <v>#DIV/0!</v>
      </c>
      <c r="E81" s="14" t="e">
        <f>(E63+E66-E47)/E25</f>
        <v>#DIV/0!</v>
      </c>
      <c r="F81" s="388">
        <f t="shared" si="15"/>
        <v>0</v>
      </c>
      <c r="G81" s="388">
        <f t="shared" si="15"/>
        <v>0</v>
      </c>
      <c r="H81" s="388">
        <f t="shared" si="16"/>
        <v>0</v>
      </c>
      <c r="I81" s="2088"/>
      <c r="J81" s="1435" t="s">
        <v>3372</v>
      </c>
      <c r="K81" s="949"/>
      <c r="L81" s="949"/>
      <c r="M81" s="949"/>
      <c r="N81" s="965"/>
      <c r="O81" s="964"/>
    </row>
    <row r="82" spans="1:15" ht="15.75" x14ac:dyDescent="0.2">
      <c r="A82" s="952" t="s">
        <v>29</v>
      </c>
      <c r="B82" s="14" t="e">
        <f>B29/B31</f>
        <v>#DIV/0!</v>
      </c>
      <c r="C82" s="14" t="e">
        <f>C29/C31</f>
        <v>#DIV/0!</v>
      </c>
      <c r="D82" s="14" t="e">
        <f>D29/D31</f>
        <v>#DIV/0!</v>
      </c>
      <c r="E82" s="14" t="e">
        <f>E29/E31</f>
        <v>#DIV/0!</v>
      </c>
      <c r="F82" s="388">
        <f t="shared" si="15"/>
        <v>0</v>
      </c>
      <c r="G82" s="388">
        <f t="shared" si="15"/>
        <v>0</v>
      </c>
      <c r="H82" s="388">
        <f t="shared" si="16"/>
        <v>0</v>
      </c>
      <c r="I82" s="2088"/>
      <c r="J82" s="1435" t="s">
        <v>3373</v>
      </c>
      <c r="K82" s="949"/>
      <c r="L82" s="949"/>
      <c r="M82" s="949"/>
      <c r="N82" s="965"/>
      <c r="O82" s="964"/>
    </row>
    <row r="83" spans="1:15" ht="15.75" x14ac:dyDescent="0.2">
      <c r="A83" s="952" t="s">
        <v>1857</v>
      </c>
      <c r="B83" s="14" t="e">
        <f>(B37+B27+B28)/(B63+B68)</f>
        <v>#DIV/0!</v>
      </c>
      <c r="C83" s="14" t="e">
        <f>(C37+C27+C28)/(C63+C68)</f>
        <v>#DIV/0!</v>
      </c>
      <c r="D83" s="14" t="e">
        <f t="shared" ref="D83:E83" si="19">(D37+D27+D28)/(D63+D68)</f>
        <v>#DIV/0!</v>
      </c>
      <c r="E83" s="14" t="e">
        <f t="shared" si="19"/>
        <v>#DIV/0!</v>
      </c>
      <c r="F83" s="388">
        <f t="shared" si="15"/>
        <v>0</v>
      </c>
      <c r="G83" s="388">
        <f t="shared" si="15"/>
        <v>0</v>
      </c>
      <c r="H83" s="388">
        <f t="shared" si="16"/>
        <v>0</v>
      </c>
      <c r="I83" s="2088"/>
      <c r="J83" s="1435" t="s">
        <v>3374</v>
      </c>
      <c r="K83" s="949"/>
      <c r="L83" s="949"/>
      <c r="M83" s="949"/>
      <c r="N83" s="965"/>
      <c r="O83" s="964"/>
    </row>
    <row r="84" spans="1:15" ht="15.75" x14ac:dyDescent="0.2">
      <c r="A84" s="952" t="s">
        <v>67</v>
      </c>
      <c r="B84" s="14" t="e">
        <f>B59/B52</f>
        <v>#DIV/0!</v>
      </c>
      <c r="C84" s="14" t="e">
        <f>C59/C52</f>
        <v>#DIV/0!</v>
      </c>
      <c r="D84" s="14" t="e">
        <f>D59/D52</f>
        <v>#DIV/0!</v>
      </c>
      <c r="E84" s="14" t="e">
        <f>E59/E52</f>
        <v>#DIV/0!</v>
      </c>
      <c r="F84" s="388">
        <f t="shared" si="15"/>
        <v>0</v>
      </c>
      <c r="G84" s="388">
        <f t="shared" si="15"/>
        <v>0</v>
      </c>
      <c r="H84" s="388">
        <f t="shared" si="16"/>
        <v>0</v>
      </c>
      <c r="I84" s="2088"/>
      <c r="J84" s="1435" t="s">
        <v>3375</v>
      </c>
      <c r="K84" s="949"/>
      <c r="L84" s="949"/>
      <c r="M84" s="949"/>
      <c r="N84" s="965"/>
      <c r="O84" s="964"/>
    </row>
    <row r="85" spans="1:15" ht="15.75" x14ac:dyDescent="0.2">
      <c r="A85" s="952" t="s">
        <v>31</v>
      </c>
      <c r="B85" s="2" t="e">
        <f>(B44*365)/(B17+B18)</f>
        <v>#DIV/0!</v>
      </c>
      <c r="C85" s="2" t="e">
        <f t="shared" ref="C85:E85" si="20">(C44*365)/(C17+C18)</f>
        <v>#DIV/0!</v>
      </c>
      <c r="D85" s="2" t="e">
        <f t="shared" si="20"/>
        <v>#DIV/0!</v>
      </c>
      <c r="E85" s="2" t="e">
        <f t="shared" si="20"/>
        <v>#DIV/0!</v>
      </c>
      <c r="F85" s="388">
        <f t="shared" si="15"/>
        <v>0</v>
      </c>
      <c r="G85" s="388">
        <f t="shared" si="15"/>
        <v>0</v>
      </c>
      <c r="H85" s="388">
        <f t="shared" si="16"/>
        <v>0</v>
      </c>
      <c r="I85" s="2088"/>
      <c r="J85" s="1435" t="s">
        <v>3376</v>
      </c>
      <c r="K85" s="949"/>
      <c r="L85" s="949"/>
      <c r="M85" s="949"/>
      <c r="N85" s="965"/>
      <c r="O85" s="964"/>
    </row>
    <row r="86" spans="1:15" ht="15.75" x14ac:dyDescent="0.2">
      <c r="A86" s="952" t="s">
        <v>32</v>
      </c>
      <c r="B86" s="2" t="e">
        <f>(B46*365)/B11</f>
        <v>#DIV/0!</v>
      </c>
      <c r="C86" s="2" t="e">
        <f>(C46*365)/C11</f>
        <v>#DIV/0!</v>
      </c>
      <c r="D86" s="2" t="e">
        <f>(D46*365)/D11</f>
        <v>#DIV/0!</v>
      </c>
      <c r="E86" s="2" t="e">
        <f>(E46*365)/E11</f>
        <v>#DIV/0!</v>
      </c>
      <c r="F86" s="388">
        <f t="shared" si="15"/>
        <v>0</v>
      </c>
      <c r="G86" s="388">
        <f t="shared" si="15"/>
        <v>0</v>
      </c>
      <c r="H86" s="388">
        <f t="shared" si="16"/>
        <v>0</v>
      </c>
      <c r="I86" s="2088"/>
      <c r="J86" s="1435" t="s">
        <v>3377</v>
      </c>
      <c r="K86" s="949"/>
      <c r="L86" s="949"/>
      <c r="M86" s="949"/>
      <c r="N86" s="965"/>
      <c r="O86" s="964"/>
    </row>
    <row r="87" spans="1:15" ht="15.75" x14ac:dyDescent="0.2">
      <c r="A87" s="952" t="s">
        <v>33</v>
      </c>
      <c r="B87" s="2" t="e">
        <f>(B65*365)/(B17+B18)</f>
        <v>#DIV/0!</v>
      </c>
      <c r="C87" s="2" t="e">
        <f>(C65*365)/(C17+C18)</f>
        <v>#DIV/0!</v>
      </c>
      <c r="D87" s="2" t="e">
        <f>(D65*365)/(D17+D18)</f>
        <v>#DIV/0!</v>
      </c>
      <c r="E87" s="2" t="e">
        <f>(E65*365)/(E17+E18)</f>
        <v>#DIV/0!</v>
      </c>
      <c r="F87" s="388">
        <f t="shared" si="15"/>
        <v>0</v>
      </c>
      <c r="G87" s="388">
        <f t="shared" si="15"/>
        <v>0</v>
      </c>
      <c r="H87" s="388">
        <f t="shared" si="16"/>
        <v>0</v>
      </c>
      <c r="I87" s="2088"/>
      <c r="J87" s="1435" t="s">
        <v>3378</v>
      </c>
      <c r="K87" s="949"/>
      <c r="L87" s="949"/>
      <c r="M87" s="949"/>
      <c r="N87" s="965"/>
      <c r="O87" s="964"/>
    </row>
    <row r="88" spans="1:15" ht="15.75" x14ac:dyDescent="0.2">
      <c r="A88" s="952" t="s">
        <v>34</v>
      </c>
      <c r="B88" s="2" t="e">
        <f>B85+B86-B87</f>
        <v>#DIV/0!</v>
      </c>
      <c r="C88" s="2" t="e">
        <f>C85+C86-C87</f>
        <v>#DIV/0!</v>
      </c>
      <c r="D88" s="2" t="e">
        <f>D85+D86-D87</f>
        <v>#DIV/0!</v>
      </c>
      <c r="E88" s="2" t="e">
        <f>E85+E86-E87</f>
        <v>#DIV/0!</v>
      </c>
      <c r="F88" s="388">
        <f t="shared" si="15"/>
        <v>0</v>
      </c>
      <c r="G88" s="388">
        <f t="shared" si="15"/>
        <v>0</v>
      </c>
      <c r="H88" s="388">
        <f t="shared" si="16"/>
        <v>0</v>
      </c>
      <c r="I88" s="2088"/>
      <c r="J88" s="1435" t="s">
        <v>3379</v>
      </c>
      <c r="K88" s="949"/>
      <c r="L88" s="949"/>
      <c r="M88" s="949"/>
      <c r="N88" s="965"/>
      <c r="O88" s="964"/>
    </row>
    <row r="89" spans="1:15" ht="15.75" x14ac:dyDescent="0.2">
      <c r="A89" s="952" t="s">
        <v>2017</v>
      </c>
      <c r="B89" s="2" t="e">
        <f>(B88/365)*B11*75%</f>
        <v>#DIV/0!</v>
      </c>
      <c r="C89" s="2" t="e">
        <f>(C88/365)*C11*75%</f>
        <v>#DIV/0!</v>
      </c>
      <c r="D89" s="2" t="e">
        <f t="shared" ref="D89:E89" si="21">(D88/365)*D11*75%</f>
        <v>#DIV/0!</v>
      </c>
      <c r="E89" s="2" t="e">
        <f t="shared" si="21"/>
        <v>#DIV/0!</v>
      </c>
      <c r="F89" s="388">
        <f t="shared" si="15"/>
        <v>0</v>
      </c>
      <c r="G89" s="388">
        <f t="shared" si="15"/>
        <v>0</v>
      </c>
      <c r="H89" s="388">
        <f t="shared" si="16"/>
        <v>0</v>
      </c>
      <c r="I89" s="2088"/>
      <c r="J89" s="1435" t="s">
        <v>3380</v>
      </c>
      <c r="K89" s="949"/>
      <c r="L89" s="949"/>
      <c r="M89" s="949"/>
      <c r="N89" s="965"/>
      <c r="O89" s="964"/>
    </row>
    <row r="90" spans="1:15" ht="15.75" x14ac:dyDescent="0.2">
      <c r="A90" s="952" t="s">
        <v>2018</v>
      </c>
      <c r="B90" s="2" t="e">
        <f>(B88/365)*B11</f>
        <v>#DIV/0!</v>
      </c>
      <c r="C90" s="2" t="e">
        <f>(C88/365)*C11</f>
        <v>#DIV/0!</v>
      </c>
      <c r="D90" s="2" t="e">
        <f t="shared" ref="D90:E90" si="22">(D88/365)*D11</f>
        <v>#DIV/0!</v>
      </c>
      <c r="E90" s="2" t="e">
        <f t="shared" si="22"/>
        <v>#DIV/0!</v>
      </c>
      <c r="F90" s="388">
        <f t="shared" ref="F90:H90" si="23">IF(ISERROR((B90-C90)/C90),0,(B90-C90)/C90)</f>
        <v>0</v>
      </c>
      <c r="G90" s="388">
        <f t="shared" si="23"/>
        <v>0</v>
      </c>
      <c r="H90" s="388">
        <f t="shared" si="23"/>
        <v>0</v>
      </c>
      <c r="I90" s="2088"/>
      <c r="J90" s="1435" t="s">
        <v>3381</v>
      </c>
      <c r="K90" s="949"/>
      <c r="L90" s="949"/>
      <c r="M90" s="949"/>
      <c r="N90" s="965"/>
      <c r="O90" s="964"/>
    </row>
    <row r="91" spans="1:15" ht="15.75" x14ac:dyDescent="0.2">
      <c r="A91" s="962" t="s">
        <v>187</v>
      </c>
      <c r="B91" s="1"/>
      <c r="C91" s="1"/>
      <c r="D91" s="1"/>
      <c r="E91" s="1"/>
      <c r="F91" s="49">
        <f t="shared" ref="F91:H92" si="24">IF(ISERROR((B91-C91)/C91),0,(B91-C91)/C91)</f>
        <v>0</v>
      </c>
      <c r="G91" s="49">
        <f t="shared" si="24"/>
        <v>0</v>
      </c>
      <c r="H91" s="49">
        <f t="shared" si="24"/>
        <v>0</v>
      </c>
      <c r="I91" s="2089"/>
      <c r="J91" s="1435" t="s">
        <v>3382</v>
      </c>
      <c r="K91" s="949"/>
      <c r="L91" s="949"/>
      <c r="M91" s="949"/>
      <c r="N91" s="965"/>
      <c r="O91" s="964"/>
    </row>
    <row r="92" spans="1:15" s="113" customFormat="1" ht="15.75" x14ac:dyDescent="0.2">
      <c r="A92" s="952" t="s">
        <v>3124</v>
      </c>
      <c r="B92" s="2" t="e">
        <f>B89-B91</f>
        <v>#DIV/0!</v>
      </c>
      <c r="C92" s="2" t="e">
        <f t="shared" ref="C92:E92" si="25">C89-C91</f>
        <v>#DIV/0!</v>
      </c>
      <c r="D92" s="2" t="e">
        <f t="shared" si="25"/>
        <v>#DIV/0!</v>
      </c>
      <c r="E92" s="2" t="e">
        <f t="shared" si="25"/>
        <v>#DIV/0!</v>
      </c>
      <c r="F92" s="388">
        <f t="shared" si="24"/>
        <v>0</v>
      </c>
      <c r="G92" s="388">
        <f t="shared" si="24"/>
        <v>0</v>
      </c>
      <c r="H92" s="388">
        <f t="shared" si="24"/>
        <v>0</v>
      </c>
      <c r="I92" s="899"/>
      <c r="J92" s="1435" t="s">
        <v>3383</v>
      </c>
      <c r="K92" s="946"/>
      <c r="L92" s="946"/>
      <c r="M92" s="946"/>
      <c r="N92" s="941"/>
      <c r="O92" s="941"/>
    </row>
    <row r="93" spans="1:15" ht="15.75" x14ac:dyDescent="0.2">
      <c r="A93" s="51" t="s">
        <v>530</v>
      </c>
      <c r="B93" s="668"/>
      <c r="C93" s="2090"/>
      <c r="D93" s="2091"/>
      <c r="E93" s="2091"/>
      <c r="F93" s="2091"/>
      <c r="G93" s="2091"/>
      <c r="H93" s="2091"/>
      <c r="I93" s="2092"/>
      <c r="K93" s="949"/>
      <c r="L93" s="949"/>
      <c r="M93" s="949"/>
      <c r="N93" s="965"/>
      <c r="O93" s="964"/>
    </row>
    <row r="94" spans="1:15" ht="73.5" customHeight="1" thickBot="1" x14ac:dyDescent="0.25">
      <c r="A94" s="94" t="s">
        <v>53</v>
      </c>
      <c r="B94" s="669"/>
      <c r="C94" s="2063" t="s">
        <v>610</v>
      </c>
      <c r="D94" s="2064"/>
      <c r="E94" s="2064"/>
      <c r="F94" s="2064"/>
      <c r="G94" s="2064"/>
      <c r="H94" s="2064"/>
      <c r="I94" s="2065"/>
      <c r="K94" s="949"/>
      <c r="L94" s="949"/>
      <c r="M94" s="949"/>
      <c r="N94" s="965"/>
      <c r="O94" s="964"/>
    </row>
    <row r="95" spans="1:15" s="114" customFormat="1" ht="15" x14ac:dyDescent="0.2">
      <c r="A95" s="967"/>
      <c r="B95" s="967"/>
      <c r="C95" s="967"/>
      <c r="D95" s="967"/>
      <c r="E95" s="967"/>
      <c r="F95" s="967"/>
      <c r="G95" s="967"/>
      <c r="H95" s="967"/>
      <c r="I95" s="967"/>
      <c r="J95" s="1435"/>
      <c r="K95" s="965"/>
      <c r="L95" s="965"/>
      <c r="M95" s="965"/>
      <c r="N95" s="965"/>
      <c r="O95" s="965"/>
    </row>
    <row r="96" spans="1:15" s="114" customFormat="1" ht="15" x14ac:dyDescent="0.2">
      <c r="A96" s="967"/>
      <c r="B96" s="967"/>
      <c r="C96" s="967"/>
      <c r="D96" s="967"/>
      <c r="E96" s="967"/>
      <c r="F96" s="967"/>
      <c r="G96" s="967"/>
      <c r="H96" s="967"/>
      <c r="I96" s="967"/>
      <c r="J96" s="1435"/>
      <c r="K96" s="965"/>
      <c r="L96" s="965"/>
      <c r="M96" s="965"/>
      <c r="N96" s="965"/>
      <c r="O96" s="965"/>
    </row>
    <row r="97" spans="1:15" s="114" customFormat="1" ht="15" x14ac:dyDescent="0.2">
      <c r="A97" s="967"/>
      <c r="B97" s="967"/>
      <c r="C97" s="967"/>
      <c r="D97" s="967"/>
      <c r="E97" s="967"/>
      <c r="F97" s="967"/>
      <c r="G97" s="967"/>
      <c r="H97" s="967"/>
      <c r="I97" s="967"/>
      <c r="J97" s="1435"/>
      <c r="K97" s="965"/>
      <c r="L97" s="965"/>
      <c r="M97" s="965"/>
      <c r="N97" s="965"/>
      <c r="O97" s="965"/>
    </row>
    <row r="98" spans="1:15" s="114" customFormat="1" ht="15" x14ac:dyDescent="0.2">
      <c r="A98" s="965"/>
      <c r="B98" s="965"/>
      <c r="C98" s="965"/>
      <c r="D98" s="965"/>
      <c r="E98" s="965"/>
      <c r="F98" s="965"/>
      <c r="G98" s="965"/>
      <c r="H98" s="965"/>
      <c r="I98" s="965"/>
      <c r="J98" s="1435"/>
      <c r="K98" s="965"/>
      <c r="L98" s="965"/>
      <c r="M98" s="965"/>
      <c r="N98" s="965"/>
      <c r="O98" s="965"/>
    </row>
    <row r="99" spans="1:15" s="114" customFormat="1" ht="15" x14ac:dyDescent="0.2">
      <c r="A99" s="965"/>
      <c r="B99" s="965"/>
      <c r="C99" s="965"/>
      <c r="D99" s="965"/>
      <c r="E99" s="965"/>
      <c r="F99" s="965"/>
      <c r="G99" s="965"/>
      <c r="H99" s="965"/>
      <c r="I99" s="965"/>
      <c r="J99" s="1435"/>
      <c r="K99" s="965"/>
      <c r="L99" s="965"/>
      <c r="M99" s="965"/>
      <c r="N99" s="965"/>
      <c r="O99" s="965"/>
    </row>
    <row r="100" spans="1:15" s="114" customFormat="1" ht="15" x14ac:dyDescent="0.2">
      <c r="A100" s="965"/>
      <c r="B100" s="965"/>
      <c r="C100" s="965"/>
      <c r="D100" s="965"/>
      <c r="E100" s="965"/>
      <c r="F100" s="965"/>
      <c r="G100" s="965"/>
      <c r="H100" s="965"/>
      <c r="I100" s="965"/>
      <c r="J100" s="1435"/>
      <c r="K100" s="965"/>
      <c r="L100" s="965"/>
      <c r="M100" s="965"/>
      <c r="N100" s="965"/>
      <c r="O100" s="965"/>
    </row>
    <row r="101" spans="1:15" s="114" customFormat="1" ht="15" x14ac:dyDescent="0.2">
      <c r="A101" s="965"/>
      <c r="B101" s="965"/>
      <c r="C101" s="965"/>
      <c r="D101" s="965"/>
      <c r="E101" s="965"/>
      <c r="F101" s="965"/>
      <c r="G101" s="965"/>
      <c r="H101" s="965"/>
      <c r="I101" s="965"/>
      <c r="J101" s="1435"/>
      <c r="K101" s="965"/>
      <c r="L101" s="965"/>
      <c r="M101" s="965"/>
      <c r="N101" s="965"/>
      <c r="O101" s="965"/>
    </row>
    <row r="102" spans="1:15" s="114" customFormat="1" ht="15" x14ac:dyDescent="0.2">
      <c r="A102" s="965"/>
      <c r="B102" s="965"/>
      <c r="C102" s="965"/>
      <c r="D102" s="965"/>
      <c r="E102" s="965"/>
      <c r="F102" s="965"/>
      <c r="G102" s="965"/>
      <c r="H102" s="965"/>
      <c r="I102" s="965"/>
      <c r="J102" s="1435"/>
      <c r="K102" s="965"/>
      <c r="L102" s="965"/>
      <c r="M102" s="965"/>
      <c r="N102" s="965"/>
      <c r="O102" s="965"/>
    </row>
    <row r="103" spans="1:15" s="114" customFormat="1" ht="15" x14ac:dyDescent="0.2">
      <c r="A103" s="965"/>
      <c r="B103" s="965"/>
      <c r="C103" s="965"/>
      <c r="D103" s="965"/>
      <c r="E103" s="965"/>
      <c r="F103" s="965"/>
      <c r="G103" s="965"/>
      <c r="H103" s="965"/>
      <c r="I103" s="965"/>
      <c r="J103" s="1435"/>
      <c r="K103" s="965"/>
      <c r="L103" s="965"/>
      <c r="M103" s="965"/>
      <c r="N103" s="965"/>
      <c r="O103" s="965"/>
    </row>
    <row r="104" spans="1:15" s="114" customFormat="1" ht="15" x14ac:dyDescent="0.2">
      <c r="A104" s="965"/>
      <c r="B104" s="965"/>
      <c r="C104" s="965"/>
      <c r="D104" s="965"/>
      <c r="E104" s="965"/>
      <c r="F104" s="965"/>
      <c r="G104" s="965"/>
      <c r="H104" s="965"/>
      <c r="I104" s="965"/>
      <c r="J104" s="1435"/>
      <c r="K104" s="965"/>
      <c r="L104" s="965"/>
      <c r="M104" s="965"/>
      <c r="N104" s="965"/>
      <c r="O104" s="965"/>
    </row>
  </sheetData>
  <sheetProtection algorithmName="SHA-512" hashValue="/EPK5iLPlwQqbDZWTeYOhINNOy4S8X4mZyjw1dzm01DM+IVmX7H2+Qd7GumEgyx8y0YiXOPGgZyJj3aNTILT9Q==" saltValue="eFquyoIE8FVPC5rreBxJ8Q==" spinCount="100000" sheet="1" formatCells="0" formatColumns="0" formatRows="0" insertColumns="0" insertRows="0" insertHyperlinks="0" deleteColumns="0" deleteRows="0" autoFilter="0"/>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12" priority="7" operator="equal">
      <formula>"True"</formula>
    </cfRule>
    <cfRule type="cellIs" dxfId="311" priority="8" operator="equal">
      <formula>"False"</formula>
    </cfRule>
    <cfRule type="cellIs" dxfId="310" priority="9" operator="equal">
      <formula>"Pending"</formula>
    </cfRule>
  </conditionalFormatting>
  <conditionalFormatting sqref="B72">
    <cfRule type="cellIs" dxfId="309" priority="1" operator="equal">
      <formula>"True"</formula>
    </cfRule>
    <cfRule type="cellIs" dxfId="308" priority="2" operator="equal">
      <formula>"False"</formula>
    </cfRule>
    <cfRule type="cellIs" dxfId="307" priority="3" operator="equal">
      <formula>"Pending"</formula>
    </cfRule>
  </conditionalFormatting>
  <dataValidations count="2">
    <dataValidation type="list" allowBlank="1" showInputMessage="1" showErrorMessage="1" sqref="C8:E8" xr:uid="{00000000-0002-0000-1800-000000000000}">
      <formula1>"Audited,Unaudited,Provisional,Projection"</formula1>
    </dataValidation>
    <dataValidation type="list" allowBlank="1" showInputMessage="1" showErrorMessage="1" sqref="B8" xr:uid="{0DA6B5A0-EF89-41ED-A89E-FBD93D845688}">
      <formula1>"Provisional,Projection"</formula1>
    </dataValidation>
  </dataValidations>
  <pageMargins left="0.32" right="0.26" top="0.75" bottom="0.75" header="0.3" footer="0.3"/>
  <pageSetup paperSize="9" scale="43"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1000000}">
          <x14:formula1>
            <xm:f>'Industry Margins'!$P$3:$P$153</xm:f>
          </x14:formula1>
          <xm:sqref>I4</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A1:F92"/>
  <sheetViews>
    <sheetView workbookViewId="0">
      <selection activeCell="D12" sqref="A1:XFD1048576"/>
    </sheetView>
  </sheetViews>
  <sheetFormatPr defaultRowHeight="12.75" x14ac:dyDescent="0.2"/>
  <cols>
    <col min="1" max="1" width="11.5703125" style="868" customWidth="1"/>
    <col min="2" max="2" width="45.5703125" style="868"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Financials2!E7</f>
        <v>43190</v>
      </c>
      <c r="D1" s="872">
        <f>Financials2!D7</f>
        <v>43555</v>
      </c>
      <c r="E1" s="872">
        <f>Financials2!C7</f>
        <v>43921</v>
      </c>
      <c r="F1" s="872">
        <f>Financials2!B7</f>
        <v>44286</v>
      </c>
    </row>
    <row r="2" spans="1:6" x14ac:dyDescent="0.2">
      <c r="A2" s="871" t="s">
        <v>2038</v>
      </c>
      <c r="B2" s="871" t="s">
        <v>2708</v>
      </c>
      <c r="C2" s="873">
        <f>Financials2!E8</f>
        <v>0</v>
      </c>
      <c r="D2" s="873">
        <f>Financials2!D8</f>
        <v>0</v>
      </c>
      <c r="E2" s="873">
        <f>Financials2!C8</f>
        <v>0</v>
      </c>
      <c r="F2" s="873">
        <f>Financials2!B8</f>
        <v>0</v>
      </c>
    </row>
    <row r="3" spans="1:6" x14ac:dyDescent="0.2">
      <c r="A3" s="871" t="s">
        <v>2038</v>
      </c>
      <c r="B3" s="871" t="s">
        <v>2709</v>
      </c>
      <c r="C3" s="873">
        <v>12</v>
      </c>
      <c r="D3" s="873">
        <v>12</v>
      </c>
      <c r="E3" s="873">
        <v>12</v>
      </c>
      <c r="F3" s="873">
        <v>12</v>
      </c>
    </row>
    <row r="4" spans="1:6" x14ac:dyDescent="0.2">
      <c r="A4" s="874" t="s">
        <v>686</v>
      </c>
      <c r="B4" s="874" t="s">
        <v>2711</v>
      </c>
      <c r="C4" s="875" t="s">
        <v>2038</v>
      </c>
      <c r="D4" s="875" t="s">
        <v>2038</v>
      </c>
      <c r="E4" s="875" t="s">
        <v>2038</v>
      </c>
      <c r="F4" s="875" t="s">
        <v>2038</v>
      </c>
    </row>
    <row r="5" spans="1:6" x14ac:dyDescent="0.2">
      <c r="A5" s="876" t="s">
        <v>2712</v>
      </c>
      <c r="B5" s="876" t="s">
        <v>2713</v>
      </c>
      <c r="C5" s="877">
        <f>Financials2!E13</f>
        <v>0</v>
      </c>
      <c r="D5" s="877">
        <f>Financials2!D13</f>
        <v>0</v>
      </c>
      <c r="E5" s="877">
        <f>Financials2!C13</f>
        <v>0</v>
      </c>
      <c r="F5" s="877">
        <f>Financials2!B13</f>
        <v>0</v>
      </c>
    </row>
    <row r="6" spans="1:6" x14ac:dyDescent="0.2">
      <c r="A6" s="876" t="s">
        <v>2714</v>
      </c>
      <c r="B6" s="876" t="s">
        <v>2715</v>
      </c>
      <c r="C6" s="877">
        <f>Financials2!E12</f>
        <v>0</v>
      </c>
      <c r="D6" s="877">
        <f>Financials2!D12</f>
        <v>0</v>
      </c>
      <c r="E6" s="877">
        <f>Financials2!C12</f>
        <v>0</v>
      </c>
      <c r="F6" s="877">
        <f>Financials2!B12</f>
        <v>0</v>
      </c>
    </row>
    <row r="7" spans="1:6" x14ac:dyDescent="0.2">
      <c r="A7" s="876" t="s">
        <v>2716</v>
      </c>
      <c r="B7" s="876" t="s">
        <v>2717</v>
      </c>
      <c r="C7" s="878">
        <f>(C5+C6)</f>
        <v>0</v>
      </c>
      <c r="D7" s="878">
        <f>(D5+D6)</f>
        <v>0</v>
      </c>
      <c r="E7" s="878">
        <f>(E5+E6)</f>
        <v>0</v>
      </c>
      <c r="F7" s="878">
        <f>(F5+F6)</f>
        <v>0</v>
      </c>
    </row>
    <row r="8" spans="1:6" x14ac:dyDescent="0.2">
      <c r="A8" s="876" t="s">
        <v>2718</v>
      </c>
      <c r="B8" s="876" t="s">
        <v>2719</v>
      </c>
      <c r="C8" s="879"/>
      <c r="D8" s="879"/>
      <c r="E8" s="879"/>
      <c r="F8" s="879"/>
    </row>
    <row r="9" spans="1:6" x14ac:dyDescent="0.2">
      <c r="A9" s="876" t="s">
        <v>2720</v>
      </c>
      <c r="B9" s="876" t="s">
        <v>2721</v>
      </c>
      <c r="C9" s="878">
        <f>(C7-C8)</f>
        <v>0</v>
      </c>
      <c r="D9" s="878">
        <f>(D7-D8)</f>
        <v>0</v>
      </c>
      <c r="E9" s="878">
        <f>(E7-E8)</f>
        <v>0</v>
      </c>
      <c r="F9" s="878">
        <f>(F7-F8)</f>
        <v>0</v>
      </c>
    </row>
    <row r="10" spans="1:6" x14ac:dyDescent="0.2">
      <c r="A10" s="876" t="s">
        <v>2722</v>
      </c>
      <c r="B10" s="876" t="s">
        <v>2723</v>
      </c>
      <c r="C10" s="877">
        <f>Financials2!E15</f>
        <v>0</v>
      </c>
      <c r="D10" s="877">
        <f>Financials2!D15</f>
        <v>0</v>
      </c>
      <c r="E10" s="877">
        <f>Financials2!C15</f>
        <v>0</v>
      </c>
      <c r="F10" s="877">
        <f>Financials2!B15</f>
        <v>0</v>
      </c>
    </row>
    <row r="11" spans="1:6" x14ac:dyDescent="0.2">
      <c r="A11" s="876" t="s">
        <v>2724</v>
      </c>
      <c r="B11" s="876" t="s">
        <v>2725</v>
      </c>
      <c r="C11" s="879"/>
      <c r="D11" s="879"/>
      <c r="E11" s="879"/>
      <c r="F11" s="879"/>
    </row>
    <row r="12" spans="1:6" x14ac:dyDescent="0.2">
      <c r="A12" s="876" t="s">
        <v>2726</v>
      </c>
      <c r="B12" s="876" t="s">
        <v>2727</v>
      </c>
      <c r="C12" s="879"/>
      <c r="D12" s="879"/>
      <c r="E12" s="879"/>
      <c r="F12" s="879"/>
    </row>
    <row r="13" spans="1:6" x14ac:dyDescent="0.2">
      <c r="A13" s="876" t="s">
        <v>2728</v>
      </c>
      <c r="B13" s="876" t="s">
        <v>2729</v>
      </c>
      <c r="C13" s="879"/>
      <c r="D13" s="879"/>
      <c r="E13" s="879"/>
      <c r="F13" s="879"/>
    </row>
    <row r="14" spans="1:6" x14ac:dyDescent="0.2">
      <c r="A14" s="876" t="s">
        <v>2730</v>
      </c>
      <c r="B14" s="876" t="s">
        <v>2731</v>
      </c>
      <c r="C14" s="878">
        <f>(C9+C10+C11+C12+C13)</f>
        <v>0</v>
      </c>
      <c r="D14" s="878">
        <f>(D9+D10+D11+D12+D13)</f>
        <v>0</v>
      </c>
      <c r="E14" s="878">
        <f>(E9+E10+E11+E12+E13)</f>
        <v>0</v>
      </c>
      <c r="F14" s="878">
        <f>(F9+F10+F11+F12+F13)</f>
        <v>0</v>
      </c>
    </row>
    <row r="15" spans="1:6" x14ac:dyDescent="0.2">
      <c r="A15" s="874" t="s">
        <v>2732</v>
      </c>
      <c r="B15" s="874" t="s">
        <v>2733</v>
      </c>
      <c r="C15" s="875" t="s">
        <v>2038</v>
      </c>
      <c r="D15" s="875" t="s">
        <v>2038</v>
      </c>
      <c r="E15" s="875" t="s">
        <v>2038</v>
      </c>
      <c r="F15" s="875" t="s">
        <v>2038</v>
      </c>
    </row>
    <row r="16" spans="1:6" x14ac:dyDescent="0.2">
      <c r="A16" s="876" t="s">
        <v>2734</v>
      </c>
      <c r="B16" s="876" t="s">
        <v>2735</v>
      </c>
      <c r="C16" s="875" t="s">
        <v>2038</v>
      </c>
      <c r="D16" s="875" t="s">
        <v>2038</v>
      </c>
      <c r="E16" s="875" t="s">
        <v>2038</v>
      </c>
      <c r="F16" s="875" t="s">
        <v>2038</v>
      </c>
    </row>
    <row r="17" spans="1:6" x14ac:dyDescent="0.2">
      <c r="A17" s="880" t="s">
        <v>2736</v>
      </c>
      <c r="B17" s="880" t="s">
        <v>2737</v>
      </c>
      <c r="C17" s="877">
        <f>Financials2!E17</f>
        <v>0</v>
      </c>
      <c r="D17" s="877">
        <f>Financials2!D17</f>
        <v>0</v>
      </c>
      <c r="E17" s="877">
        <f>Financials2!C17</f>
        <v>0</v>
      </c>
      <c r="F17" s="877">
        <f>Financials2!B17</f>
        <v>0</v>
      </c>
    </row>
    <row r="18" spans="1:6" x14ac:dyDescent="0.2">
      <c r="A18" s="880" t="s">
        <v>2738</v>
      </c>
      <c r="B18" s="880" t="s">
        <v>2739</v>
      </c>
      <c r="C18" s="879"/>
      <c r="D18" s="879"/>
      <c r="E18" s="879"/>
      <c r="F18" s="879"/>
    </row>
    <row r="19" spans="1:6" x14ac:dyDescent="0.2">
      <c r="A19" s="876" t="s">
        <v>2740</v>
      </c>
      <c r="B19" s="876" t="s">
        <v>2741</v>
      </c>
      <c r="C19" s="875" t="s">
        <v>2038</v>
      </c>
      <c r="D19" s="875" t="s">
        <v>2038</v>
      </c>
      <c r="E19" s="875" t="s">
        <v>2038</v>
      </c>
      <c r="F19" s="875" t="s">
        <v>2038</v>
      </c>
    </row>
    <row r="20" spans="1:6" x14ac:dyDescent="0.2">
      <c r="A20" s="880" t="s">
        <v>2742</v>
      </c>
      <c r="B20" s="880" t="s">
        <v>2737</v>
      </c>
      <c r="C20" s="879"/>
      <c r="D20" s="879"/>
      <c r="E20" s="879"/>
      <c r="F20" s="879"/>
    </row>
    <row r="21" spans="1:6" x14ac:dyDescent="0.2">
      <c r="A21" s="880" t="s">
        <v>2743</v>
      </c>
      <c r="B21" s="880" t="s">
        <v>2739</v>
      </c>
      <c r="C21" s="879"/>
      <c r="D21" s="879"/>
      <c r="E21" s="879"/>
      <c r="F21" s="879"/>
    </row>
    <row r="22" spans="1:6" x14ac:dyDescent="0.2">
      <c r="A22" s="876" t="s">
        <v>2744</v>
      </c>
      <c r="B22" s="876" t="s">
        <v>2745</v>
      </c>
      <c r="C22" s="879"/>
      <c r="D22" s="879"/>
      <c r="E22" s="879"/>
      <c r="F22" s="879"/>
    </row>
    <row r="23" spans="1:6" x14ac:dyDescent="0.2">
      <c r="A23" s="876" t="s">
        <v>2746</v>
      </c>
      <c r="B23" s="876" t="s">
        <v>2747</v>
      </c>
      <c r="C23" s="877">
        <f>Financials2!E19</f>
        <v>0</v>
      </c>
      <c r="D23" s="877">
        <f>Financials2!D19</f>
        <v>0</v>
      </c>
      <c r="E23" s="877">
        <f>Financials2!C19</f>
        <v>0</v>
      </c>
      <c r="F23" s="877">
        <f>Financials2!B19</f>
        <v>0</v>
      </c>
    </row>
    <row r="24" spans="1:6" x14ac:dyDescent="0.2">
      <c r="A24" s="876" t="s">
        <v>2748</v>
      </c>
      <c r="B24" s="876" t="s">
        <v>2749</v>
      </c>
      <c r="C24" s="877">
        <f>Financials2!E18</f>
        <v>0</v>
      </c>
      <c r="D24" s="877">
        <f>Financials2!D18</f>
        <v>0</v>
      </c>
      <c r="E24" s="877">
        <f>Financials2!C18</f>
        <v>0</v>
      </c>
      <c r="F24" s="877">
        <f>Financials2!B18</f>
        <v>0</v>
      </c>
    </row>
    <row r="25" spans="1:6" x14ac:dyDescent="0.2">
      <c r="A25" s="876" t="s">
        <v>2750</v>
      </c>
      <c r="B25" s="876" t="s">
        <v>2751</v>
      </c>
      <c r="C25" s="877">
        <f>Financials2!E27+Financials2!E28</f>
        <v>0</v>
      </c>
      <c r="D25" s="877">
        <f>Financials2!D27+Financials2!D28</f>
        <v>0</v>
      </c>
      <c r="E25" s="877">
        <f>Financials2!C27+Financials2!C28</f>
        <v>0</v>
      </c>
      <c r="F25" s="877">
        <f>Financials2!B27+Financials2!B28</f>
        <v>0</v>
      </c>
    </row>
    <row r="26" spans="1:6" x14ac:dyDescent="0.2">
      <c r="A26" s="876" t="s">
        <v>2752</v>
      </c>
      <c r="B26" s="876" t="s">
        <v>2753</v>
      </c>
      <c r="C26" s="879"/>
      <c r="D26" s="879"/>
      <c r="E26" s="879"/>
      <c r="F26" s="879"/>
    </row>
    <row r="27" spans="1:6" x14ac:dyDescent="0.2">
      <c r="A27" s="876" t="s">
        <v>2754</v>
      </c>
      <c r="B27" s="876" t="s">
        <v>2755</v>
      </c>
      <c r="C27" s="879"/>
      <c r="D27" s="879"/>
      <c r="E27" s="879"/>
      <c r="F27" s="879"/>
    </row>
    <row r="28" spans="1:6" x14ac:dyDescent="0.2">
      <c r="A28" s="876" t="s">
        <v>2756</v>
      </c>
      <c r="B28" s="876" t="s">
        <v>2757</v>
      </c>
      <c r="C28" s="879"/>
      <c r="D28" s="879"/>
      <c r="E28" s="879"/>
      <c r="F28" s="879"/>
    </row>
    <row r="29" spans="1:6" x14ac:dyDescent="0.2">
      <c r="A29" s="876" t="s">
        <v>2758</v>
      </c>
      <c r="B29" s="876" t="s">
        <v>2759</v>
      </c>
      <c r="C29" s="878">
        <f>(C17+C18+C20+C21+C22+C23+C24+C25+C26+C27+C28)</f>
        <v>0</v>
      </c>
      <c r="D29" s="878">
        <f>(D17+D18+D20+D21+D22+D23+D24+D25+D26+D27+D28)</f>
        <v>0</v>
      </c>
      <c r="E29" s="878">
        <f>(E17+E18+E20+E21+E22+E23+E24+E25+E26+E27+E28)</f>
        <v>0</v>
      </c>
      <c r="F29" s="878">
        <f>(F17+F18+F20+F21+F22+F23+F24+F25+F26+F27+F28)</f>
        <v>0</v>
      </c>
    </row>
    <row r="30" spans="1:6" x14ac:dyDescent="0.2">
      <c r="A30" s="876" t="s">
        <v>2760</v>
      </c>
      <c r="B30" s="876" t="s">
        <v>2761</v>
      </c>
      <c r="C30" s="879"/>
      <c r="D30" s="879"/>
      <c r="E30" s="879"/>
      <c r="F30" s="879"/>
    </row>
    <row r="31" spans="1:6" x14ac:dyDescent="0.2">
      <c r="A31" s="876" t="s">
        <v>2762</v>
      </c>
      <c r="B31" s="876" t="s">
        <v>2763</v>
      </c>
      <c r="C31" s="879"/>
      <c r="D31" s="879"/>
      <c r="E31" s="879"/>
      <c r="F31" s="879"/>
    </row>
    <row r="32" spans="1:6" x14ac:dyDescent="0.2">
      <c r="A32" s="876" t="s">
        <v>2764</v>
      </c>
      <c r="B32" s="876" t="s">
        <v>2765</v>
      </c>
      <c r="C32" s="878">
        <f>C29+C30-C31</f>
        <v>0</v>
      </c>
      <c r="D32" s="878">
        <f>D29+D30-D31</f>
        <v>0</v>
      </c>
      <c r="E32" s="878">
        <f>E29+E30-E31</f>
        <v>0</v>
      </c>
      <c r="F32" s="878">
        <f>F29+F30-F31</f>
        <v>0</v>
      </c>
    </row>
    <row r="33" spans="1:6" x14ac:dyDescent="0.2">
      <c r="A33" s="876" t="s">
        <v>2766</v>
      </c>
      <c r="B33" s="876" t="s">
        <v>2767</v>
      </c>
      <c r="C33" s="879"/>
      <c r="D33" s="879"/>
      <c r="E33" s="879"/>
      <c r="F33" s="879"/>
    </row>
    <row r="34" spans="1:6" x14ac:dyDescent="0.2">
      <c r="A34" s="876" t="s">
        <v>2768</v>
      </c>
      <c r="B34" s="876" t="s">
        <v>2769</v>
      </c>
      <c r="C34" s="879"/>
      <c r="D34" s="879"/>
      <c r="E34" s="879"/>
      <c r="F34" s="879"/>
    </row>
    <row r="35" spans="1:6" x14ac:dyDescent="0.2">
      <c r="A35" s="876" t="s">
        <v>2770</v>
      </c>
      <c r="B35" s="876" t="s">
        <v>2771</v>
      </c>
      <c r="C35" s="878">
        <f>C32+C33-C34</f>
        <v>0</v>
      </c>
      <c r="D35" s="878">
        <f>D32+D33-D34</f>
        <v>0</v>
      </c>
      <c r="E35" s="878">
        <f>E32+E33-E34</f>
        <v>0</v>
      </c>
      <c r="F35" s="878">
        <f>F32+F33-F34</f>
        <v>0</v>
      </c>
    </row>
    <row r="36" spans="1:6" x14ac:dyDescent="0.2">
      <c r="A36" s="876" t="s">
        <v>2772</v>
      </c>
      <c r="B36" s="876" t="s">
        <v>2773</v>
      </c>
      <c r="C36" s="877">
        <f>Financials2!E24</f>
        <v>0</v>
      </c>
      <c r="D36" s="877">
        <f>Financials2!D24</f>
        <v>0</v>
      </c>
      <c r="E36" s="877">
        <f>Financials2!C24</f>
        <v>0</v>
      </c>
      <c r="F36" s="877">
        <f>Financials2!B24</f>
        <v>0</v>
      </c>
    </row>
    <row r="37" spans="1:6" x14ac:dyDescent="0.2">
      <c r="A37" s="876" t="s">
        <v>2774</v>
      </c>
      <c r="B37" s="876" t="s">
        <v>2775</v>
      </c>
      <c r="C37" s="878">
        <f>(C35+C36)</f>
        <v>0</v>
      </c>
      <c r="D37" s="878">
        <f>(D35+D36)</f>
        <v>0</v>
      </c>
      <c r="E37" s="878">
        <f>(E35+E36)</f>
        <v>0</v>
      </c>
      <c r="F37" s="878">
        <f>(F35+F36)</f>
        <v>0</v>
      </c>
    </row>
    <row r="38" spans="1:6" x14ac:dyDescent="0.2">
      <c r="A38" s="876" t="s">
        <v>2776</v>
      </c>
      <c r="B38" s="876" t="s">
        <v>2777</v>
      </c>
      <c r="C38" s="878">
        <f>(C14-C37)</f>
        <v>0</v>
      </c>
      <c r="D38" s="878">
        <f>(D14-D37)</f>
        <v>0</v>
      </c>
      <c r="E38" s="878">
        <f>(E14-E37)</f>
        <v>0</v>
      </c>
      <c r="F38" s="878">
        <f>(F14-F37)</f>
        <v>0</v>
      </c>
    </row>
    <row r="39" spans="1:6" x14ac:dyDescent="0.2">
      <c r="A39" s="876" t="s">
        <v>2778</v>
      </c>
      <c r="B39" s="876" t="s">
        <v>2779</v>
      </c>
      <c r="C39" s="875" t="s">
        <v>2038</v>
      </c>
      <c r="D39" s="875" t="s">
        <v>2038</v>
      </c>
      <c r="E39" s="875" t="s">
        <v>2038</v>
      </c>
      <c r="F39" s="875" t="s">
        <v>2038</v>
      </c>
    </row>
    <row r="40" spans="1:6" x14ac:dyDescent="0.2">
      <c r="A40" s="880" t="s">
        <v>2780</v>
      </c>
      <c r="B40" s="880" t="s">
        <v>2781</v>
      </c>
      <c r="C40" s="879"/>
      <c r="D40" s="879"/>
      <c r="E40" s="879"/>
      <c r="F40" s="879"/>
    </row>
    <row r="41" spans="1:6" x14ac:dyDescent="0.2">
      <c r="A41" s="880" t="s">
        <v>2782</v>
      </c>
      <c r="B41" s="880" t="s">
        <v>2783</v>
      </c>
      <c r="C41" s="882">
        <f>Financials2!E31</f>
        <v>0</v>
      </c>
      <c r="D41" s="882">
        <f>Financials2!D31</f>
        <v>0</v>
      </c>
      <c r="E41" s="882">
        <f>Financials2!C31</f>
        <v>0</v>
      </c>
      <c r="F41" s="882">
        <f>Financials2!B31</f>
        <v>0</v>
      </c>
    </row>
    <row r="42" spans="1:6" x14ac:dyDescent="0.2">
      <c r="A42" s="876" t="s">
        <v>2784</v>
      </c>
      <c r="B42" s="876" t="s">
        <v>2785</v>
      </c>
      <c r="C42" s="875" t="s">
        <v>2038</v>
      </c>
      <c r="D42" s="875" t="s">
        <v>2038</v>
      </c>
      <c r="E42" s="875" t="s">
        <v>2038</v>
      </c>
      <c r="F42" s="875" t="s">
        <v>2038</v>
      </c>
    </row>
    <row r="43" spans="1:6" x14ac:dyDescent="0.2">
      <c r="A43" s="880" t="s">
        <v>2786</v>
      </c>
      <c r="B43" s="880" t="s">
        <v>2781</v>
      </c>
      <c r="C43" s="879"/>
      <c r="D43" s="879"/>
      <c r="E43" s="879"/>
      <c r="F43" s="879"/>
    </row>
    <row r="44" spans="1:6" x14ac:dyDescent="0.2">
      <c r="A44" s="880" t="s">
        <v>2787</v>
      </c>
      <c r="B44" s="880" t="s">
        <v>2783</v>
      </c>
      <c r="C44" s="879"/>
      <c r="D44" s="879"/>
      <c r="E44" s="879"/>
      <c r="F44" s="879"/>
    </row>
    <row r="45" spans="1:6" x14ac:dyDescent="0.2">
      <c r="A45" s="876" t="s">
        <v>2788</v>
      </c>
      <c r="B45" s="876" t="s">
        <v>2789</v>
      </c>
      <c r="C45" s="879"/>
      <c r="D45" s="879"/>
      <c r="E45" s="879"/>
      <c r="F45" s="879"/>
    </row>
    <row r="46" spans="1:6" x14ac:dyDescent="0.2">
      <c r="A46" s="876" t="s">
        <v>2790</v>
      </c>
      <c r="B46" s="876" t="s">
        <v>2791</v>
      </c>
      <c r="C46" s="878">
        <f>(C40+C41+C43+C44+C45)</f>
        <v>0</v>
      </c>
      <c r="D46" s="878">
        <f>(D40+D41+D43+D44+D45)</f>
        <v>0</v>
      </c>
      <c r="E46" s="878">
        <f>(E40+E41+E43+E44+E45)</f>
        <v>0</v>
      </c>
      <c r="F46" s="878">
        <f>(F40+F41+F43+F44+F45)</f>
        <v>0</v>
      </c>
    </row>
    <row r="47" spans="1:6" x14ac:dyDescent="0.2">
      <c r="A47" s="876" t="s">
        <v>2792</v>
      </c>
      <c r="B47" s="876" t="s">
        <v>2793</v>
      </c>
      <c r="C47" s="878">
        <f>(C38-C46)</f>
        <v>0</v>
      </c>
      <c r="D47" s="878">
        <f>(D38-D46)</f>
        <v>0</v>
      </c>
      <c r="E47" s="878">
        <f>(E38-E46)</f>
        <v>0</v>
      </c>
      <c r="F47" s="878">
        <f>(F38-F46)</f>
        <v>0</v>
      </c>
    </row>
    <row r="48" spans="1:6" x14ac:dyDescent="0.2">
      <c r="A48" s="874" t="s">
        <v>2794</v>
      </c>
      <c r="B48" s="874" t="s">
        <v>2795</v>
      </c>
      <c r="C48" s="875" t="s">
        <v>2038</v>
      </c>
      <c r="D48" s="875" t="s">
        <v>2038</v>
      </c>
      <c r="E48" s="875" t="s">
        <v>2038</v>
      </c>
      <c r="F48" s="875" t="s">
        <v>2038</v>
      </c>
    </row>
    <row r="49" spans="1:6" x14ac:dyDescent="0.2">
      <c r="A49" s="876" t="s">
        <v>2796</v>
      </c>
      <c r="B49" s="876" t="s">
        <v>2797</v>
      </c>
      <c r="C49" s="875" t="s">
        <v>2038</v>
      </c>
      <c r="D49" s="875" t="s">
        <v>2038</v>
      </c>
      <c r="E49" s="875" t="s">
        <v>2038</v>
      </c>
      <c r="F49" s="875" t="s">
        <v>2038</v>
      </c>
    </row>
    <row r="50" spans="1:6" x14ac:dyDescent="0.2">
      <c r="A50" s="880" t="s">
        <v>2798</v>
      </c>
      <c r="B50" s="880" t="s">
        <v>2799</v>
      </c>
      <c r="C50" s="879"/>
      <c r="D50" s="879"/>
      <c r="E50" s="879"/>
      <c r="F50" s="879"/>
    </row>
    <row r="51" spans="1:6" x14ac:dyDescent="0.2">
      <c r="A51" s="880" t="s">
        <v>2800</v>
      </c>
      <c r="B51" s="880" t="s">
        <v>2801</v>
      </c>
      <c r="C51" s="879"/>
      <c r="D51" s="879"/>
      <c r="E51" s="879"/>
      <c r="F51" s="879"/>
    </row>
    <row r="52" spans="1:6" x14ac:dyDescent="0.2">
      <c r="A52" s="880" t="s">
        <v>2802</v>
      </c>
      <c r="B52" s="880" t="s">
        <v>2803</v>
      </c>
      <c r="C52" s="879"/>
      <c r="D52" s="879"/>
      <c r="E52" s="879"/>
      <c r="F52" s="879"/>
    </row>
    <row r="53" spans="1:6" x14ac:dyDescent="0.2">
      <c r="A53" s="880" t="s">
        <v>2804</v>
      </c>
      <c r="B53" s="880" t="s">
        <v>2805</v>
      </c>
      <c r="C53" s="879"/>
      <c r="D53" s="879"/>
      <c r="E53" s="879"/>
      <c r="F53" s="879"/>
    </row>
    <row r="54" spans="1:6" x14ac:dyDescent="0.2">
      <c r="A54" s="880" t="s">
        <v>2806</v>
      </c>
      <c r="B54" s="880" t="s">
        <v>2807</v>
      </c>
      <c r="C54" s="879"/>
      <c r="D54" s="879"/>
      <c r="E54" s="879"/>
      <c r="F54" s="879"/>
    </row>
    <row r="55" spans="1:6" x14ac:dyDescent="0.2">
      <c r="A55" s="880" t="s">
        <v>2808</v>
      </c>
      <c r="B55" s="880" t="s">
        <v>2809</v>
      </c>
      <c r="C55" s="879"/>
      <c r="D55" s="879"/>
      <c r="E55" s="879"/>
      <c r="F55" s="879"/>
    </row>
    <row r="56" spans="1:6" x14ac:dyDescent="0.2">
      <c r="A56" s="876" t="s">
        <v>2810</v>
      </c>
      <c r="B56" s="876" t="s">
        <v>2811</v>
      </c>
      <c r="C56" s="877">
        <f>Financials2!E14</f>
        <v>0</v>
      </c>
      <c r="D56" s="877">
        <f>Financials2!D14</f>
        <v>0</v>
      </c>
      <c r="E56" s="877">
        <f>Financials2!C14</f>
        <v>0</v>
      </c>
      <c r="F56" s="877">
        <f>Financials2!B14</f>
        <v>0</v>
      </c>
    </row>
    <row r="57" spans="1:6" x14ac:dyDescent="0.2">
      <c r="A57" s="876" t="s">
        <v>2812</v>
      </c>
      <c r="B57" s="876" t="s">
        <v>2813</v>
      </c>
      <c r="C57" s="875" t="s">
        <v>2038</v>
      </c>
      <c r="D57" s="875" t="s">
        <v>2038</v>
      </c>
      <c r="E57" s="875" t="s">
        <v>2038</v>
      </c>
      <c r="F57" s="875" t="s">
        <v>2038</v>
      </c>
    </row>
    <row r="58" spans="1:6" x14ac:dyDescent="0.2">
      <c r="A58" s="880" t="s">
        <v>2814</v>
      </c>
      <c r="B58" s="880" t="s">
        <v>2815</v>
      </c>
      <c r="C58" s="879"/>
      <c r="D58" s="879"/>
      <c r="E58" s="879"/>
      <c r="F58" s="879"/>
    </row>
    <row r="59" spans="1:6" x14ac:dyDescent="0.2">
      <c r="A59" s="876" t="s">
        <v>2816</v>
      </c>
      <c r="B59" s="876" t="s">
        <v>2817</v>
      </c>
      <c r="C59" s="878">
        <f>(C50+C51+C52+C53+C54+C55+C56+C58)</f>
        <v>0</v>
      </c>
      <c r="D59" s="878">
        <f>(D50+D51+D52+D53+D54+D55+D56+D58)</f>
        <v>0</v>
      </c>
      <c r="E59" s="878">
        <f>(E50+E51+E52+E53+E54+E55+E56+E58)</f>
        <v>0</v>
      </c>
      <c r="F59" s="878">
        <f>(F50+F51+F52+F53+F54+F55+F56+F58)</f>
        <v>0</v>
      </c>
    </row>
    <row r="60" spans="1:6" x14ac:dyDescent="0.2">
      <c r="A60" s="874" t="s">
        <v>2818</v>
      </c>
      <c r="B60" s="874" t="s">
        <v>2819</v>
      </c>
      <c r="C60" s="875" t="s">
        <v>2038</v>
      </c>
      <c r="D60" s="875" t="s">
        <v>2038</v>
      </c>
      <c r="E60" s="875" t="s">
        <v>2038</v>
      </c>
      <c r="F60" s="875" t="s">
        <v>2038</v>
      </c>
    </row>
    <row r="61" spans="1:6" x14ac:dyDescent="0.2">
      <c r="A61" s="876" t="s">
        <v>2820</v>
      </c>
      <c r="B61" s="876" t="s">
        <v>2821</v>
      </c>
      <c r="C61" s="875" t="s">
        <v>2038</v>
      </c>
      <c r="D61" s="875" t="s">
        <v>2038</v>
      </c>
      <c r="E61" s="875" t="s">
        <v>2038</v>
      </c>
      <c r="F61" s="875" t="s">
        <v>2038</v>
      </c>
    </row>
    <row r="62" spans="1:6" x14ac:dyDescent="0.2">
      <c r="A62" s="880" t="s">
        <v>2822</v>
      </c>
      <c r="B62" s="880" t="s">
        <v>2823</v>
      </c>
      <c r="C62" s="879"/>
      <c r="D62" s="879"/>
      <c r="E62" s="879"/>
      <c r="F62" s="879"/>
    </row>
    <row r="63" spans="1:6" x14ac:dyDescent="0.2">
      <c r="A63" s="880" t="s">
        <v>2824</v>
      </c>
      <c r="B63" s="880" t="s">
        <v>2825</v>
      </c>
      <c r="C63" s="879"/>
      <c r="D63" s="879"/>
      <c r="E63" s="879"/>
      <c r="F63" s="879"/>
    </row>
    <row r="64" spans="1:6" x14ac:dyDescent="0.2">
      <c r="A64" s="880" t="s">
        <v>2826</v>
      </c>
      <c r="B64" s="880" t="s">
        <v>2827</v>
      </c>
      <c r="C64" s="879"/>
      <c r="D64" s="879"/>
      <c r="E64" s="879"/>
      <c r="F64" s="879"/>
    </row>
    <row r="65" spans="1:6" x14ac:dyDescent="0.2">
      <c r="A65" s="876" t="s">
        <v>2828</v>
      </c>
      <c r="B65" s="876" t="s">
        <v>2829</v>
      </c>
      <c r="C65" s="875" t="s">
        <v>2038</v>
      </c>
      <c r="D65" s="875" t="s">
        <v>2038</v>
      </c>
      <c r="E65" s="875" t="s">
        <v>2038</v>
      </c>
      <c r="F65" s="875" t="s">
        <v>2038</v>
      </c>
    </row>
    <row r="66" spans="1:6" x14ac:dyDescent="0.2">
      <c r="A66" s="880" t="s">
        <v>2830</v>
      </c>
      <c r="B66" s="880" t="s">
        <v>2831</v>
      </c>
      <c r="C66" s="879"/>
      <c r="D66" s="879"/>
      <c r="E66" s="879"/>
      <c r="F66" s="879"/>
    </row>
    <row r="67" spans="1:6" x14ac:dyDescent="0.2">
      <c r="A67" s="880" t="s">
        <v>2832</v>
      </c>
      <c r="B67" s="880" t="s">
        <v>2833</v>
      </c>
      <c r="C67" s="879"/>
      <c r="D67" s="879"/>
      <c r="E67" s="879"/>
      <c r="F67" s="879"/>
    </row>
    <row r="68" spans="1:6" x14ac:dyDescent="0.2">
      <c r="A68" s="880" t="s">
        <v>2834</v>
      </c>
      <c r="B68" s="880" t="s">
        <v>2835</v>
      </c>
      <c r="C68" s="879"/>
      <c r="D68" s="879"/>
      <c r="E68" s="879"/>
      <c r="F68" s="879"/>
    </row>
    <row r="69" spans="1:6" x14ac:dyDescent="0.2">
      <c r="A69" s="880" t="s">
        <v>2836</v>
      </c>
      <c r="B69" s="880" t="s">
        <v>2837</v>
      </c>
      <c r="C69" s="879"/>
      <c r="D69" s="879"/>
      <c r="E69" s="879"/>
      <c r="F69" s="879"/>
    </row>
    <row r="70" spans="1:6" x14ac:dyDescent="0.2">
      <c r="A70" s="876" t="s">
        <v>2838</v>
      </c>
      <c r="B70" s="876" t="s">
        <v>2839</v>
      </c>
      <c r="C70" s="878">
        <f>(C62+C63+C64+C66+C67+C68+C69)</f>
        <v>0</v>
      </c>
      <c r="D70" s="878">
        <f>(D62+D63+D64+D66+D67+D68+D69)</f>
        <v>0</v>
      </c>
      <c r="E70" s="878">
        <f>(E62+E63+E64+E66+E67+E68+E69)</f>
        <v>0</v>
      </c>
      <c r="F70" s="878">
        <f>(F62+F63+F64+F66+F67+F68+F69)</f>
        <v>0</v>
      </c>
    </row>
    <row r="71" spans="1:6" x14ac:dyDescent="0.2">
      <c r="A71" s="874" t="s">
        <v>2840</v>
      </c>
      <c r="B71" s="874" t="s">
        <v>2841</v>
      </c>
      <c r="C71" s="878">
        <f>(C59-C70)</f>
        <v>0</v>
      </c>
      <c r="D71" s="878">
        <f>(D59-D70)</f>
        <v>0</v>
      </c>
      <c r="E71" s="878">
        <f>(E59-E70)</f>
        <v>0</v>
      </c>
      <c r="F71" s="878">
        <f>(F59-F70)</f>
        <v>0</v>
      </c>
    </row>
    <row r="72" spans="1:6" x14ac:dyDescent="0.2">
      <c r="A72" s="874" t="s">
        <v>2842</v>
      </c>
      <c r="B72" s="874" t="s">
        <v>2843</v>
      </c>
      <c r="C72" s="878">
        <f>(C25+C46+C47+C71)</f>
        <v>0</v>
      </c>
      <c r="D72" s="878">
        <f>(D25+D46+D47+D71)</f>
        <v>0</v>
      </c>
      <c r="E72" s="878">
        <f>(E25+E46+E47+E71)</f>
        <v>0</v>
      </c>
      <c r="F72" s="878">
        <f>(F25+F46+F47+F71)</f>
        <v>0</v>
      </c>
    </row>
    <row r="73" spans="1:6" x14ac:dyDescent="0.2">
      <c r="A73" s="874" t="s">
        <v>2844</v>
      </c>
      <c r="B73" s="874" t="s">
        <v>2845</v>
      </c>
      <c r="C73" s="878">
        <f>(C47+C71)</f>
        <v>0</v>
      </c>
      <c r="D73" s="878">
        <f>(D47+D71)</f>
        <v>0</v>
      </c>
      <c r="E73" s="878">
        <f>(E47+E71)</f>
        <v>0</v>
      </c>
      <c r="F73" s="878">
        <f>(F47+F71)</f>
        <v>0</v>
      </c>
    </row>
    <row r="74" spans="1:6" x14ac:dyDescent="0.2">
      <c r="A74" s="874" t="s">
        <v>2846</v>
      </c>
      <c r="B74" s="874" t="s">
        <v>2847</v>
      </c>
      <c r="C74" s="877"/>
      <c r="D74" s="877"/>
      <c r="E74" s="877"/>
      <c r="F74" s="877"/>
    </row>
    <row r="75" spans="1:6" x14ac:dyDescent="0.2">
      <c r="A75" s="874" t="s">
        <v>2848</v>
      </c>
      <c r="B75" s="874" t="s">
        <v>2849</v>
      </c>
      <c r="C75" s="875" t="s">
        <v>2038</v>
      </c>
      <c r="D75" s="875" t="s">
        <v>2038</v>
      </c>
      <c r="E75" s="875" t="s">
        <v>2038</v>
      </c>
      <c r="F75" s="875" t="s">
        <v>2038</v>
      </c>
    </row>
    <row r="76" spans="1:6" x14ac:dyDescent="0.2">
      <c r="A76" s="876" t="s">
        <v>2850</v>
      </c>
      <c r="B76" s="876" t="s">
        <v>2851</v>
      </c>
      <c r="C76" s="877">
        <f>Financials2!E35</f>
        <v>0</v>
      </c>
      <c r="D76" s="877">
        <f>Financials2!D35</f>
        <v>0</v>
      </c>
      <c r="E76" s="877">
        <f>Financials2!C35</f>
        <v>0</v>
      </c>
      <c r="F76" s="877">
        <f>Financials2!B35</f>
        <v>0</v>
      </c>
    </row>
    <row r="77" spans="1:6" x14ac:dyDescent="0.2">
      <c r="A77" s="876" t="s">
        <v>2852</v>
      </c>
      <c r="B77" s="876" t="s">
        <v>2853</v>
      </c>
      <c r="C77" s="879"/>
      <c r="D77" s="879"/>
      <c r="E77" s="879"/>
      <c r="F77" s="879"/>
    </row>
    <row r="78" spans="1:6" x14ac:dyDescent="0.2">
      <c r="A78" s="876" t="s">
        <v>2854</v>
      </c>
      <c r="B78" s="876" t="s">
        <v>2855</v>
      </c>
      <c r="C78" s="878">
        <f>(C76+C77)</f>
        <v>0</v>
      </c>
      <c r="D78" s="878">
        <f>(D76+D77)</f>
        <v>0</v>
      </c>
      <c r="E78" s="878">
        <f>(E76+E77)</f>
        <v>0</v>
      </c>
      <c r="F78" s="878">
        <f>(F76+F77)</f>
        <v>0</v>
      </c>
    </row>
    <row r="79" spans="1:6" x14ac:dyDescent="0.2">
      <c r="A79" s="874" t="s">
        <v>2856</v>
      </c>
      <c r="B79" s="874" t="s">
        <v>2857</v>
      </c>
      <c r="C79" s="878">
        <f>(C73-C74-C78)</f>
        <v>0</v>
      </c>
      <c r="D79" s="878">
        <f>(D73-D74-D78)</f>
        <v>0</v>
      </c>
      <c r="E79" s="878">
        <f>(E73-E74-E78)</f>
        <v>0</v>
      </c>
      <c r="F79" s="878">
        <f>(F73-F74-F78)</f>
        <v>0</v>
      </c>
    </row>
    <row r="80" spans="1:6" x14ac:dyDescent="0.2">
      <c r="A80" s="874" t="s">
        <v>2858</v>
      </c>
      <c r="B80" s="874" t="s">
        <v>2859</v>
      </c>
      <c r="C80" s="875" t="s">
        <v>2038</v>
      </c>
      <c r="D80" s="875" t="s">
        <v>2038</v>
      </c>
      <c r="E80" s="875" t="s">
        <v>2038</v>
      </c>
      <c r="F80" s="875" t="s">
        <v>2038</v>
      </c>
    </row>
    <row r="81" spans="1:6" x14ac:dyDescent="0.2">
      <c r="A81" s="876" t="s">
        <v>2860</v>
      </c>
      <c r="B81" s="876" t="s">
        <v>2861</v>
      </c>
      <c r="C81" s="879"/>
      <c r="D81" s="879"/>
      <c r="E81" s="879"/>
      <c r="F81" s="879"/>
    </row>
    <row r="82" spans="1:6" x14ac:dyDescent="0.2">
      <c r="A82" s="876" t="s">
        <v>2862</v>
      </c>
      <c r="B82" s="876" t="s">
        <v>2863</v>
      </c>
      <c r="C82" s="879"/>
      <c r="D82" s="879"/>
      <c r="E82" s="879"/>
      <c r="F82" s="879"/>
    </row>
    <row r="83" spans="1:6" x14ac:dyDescent="0.2">
      <c r="A83" s="876" t="s">
        <v>2864</v>
      </c>
      <c r="B83" s="876" t="s">
        <v>2865</v>
      </c>
      <c r="C83" s="878">
        <f>(C81-C82)</f>
        <v>0</v>
      </c>
      <c r="D83" s="878">
        <f>(D81-D82)</f>
        <v>0</v>
      </c>
      <c r="E83" s="878">
        <f>(E81-E82)</f>
        <v>0</v>
      </c>
      <c r="F83" s="878">
        <f>(F81-F82)</f>
        <v>0</v>
      </c>
    </row>
    <row r="84" spans="1:6" x14ac:dyDescent="0.2">
      <c r="A84" s="874" t="s">
        <v>2710</v>
      </c>
      <c r="B84" s="874" t="s">
        <v>2866</v>
      </c>
      <c r="C84" s="878">
        <f>(C79-C83)</f>
        <v>0</v>
      </c>
      <c r="D84" s="878">
        <f>(D79-D83)</f>
        <v>0</v>
      </c>
      <c r="E84" s="878">
        <f>(E79-E83)</f>
        <v>0</v>
      </c>
      <c r="F84" s="878">
        <f>(F79-F83)</f>
        <v>0</v>
      </c>
    </row>
    <row r="85" spans="1:6" x14ac:dyDescent="0.2">
      <c r="A85" s="874" t="s">
        <v>2867</v>
      </c>
      <c r="B85" s="874" t="s">
        <v>2868</v>
      </c>
      <c r="C85" s="875" t="s">
        <v>2038</v>
      </c>
      <c r="D85" s="875" t="s">
        <v>2038</v>
      </c>
      <c r="E85" s="875" t="s">
        <v>2038</v>
      </c>
      <c r="F85" s="875" t="s">
        <v>2038</v>
      </c>
    </row>
    <row r="86" spans="1:6" x14ac:dyDescent="0.2">
      <c r="A86" s="876" t="s">
        <v>2869</v>
      </c>
      <c r="B86" s="876" t="s">
        <v>2870</v>
      </c>
      <c r="C86" s="879"/>
      <c r="D86" s="879"/>
      <c r="E86" s="879"/>
      <c r="F86" s="879"/>
    </row>
    <row r="87" spans="1:6" x14ac:dyDescent="0.2">
      <c r="A87" s="876" t="s">
        <v>2871</v>
      </c>
      <c r="B87" s="876" t="s">
        <v>2872</v>
      </c>
      <c r="C87" s="879"/>
      <c r="D87" s="879"/>
      <c r="E87" s="879"/>
      <c r="F87" s="879"/>
    </row>
    <row r="88" spans="1:6" x14ac:dyDescent="0.2">
      <c r="A88" s="874" t="s">
        <v>2873</v>
      </c>
      <c r="B88" s="874" t="s">
        <v>2874</v>
      </c>
      <c r="C88" s="879"/>
      <c r="D88" s="879"/>
      <c r="E88" s="879"/>
      <c r="F88" s="879"/>
    </row>
    <row r="89" spans="1:6" x14ac:dyDescent="0.2">
      <c r="A89" s="874" t="s">
        <v>2875</v>
      </c>
      <c r="B89" s="874" t="s">
        <v>2876</v>
      </c>
      <c r="C89" s="877">
        <f>Financials2!E22</f>
        <v>0</v>
      </c>
      <c r="D89" s="877">
        <f>Financials2!D22</f>
        <v>0</v>
      </c>
      <c r="E89" s="877">
        <f>Financials2!C22</f>
        <v>0</v>
      </c>
      <c r="F89" s="877">
        <f>Financials2!B22</f>
        <v>0</v>
      </c>
    </row>
    <row r="90" spans="1:6" x14ac:dyDescent="0.2">
      <c r="A90" s="874" t="s">
        <v>2877</v>
      </c>
      <c r="B90" s="874" t="s">
        <v>2878</v>
      </c>
      <c r="C90" s="877">
        <f>Financials2!E23</f>
        <v>0</v>
      </c>
      <c r="D90" s="877">
        <f>Financials2!D23</f>
        <v>0</v>
      </c>
      <c r="E90" s="877">
        <f>Financials2!C23</f>
        <v>0</v>
      </c>
      <c r="F90" s="877">
        <f>Financials2!B23</f>
        <v>0</v>
      </c>
    </row>
    <row r="91" spans="1:6" x14ac:dyDescent="0.2">
      <c r="A91" s="874" t="s">
        <v>2879</v>
      </c>
      <c r="B91" s="874" t="s">
        <v>2880</v>
      </c>
      <c r="C91" s="878">
        <f>(C84-C86-C88-C89-C90)</f>
        <v>0</v>
      </c>
      <c r="D91" s="878">
        <f>(D84-D86-D88-D89-D90)</f>
        <v>0</v>
      </c>
      <c r="E91" s="878">
        <f>(E84-E86-E88-E89-E90)</f>
        <v>0</v>
      </c>
      <c r="F91" s="878">
        <f>(F84-F86-F88-F89-F90)</f>
        <v>0</v>
      </c>
    </row>
    <row r="92" spans="1:6" x14ac:dyDescent="0.2">
      <c r="C92" s="868">
        <f>Financials2!E36</f>
        <v>0</v>
      </c>
      <c r="D92" s="868">
        <f>Financials2!D36</f>
        <v>0</v>
      </c>
      <c r="E92" s="885">
        <f>Financials2!C35</f>
        <v>0</v>
      </c>
      <c r="F92" s="868">
        <f>Financials2!B36</f>
        <v>0</v>
      </c>
    </row>
  </sheetData>
  <pageMargins left="0.7" right="0.7" top="0.75" bottom="0.75" header="0.3" footer="0.3"/>
  <pageSetup paperSize="9" orientation="portrait" r:id="rId1"/>
  <headerFooter>
    <oddFooter>&amp;C&amp;1#&amp;"Calibri"&amp;10&amp;K000000 For internal use only</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F131"/>
  <sheetViews>
    <sheetView workbookViewId="0">
      <selection activeCell="D12" sqref="A1:XFD1048576"/>
    </sheetView>
  </sheetViews>
  <sheetFormatPr defaultRowHeight="12.75" x14ac:dyDescent="0.2"/>
  <cols>
    <col min="1" max="1" width="10.85546875" style="868" bestFit="1" customWidth="1"/>
    <col min="2" max="2" width="59.5703125" style="868" bestFit="1"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Financials2!E7</f>
        <v>43190</v>
      </c>
      <c r="D1" s="872">
        <f>Financials2!D7</f>
        <v>43555</v>
      </c>
      <c r="E1" s="872">
        <f>Financials2!C7</f>
        <v>43921</v>
      </c>
      <c r="F1" s="872">
        <f>Financials2!B7</f>
        <v>44286</v>
      </c>
    </row>
    <row r="2" spans="1:6" x14ac:dyDescent="0.2">
      <c r="A2" s="871" t="s">
        <v>2038</v>
      </c>
      <c r="B2" s="871" t="s">
        <v>2708</v>
      </c>
      <c r="C2" s="873">
        <f>Financials2!E8</f>
        <v>0</v>
      </c>
      <c r="D2" s="873">
        <f>Financials2!D8</f>
        <v>0</v>
      </c>
      <c r="E2" s="873">
        <f>Financials2!C8</f>
        <v>0</v>
      </c>
      <c r="F2" s="873">
        <f>Financials2!B8</f>
        <v>0</v>
      </c>
    </row>
    <row r="3" spans="1:6" x14ac:dyDescent="0.2">
      <c r="A3" s="871" t="s">
        <v>2038</v>
      </c>
      <c r="B3" s="871" t="s">
        <v>2709</v>
      </c>
      <c r="C3" s="873">
        <v>12</v>
      </c>
      <c r="D3" s="873">
        <v>12</v>
      </c>
      <c r="E3" s="873">
        <v>12</v>
      </c>
      <c r="F3" s="873">
        <v>12</v>
      </c>
    </row>
    <row r="4" spans="1:6" x14ac:dyDescent="0.2">
      <c r="A4" s="874" t="s">
        <v>686</v>
      </c>
      <c r="B4" s="874" t="s">
        <v>2888</v>
      </c>
      <c r="C4" s="875" t="s">
        <v>2038</v>
      </c>
      <c r="D4" s="875" t="s">
        <v>2038</v>
      </c>
      <c r="E4" s="875" t="s">
        <v>2038</v>
      </c>
      <c r="F4" s="875" t="s">
        <v>2038</v>
      </c>
    </row>
    <row r="5" spans="1:6" x14ac:dyDescent="0.2">
      <c r="A5" s="876" t="s">
        <v>2712</v>
      </c>
      <c r="B5" s="876" t="s">
        <v>2889</v>
      </c>
      <c r="C5" s="875" t="s">
        <v>2038</v>
      </c>
      <c r="D5" s="875" t="s">
        <v>2038</v>
      </c>
      <c r="E5" s="875" t="s">
        <v>2038</v>
      </c>
      <c r="F5" s="875" t="s">
        <v>2038</v>
      </c>
    </row>
    <row r="6" spans="1:6" ht="22.5" x14ac:dyDescent="0.2">
      <c r="A6" s="880" t="s">
        <v>2890</v>
      </c>
      <c r="B6" s="880" t="s">
        <v>2891</v>
      </c>
      <c r="C6" s="875" t="s">
        <v>2038</v>
      </c>
      <c r="D6" s="875" t="s">
        <v>2038</v>
      </c>
      <c r="E6" s="875" t="s">
        <v>2038</v>
      </c>
      <c r="F6" s="875" t="s">
        <v>2038</v>
      </c>
    </row>
    <row r="7" spans="1:6" x14ac:dyDescent="0.2">
      <c r="A7" s="883" t="s">
        <v>2892</v>
      </c>
      <c r="B7" s="883" t="s">
        <v>2893</v>
      </c>
      <c r="C7" s="884">
        <f>Financials2!E66</f>
        <v>0</v>
      </c>
      <c r="D7" s="884">
        <f>Financials2!D66</f>
        <v>0</v>
      </c>
      <c r="E7" s="884">
        <f>Financials2!C66</f>
        <v>0</v>
      </c>
      <c r="F7" s="884">
        <f>Financials2!B66</f>
        <v>0</v>
      </c>
    </row>
    <row r="8" spans="1:6" x14ac:dyDescent="0.2">
      <c r="A8" s="883" t="s">
        <v>2894</v>
      </c>
      <c r="B8" s="883" t="s">
        <v>2895</v>
      </c>
      <c r="C8" s="879"/>
      <c r="D8" s="879"/>
      <c r="E8" s="879"/>
      <c r="F8" s="879"/>
    </row>
    <row r="9" spans="1:6" x14ac:dyDescent="0.2">
      <c r="A9" s="883" t="s">
        <v>2896</v>
      </c>
      <c r="B9" s="883" t="s">
        <v>2897</v>
      </c>
      <c r="C9" s="879"/>
      <c r="D9" s="879"/>
      <c r="E9" s="879"/>
      <c r="F9" s="879"/>
    </row>
    <row r="10" spans="1:6" x14ac:dyDescent="0.2">
      <c r="A10" s="883" t="s">
        <v>2898</v>
      </c>
      <c r="B10" s="883" t="s">
        <v>2759</v>
      </c>
      <c r="C10" s="878">
        <f>(C7+C8+C9)</f>
        <v>0</v>
      </c>
      <c r="D10" s="878">
        <f>(D7+D8+D9)</f>
        <v>0</v>
      </c>
      <c r="E10" s="878">
        <f>(E7+E8+E9)</f>
        <v>0</v>
      </c>
      <c r="F10" s="878">
        <f>(F7+F8+F9)</f>
        <v>0</v>
      </c>
    </row>
    <row r="11" spans="1:6" x14ac:dyDescent="0.2">
      <c r="A11" s="880" t="s">
        <v>2899</v>
      </c>
      <c r="B11" s="880" t="s">
        <v>2900</v>
      </c>
      <c r="C11" s="884">
        <f>Financials2!E65</f>
        <v>0</v>
      </c>
      <c r="D11" s="884">
        <f>Financials2!D65</f>
        <v>0</v>
      </c>
      <c r="E11" s="884">
        <f>Financials2!C65</f>
        <v>0</v>
      </c>
      <c r="F11" s="884">
        <f>Financials2!B65</f>
        <v>0</v>
      </c>
    </row>
    <row r="12" spans="1:6" x14ac:dyDescent="0.2">
      <c r="A12" s="880" t="s">
        <v>2901</v>
      </c>
      <c r="B12" s="880" t="s">
        <v>2902</v>
      </c>
      <c r="C12" s="879"/>
      <c r="D12" s="879"/>
      <c r="E12" s="879"/>
      <c r="F12" s="879"/>
    </row>
    <row r="13" spans="1:6" x14ac:dyDescent="0.2">
      <c r="A13" s="880" t="s">
        <v>2903</v>
      </c>
      <c r="B13" s="880" t="s">
        <v>2904</v>
      </c>
      <c r="C13" s="879"/>
      <c r="D13" s="879"/>
      <c r="E13" s="879"/>
      <c r="F13" s="879"/>
    </row>
    <row r="14" spans="1:6" x14ac:dyDescent="0.2">
      <c r="A14" s="880" t="s">
        <v>2905</v>
      </c>
      <c r="B14" s="880" t="s">
        <v>2906</v>
      </c>
      <c r="C14" s="879"/>
      <c r="D14" s="879"/>
      <c r="E14" s="879"/>
      <c r="F14" s="879"/>
    </row>
    <row r="15" spans="1:6" x14ac:dyDescent="0.2">
      <c r="A15" s="880" t="s">
        <v>2907</v>
      </c>
      <c r="B15" s="880" t="s">
        <v>2908</v>
      </c>
      <c r="C15" s="879"/>
      <c r="D15" s="879"/>
      <c r="E15" s="879"/>
      <c r="F15" s="879"/>
    </row>
    <row r="16" spans="1:6" x14ac:dyDescent="0.2">
      <c r="A16" s="880" t="s">
        <v>2909</v>
      </c>
      <c r="B16" s="880" t="s">
        <v>2910</v>
      </c>
      <c r="C16" s="879"/>
      <c r="D16" s="879"/>
      <c r="E16" s="879"/>
      <c r="F16" s="879"/>
    </row>
    <row r="17" spans="1:6" x14ac:dyDescent="0.2">
      <c r="A17" s="880" t="s">
        <v>2911</v>
      </c>
      <c r="B17" s="880" t="s">
        <v>2912</v>
      </c>
      <c r="C17" s="879"/>
      <c r="D17" s="879"/>
      <c r="E17" s="879"/>
      <c r="F17" s="879"/>
    </row>
    <row r="18" spans="1:6" x14ac:dyDescent="0.2">
      <c r="A18" s="880" t="s">
        <v>2913</v>
      </c>
      <c r="B18" s="880" t="s">
        <v>2914</v>
      </c>
      <c r="C18" s="879"/>
      <c r="D18" s="879"/>
      <c r="E18" s="879"/>
      <c r="F18" s="879"/>
    </row>
    <row r="19" spans="1:6" ht="22.5" x14ac:dyDescent="0.2">
      <c r="A19" s="880" t="s">
        <v>2915</v>
      </c>
      <c r="B19" s="880" t="s">
        <v>2916</v>
      </c>
      <c r="C19" s="879"/>
      <c r="D19" s="879"/>
      <c r="E19" s="879"/>
      <c r="F19" s="879"/>
    </row>
    <row r="20" spans="1:6" x14ac:dyDescent="0.2">
      <c r="A20" s="880" t="s">
        <v>2917</v>
      </c>
      <c r="B20" s="880" t="s">
        <v>2918</v>
      </c>
      <c r="C20" s="879"/>
      <c r="D20" s="879"/>
      <c r="E20" s="879"/>
      <c r="F20" s="879"/>
    </row>
    <row r="21" spans="1:6" x14ac:dyDescent="0.2">
      <c r="A21" s="880" t="s">
        <v>2919</v>
      </c>
      <c r="B21" s="880" t="s">
        <v>2920</v>
      </c>
      <c r="C21" s="879"/>
      <c r="D21" s="879"/>
      <c r="E21" s="879"/>
      <c r="F21" s="879"/>
    </row>
    <row r="22" spans="1:6" x14ac:dyDescent="0.2">
      <c r="A22" s="880" t="s">
        <v>2921</v>
      </c>
      <c r="B22" s="880" t="s">
        <v>2922</v>
      </c>
      <c r="C22" s="878">
        <f>(C19+C20+C21)</f>
        <v>0</v>
      </c>
      <c r="D22" s="878">
        <f>(D19+D20+D21)</f>
        <v>0</v>
      </c>
      <c r="E22" s="878">
        <f>(E19+E20+E21)</f>
        <v>0</v>
      </c>
      <c r="F22" s="878">
        <f>(F19+F20+F21)</f>
        <v>0</v>
      </c>
    </row>
    <row r="23" spans="1:6" x14ac:dyDescent="0.2">
      <c r="A23" s="880" t="s">
        <v>2923</v>
      </c>
      <c r="B23" s="880" t="s">
        <v>2924</v>
      </c>
      <c r="C23" s="884">
        <f>+Financials2!E67</f>
        <v>0</v>
      </c>
      <c r="D23" s="884">
        <f>+Financials2!D67</f>
        <v>0</v>
      </c>
      <c r="E23" s="884">
        <f>+Financials2!C67</f>
        <v>0</v>
      </c>
      <c r="F23" s="884">
        <f>+Financials2!B67</f>
        <v>0</v>
      </c>
    </row>
    <row r="24" spans="1:6" x14ac:dyDescent="0.2">
      <c r="A24" s="880" t="s">
        <v>2925</v>
      </c>
      <c r="B24" s="880" t="s">
        <v>2926</v>
      </c>
      <c r="C24" s="879"/>
      <c r="D24" s="879"/>
      <c r="E24" s="879"/>
      <c r="F24" s="879"/>
    </row>
    <row r="25" spans="1:6" x14ac:dyDescent="0.2">
      <c r="A25" s="880" t="s">
        <v>2927</v>
      </c>
      <c r="B25" s="880" t="s">
        <v>2928</v>
      </c>
      <c r="C25" s="879"/>
      <c r="D25" s="879"/>
      <c r="E25" s="879"/>
      <c r="F25" s="879"/>
    </row>
    <row r="26" spans="1:6" x14ac:dyDescent="0.2">
      <c r="A26" s="880" t="s">
        <v>2929</v>
      </c>
      <c r="B26" s="880" t="s">
        <v>2930</v>
      </c>
      <c r="C26" s="879"/>
      <c r="D26" s="879"/>
      <c r="E26" s="879"/>
      <c r="F26" s="879"/>
    </row>
    <row r="27" spans="1:6" x14ac:dyDescent="0.2">
      <c r="A27" s="880" t="s">
        <v>2931</v>
      </c>
      <c r="B27" s="880" t="s">
        <v>2932</v>
      </c>
      <c r="C27" s="879"/>
      <c r="D27" s="879"/>
      <c r="E27" s="879"/>
      <c r="F27" s="879"/>
    </row>
    <row r="28" spans="1:6" x14ac:dyDescent="0.2">
      <c r="A28" s="880" t="s">
        <v>2933</v>
      </c>
      <c r="B28" s="880" t="s">
        <v>2934</v>
      </c>
      <c r="C28" s="879"/>
      <c r="D28" s="879"/>
      <c r="E28" s="879"/>
      <c r="F28" s="879"/>
    </row>
    <row r="29" spans="1:6" x14ac:dyDescent="0.2">
      <c r="A29" s="880" t="s">
        <v>2935</v>
      </c>
      <c r="B29" s="880" t="s">
        <v>2759</v>
      </c>
      <c r="C29" s="878">
        <f>(C11+C12+C13+C14+C15+C16+C17+C18+C22+C23+C24+C25+C26+C27+C28)</f>
        <v>0</v>
      </c>
      <c r="D29" s="878">
        <f>(D11+D12+D13+D14+D15+D16+D17+D18+D22+D23+D24+D25+D26+D27+D28)</f>
        <v>0</v>
      </c>
      <c r="E29" s="878">
        <f>(E11+E12+E13+E14+E15+E16+E17+E18+E22+E23+E24+E25+E26+E27+E28)</f>
        <v>0</v>
      </c>
      <c r="F29" s="878">
        <f>(F11+F12+F13+F14+F15+F16+F17+F18+F22+F23+F24+F25+F26+F27+F28)</f>
        <v>0</v>
      </c>
    </row>
    <row r="30" spans="1:6" x14ac:dyDescent="0.2">
      <c r="A30" s="880" t="s">
        <v>2936</v>
      </c>
      <c r="B30" s="880" t="s">
        <v>2937</v>
      </c>
      <c r="C30" s="878">
        <f>(C10+C29)</f>
        <v>0</v>
      </c>
      <c r="D30" s="878">
        <f>(D10+D29)</f>
        <v>0</v>
      </c>
      <c r="E30" s="878">
        <f>(E10+E29)</f>
        <v>0</v>
      </c>
      <c r="F30" s="878">
        <f>(F10+F29)</f>
        <v>0</v>
      </c>
    </row>
    <row r="31" spans="1:6" x14ac:dyDescent="0.2">
      <c r="A31" s="876" t="s">
        <v>2714</v>
      </c>
      <c r="B31" s="876" t="s">
        <v>2938</v>
      </c>
      <c r="C31" s="875" t="s">
        <v>2038</v>
      </c>
      <c r="D31" s="875" t="s">
        <v>2038</v>
      </c>
      <c r="E31" s="875" t="s">
        <v>2038</v>
      </c>
      <c r="F31" s="875" t="s">
        <v>2038</v>
      </c>
    </row>
    <row r="32" spans="1:6" x14ac:dyDescent="0.2">
      <c r="A32" s="880" t="s">
        <v>2939</v>
      </c>
      <c r="B32" s="880" t="s">
        <v>2940</v>
      </c>
      <c r="C32" s="879"/>
      <c r="D32" s="879"/>
      <c r="E32" s="879"/>
      <c r="F32" s="879"/>
    </row>
    <row r="33" spans="1:6" x14ac:dyDescent="0.2">
      <c r="A33" s="880" t="s">
        <v>2941</v>
      </c>
      <c r="B33" s="880" t="s">
        <v>2942</v>
      </c>
      <c r="C33" s="879"/>
      <c r="D33" s="879"/>
      <c r="E33" s="879"/>
      <c r="F33" s="879"/>
    </row>
    <row r="34" spans="1:6" x14ac:dyDescent="0.2">
      <c r="A34" s="880" t="s">
        <v>2943</v>
      </c>
      <c r="B34" s="880" t="s">
        <v>2944</v>
      </c>
      <c r="C34" s="877">
        <f>+Financials2!E60</f>
        <v>0</v>
      </c>
      <c r="D34" s="877">
        <f>+Financials2!D60</f>
        <v>0</v>
      </c>
      <c r="E34" s="877">
        <f>+Financials2!C60</f>
        <v>0</v>
      </c>
      <c r="F34" s="877">
        <f>+Financials2!B60</f>
        <v>0</v>
      </c>
    </row>
    <row r="35" spans="1:6" x14ac:dyDescent="0.2">
      <c r="A35" s="880" t="s">
        <v>2945</v>
      </c>
      <c r="B35" s="880" t="s">
        <v>2946</v>
      </c>
      <c r="C35" s="884"/>
      <c r="D35" s="884"/>
      <c r="E35" s="884"/>
      <c r="F35" s="884"/>
    </row>
    <row r="36" spans="1:6" x14ac:dyDescent="0.2">
      <c r="A36" s="880" t="s">
        <v>2947</v>
      </c>
      <c r="B36" s="880" t="s">
        <v>2948</v>
      </c>
      <c r="C36" s="879"/>
      <c r="D36" s="879"/>
      <c r="E36" s="879"/>
      <c r="F36" s="879"/>
    </row>
    <row r="37" spans="1:6" x14ac:dyDescent="0.2">
      <c r="A37" s="880" t="s">
        <v>2949</v>
      </c>
      <c r="B37" s="880" t="s">
        <v>2950</v>
      </c>
      <c r="C37" s="879"/>
      <c r="D37" s="879"/>
      <c r="E37" s="879"/>
      <c r="F37" s="879"/>
    </row>
    <row r="38" spans="1:6" x14ac:dyDescent="0.2">
      <c r="A38" s="880" t="s">
        <v>2951</v>
      </c>
      <c r="B38" s="880" t="s">
        <v>2952</v>
      </c>
      <c r="C38" s="884">
        <f>+Financials2!E61</f>
        <v>0</v>
      </c>
      <c r="D38" s="884">
        <f>+Financials2!D61</f>
        <v>0</v>
      </c>
      <c r="E38" s="884">
        <f>+Financials2!C61</f>
        <v>0</v>
      </c>
      <c r="F38" s="884">
        <f>+Financials2!B61</f>
        <v>0</v>
      </c>
    </row>
    <row r="39" spans="1:6" x14ac:dyDescent="0.2">
      <c r="A39" s="880" t="s">
        <v>2953</v>
      </c>
      <c r="B39" s="880" t="s">
        <v>2954</v>
      </c>
      <c r="C39" s="884">
        <f>+Financials2!E57</f>
        <v>0</v>
      </c>
      <c r="D39" s="884">
        <f>+Financials2!D57</f>
        <v>0</v>
      </c>
      <c r="E39" s="884">
        <f>+Financials2!C57</f>
        <v>0</v>
      </c>
      <c r="F39" s="884">
        <f>+Financials2!B57</f>
        <v>0</v>
      </c>
    </row>
    <row r="40" spans="1:6" ht="22.5" x14ac:dyDescent="0.2">
      <c r="A40" s="880" t="s">
        <v>2955</v>
      </c>
      <c r="B40" s="880" t="s">
        <v>2956</v>
      </c>
      <c r="C40" s="879"/>
      <c r="D40" s="879"/>
      <c r="E40" s="879"/>
      <c r="F40" s="879"/>
    </row>
    <row r="41" spans="1:6" x14ac:dyDescent="0.2">
      <c r="A41" s="880" t="s">
        <v>2957</v>
      </c>
      <c r="B41" s="880" t="s">
        <v>2958</v>
      </c>
      <c r="C41" s="884">
        <f>+Financials2!E62</f>
        <v>0</v>
      </c>
      <c r="D41" s="884">
        <f>+Financials2!D62</f>
        <v>0</v>
      </c>
      <c r="E41" s="884">
        <f>+Financials2!C62</f>
        <v>0</v>
      </c>
      <c r="F41" s="884">
        <f>+Financials2!B62</f>
        <v>0</v>
      </c>
    </row>
    <row r="42" spans="1:6" x14ac:dyDescent="0.2">
      <c r="A42" s="880" t="s">
        <v>2959</v>
      </c>
      <c r="B42" s="880" t="s">
        <v>2960</v>
      </c>
      <c r="C42" s="877">
        <f>Financials2!E69</f>
        <v>0</v>
      </c>
      <c r="D42" s="877">
        <f>Financials2!D69</f>
        <v>0</v>
      </c>
      <c r="E42" s="877">
        <f>Financials2!C69</f>
        <v>0</v>
      </c>
      <c r="F42" s="877">
        <f>Financials2!B69</f>
        <v>0</v>
      </c>
    </row>
    <row r="43" spans="1:6" x14ac:dyDescent="0.2">
      <c r="A43" s="880" t="s">
        <v>2961</v>
      </c>
      <c r="B43" s="880" t="s">
        <v>2962</v>
      </c>
      <c r="C43" s="878">
        <f>(C32+C33+C34+C35+C36+C37+C38+C39+C40+C41+C42)</f>
        <v>0</v>
      </c>
      <c r="D43" s="878">
        <f>(D32+D33+D34+D35+D36+D37+D38+D39+D40+D41+D42)</f>
        <v>0</v>
      </c>
      <c r="E43" s="878">
        <f>(E32+E33+E34+E35+E36+E37+E38+E39+E40+E41+E42)</f>
        <v>0</v>
      </c>
      <c r="F43" s="878">
        <f>(F32+F33+F34+F35+F36+F37+F38+F39+F40+F41+F42)</f>
        <v>0</v>
      </c>
    </row>
    <row r="44" spans="1:6" x14ac:dyDescent="0.2">
      <c r="A44" s="876" t="s">
        <v>2716</v>
      </c>
      <c r="B44" s="876" t="s">
        <v>2963</v>
      </c>
      <c r="C44" s="878">
        <f>(C30+C43)</f>
        <v>0</v>
      </c>
      <c r="D44" s="878">
        <f>(D30+D43)</f>
        <v>0</v>
      </c>
      <c r="E44" s="878">
        <f>(E30+E43)</f>
        <v>0</v>
      </c>
      <c r="F44" s="878">
        <f>(F30+F43)</f>
        <v>0</v>
      </c>
    </row>
    <row r="45" spans="1:6" x14ac:dyDescent="0.2">
      <c r="A45" s="876" t="s">
        <v>2718</v>
      </c>
      <c r="B45" s="876" t="s">
        <v>2964</v>
      </c>
      <c r="C45" s="875" t="s">
        <v>2038</v>
      </c>
      <c r="D45" s="875" t="s">
        <v>2038</v>
      </c>
      <c r="E45" s="875" t="s">
        <v>2038</v>
      </c>
      <c r="F45" s="875" t="s">
        <v>2038</v>
      </c>
    </row>
    <row r="46" spans="1:6" x14ac:dyDescent="0.2">
      <c r="A46" s="880" t="s">
        <v>2965</v>
      </c>
      <c r="B46" s="880" t="s">
        <v>2966</v>
      </c>
      <c r="C46" s="879"/>
      <c r="D46" s="879"/>
      <c r="E46" s="879"/>
      <c r="F46" s="879"/>
    </row>
    <row r="47" spans="1:6" x14ac:dyDescent="0.2">
      <c r="A47" s="880" t="s">
        <v>2967</v>
      </c>
      <c r="B47" s="880" t="s">
        <v>2968</v>
      </c>
      <c r="C47" s="884">
        <f>Financials2!E55</f>
        <v>0</v>
      </c>
      <c r="D47" s="884">
        <f>Financials2!D55</f>
        <v>0</v>
      </c>
      <c r="E47" s="884">
        <f>Financials2!C55</f>
        <v>0</v>
      </c>
      <c r="F47" s="884">
        <f>Financials2!B55</f>
        <v>0</v>
      </c>
    </row>
    <row r="48" spans="1:6" x14ac:dyDescent="0.2">
      <c r="A48" s="880" t="s">
        <v>2969</v>
      </c>
      <c r="B48" s="880" t="s">
        <v>2970</v>
      </c>
      <c r="C48" s="879"/>
      <c r="D48" s="879"/>
      <c r="E48" s="879"/>
      <c r="F48" s="879"/>
    </row>
    <row r="49" spans="1:6" x14ac:dyDescent="0.2">
      <c r="A49" s="880" t="s">
        <v>2971</v>
      </c>
      <c r="B49" s="880" t="s">
        <v>2972</v>
      </c>
      <c r="C49" s="878">
        <f>(C46+C47+C48)</f>
        <v>0</v>
      </c>
      <c r="D49" s="878">
        <f>(D46+D47+D48)</f>
        <v>0</v>
      </c>
      <c r="E49" s="878">
        <f>(E46+E47+E48)</f>
        <v>0</v>
      </c>
      <c r="F49" s="878">
        <f>(F46+F47+F48)</f>
        <v>0</v>
      </c>
    </row>
    <row r="50" spans="1:6" x14ac:dyDescent="0.2">
      <c r="A50" s="880" t="s">
        <v>2973</v>
      </c>
      <c r="B50" s="880" t="s">
        <v>2974</v>
      </c>
      <c r="C50" s="875" t="s">
        <v>2038</v>
      </c>
      <c r="D50" s="875" t="s">
        <v>2038</v>
      </c>
      <c r="E50" s="875" t="s">
        <v>2038</v>
      </c>
      <c r="F50" s="875" t="s">
        <v>2038</v>
      </c>
    </row>
    <row r="51" spans="1:6" x14ac:dyDescent="0.2">
      <c r="A51" s="883" t="s">
        <v>2975</v>
      </c>
      <c r="B51" s="883" t="s">
        <v>2976</v>
      </c>
      <c r="C51" s="879"/>
      <c r="D51" s="879"/>
      <c r="E51" s="879"/>
      <c r="F51" s="879"/>
    </row>
    <row r="52" spans="1:6" x14ac:dyDescent="0.2">
      <c r="A52" s="883" t="s">
        <v>2977</v>
      </c>
      <c r="B52" s="883" t="s">
        <v>2978</v>
      </c>
      <c r="C52" s="879"/>
      <c r="D52" s="879"/>
      <c r="E52" s="879"/>
      <c r="F52" s="879"/>
    </row>
    <row r="53" spans="1:6" x14ac:dyDescent="0.2">
      <c r="A53" s="883" t="s">
        <v>2979</v>
      </c>
      <c r="B53" s="883" t="s">
        <v>2980</v>
      </c>
      <c r="C53" s="879"/>
      <c r="D53" s="879"/>
      <c r="E53" s="879"/>
      <c r="F53" s="879"/>
    </row>
    <row r="54" spans="1:6" x14ac:dyDescent="0.2">
      <c r="A54" s="883" t="s">
        <v>2981</v>
      </c>
      <c r="B54" s="883" t="s">
        <v>2759</v>
      </c>
      <c r="C54" s="878">
        <f>(C51+C52+C53)</f>
        <v>0</v>
      </c>
      <c r="D54" s="878">
        <f>(D51+D52+D53)</f>
        <v>0</v>
      </c>
      <c r="E54" s="878">
        <f>(E51+E52+E53)</f>
        <v>0</v>
      </c>
      <c r="F54" s="878">
        <f>(F51+F52+F53)</f>
        <v>0</v>
      </c>
    </row>
    <row r="55" spans="1:6" x14ac:dyDescent="0.2">
      <c r="A55" s="880" t="s">
        <v>2982</v>
      </c>
      <c r="B55" s="880" t="s">
        <v>2983</v>
      </c>
      <c r="C55" s="879"/>
      <c r="D55" s="879"/>
      <c r="E55" s="879"/>
      <c r="F55" s="879"/>
    </row>
    <row r="56" spans="1:6" x14ac:dyDescent="0.2">
      <c r="A56" s="880" t="s">
        <v>2984</v>
      </c>
      <c r="B56" s="880" t="s">
        <v>2985</v>
      </c>
      <c r="C56" s="884">
        <f>Financials2!E56</f>
        <v>0</v>
      </c>
      <c r="D56" s="884">
        <f>Financials2!D56</f>
        <v>0</v>
      </c>
      <c r="E56" s="884">
        <f>Financials2!C56</f>
        <v>0</v>
      </c>
      <c r="F56" s="884">
        <f>Financials2!B56</f>
        <v>0</v>
      </c>
    </row>
    <row r="57" spans="1:6" x14ac:dyDescent="0.2">
      <c r="A57" s="880" t="s">
        <v>2986</v>
      </c>
      <c r="B57" s="880" t="s">
        <v>2987</v>
      </c>
      <c r="C57" s="879"/>
      <c r="D57" s="879"/>
      <c r="E57" s="879"/>
      <c r="F57" s="879"/>
    </row>
    <row r="58" spans="1:6" x14ac:dyDescent="0.2">
      <c r="A58" s="880" t="s">
        <v>2988</v>
      </c>
      <c r="B58" s="880" t="s">
        <v>2989</v>
      </c>
      <c r="C58" s="879"/>
      <c r="D58" s="879"/>
      <c r="E58" s="879"/>
      <c r="F58" s="879"/>
    </row>
    <row r="59" spans="1:6" x14ac:dyDescent="0.2">
      <c r="A59" s="880" t="s">
        <v>2990</v>
      </c>
      <c r="B59" s="880" t="s">
        <v>2991</v>
      </c>
      <c r="C59" s="879"/>
      <c r="D59" s="879"/>
      <c r="E59" s="879"/>
      <c r="F59" s="879"/>
    </row>
    <row r="60" spans="1:6" x14ac:dyDescent="0.2">
      <c r="A60" s="880" t="s">
        <v>2992</v>
      </c>
      <c r="B60" s="880" t="s">
        <v>2993</v>
      </c>
      <c r="C60" s="878">
        <f>(C49+C54+C55+C56+C57+C58+C59)-C53</f>
        <v>0</v>
      </c>
      <c r="D60" s="878">
        <f>(D49+D54+D55+D56+D57+D58+D59)-D53</f>
        <v>0</v>
      </c>
      <c r="E60" s="878">
        <f>(E49+E54+E55+E56+E57+E58+E59)-E53</f>
        <v>0</v>
      </c>
      <c r="F60" s="878">
        <f>(F49+F54+F55+F56+F57+F58+F59)-F53</f>
        <v>0</v>
      </c>
    </row>
    <row r="61" spans="1:6" x14ac:dyDescent="0.2">
      <c r="A61" s="876" t="s">
        <v>2720</v>
      </c>
      <c r="B61" s="876" t="s">
        <v>2994</v>
      </c>
      <c r="C61" s="878">
        <f>(C30+C43+C60)</f>
        <v>0</v>
      </c>
      <c r="D61" s="878">
        <f>(D30+D43+D60)</f>
        <v>0</v>
      </c>
      <c r="E61" s="878">
        <f>(E30+E43+E60)</f>
        <v>0</v>
      </c>
      <c r="F61" s="878">
        <f>(F30+F43+F60)</f>
        <v>0</v>
      </c>
    </row>
    <row r="62" spans="1:6" x14ac:dyDescent="0.2">
      <c r="A62" s="876" t="s">
        <v>2722</v>
      </c>
      <c r="B62" s="876" t="s">
        <v>2995</v>
      </c>
      <c r="C62" s="875" t="s">
        <v>2038</v>
      </c>
      <c r="D62" s="875" t="s">
        <v>2038</v>
      </c>
      <c r="E62" s="875" t="s">
        <v>2038</v>
      </c>
      <c r="F62" s="875" t="s">
        <v>2038</v>
      </c>
    </row>
    <row r="63" spans="1:6" x14ac:dyDescent="0.2">
      <c r="A63" s="880" t="s">
        <v>2996</v>
      </c>
      <c r="B63" s="880" t="s">
        <v>2997</v>
      </c>
      <c r="C63" s="879"/>
      <c r="D63" s="879"/>
      <c r="E63" s="879"/>
      <c r="F63" s="879"/>
    </row>
    <row r="64" spans="1:6" x14ac:dyDescent="0.2">
      <c r="A64" s="880" t="s">
        <v>2998</v>
      </c>
      <c r="B64" s="880" t="s">
        <v>2999</v>
      </c>
      <c r="C64" s="879"/>
      <c r="D64" s="879"/>
      <c r="E64" s="879"/>
      <c r="F64" s="879"/>
    </row>
    <row r="65" spans="1:6" x14ac:dyDescent="0.2">
      <c r="A65" s="880" t="s">
        <v>3000</v>
      </c>
      <c r="B65" s="880" t="s">
        <v>3001</v>
      </c>
      <c r="C65" s="879"/>
      <c r="D65" s="879"/>
      <c r="E65" s="879"/>
      <c r="F65" s="879"/>
    </row>
    <row r="66" spans="1:6" x14ac:dyDescent="0.2">
      <c r="A66" s="880" t="s">
        <v>3002</v>
      </c>
      <c r="B66" s="880" t="s">
        <v>3003</v>
      </c>
      <c r="C66" s="879"/>
      <c r="D66" s="879"/>
      <c r="E66" s="879"/>
      <c r="F66" s="879"/>
    </row>
    <row r="67" spans="1:6" x14ac:dyDescent="0.2">
      <c r="A67" s="880" t="s">
        <v>3004</v>
      </c>
      <c r="B67" s="880" t="s">
        <v>3005</v>
      </c>
      <c r="C67" s="879"/>
      <c r="D67" s="879"/>
      <c r="E67" s="879"/>
      <c r="F67" s="879"/>
    </row>
    <row r="68" spans="1:6" x14ac:dyDescent="0.2">
      <c r="A68" s="880" t="s">
        <v>3006</v>
      </c>
      <c r="B68" s="880" t="s">
        <v>3007</v>
      </c>
      <c r="C68" s="879"/>
      <c r="D68" s="879"/>
      <c r="E68" s="879"/>
      <c r="F68" s="879"/>
    </row>
    <row r="69" spans="1:6" ht="22.5" x14ac:dyDescent="0.2">
      <c r="A69" s="880" t="s">
        <v>3008</v>
      </c>
      <c r="B69" s="880" t="s">
        <v>3009</v>
      </c>
      <c r="C69" s="877">
        <f>Financials2!E71</f>
        <v>0</v>
      </c>
      <c r="D69" s="877">
        <f>Financials2!D71</f>
        <v>0</v>
      </c>
      <c r="E69" s="877">
        <f>Financials2!C71</f>
        <v>0</v>
      </c>
      <c r="F69" s="877">
        <f>Financials2!B71</f>
        <v>0</v>
      </c>
    </row>
    <row r="70" spans="1:6" x14ac:dyDescent="0.2">
      <c r="A70" s="874" t="s">
        <v>2732</v>
      </c>
      <c r="B70" s="874" t="s">
        <v>3010</v>
      </c>
      <c r="C70" s="875" t="s">
        <v>2038</v>
      </c>
      <c r="D70" s="875" t="s">
        <v>2038</v>
      </c>
      <c r="E70" s="875" t="s">
        <v>2038</v>
      </c>
      <c r="F70" s="875" t="s">
        <v>2038</v>
      </c>
    </row>
    <row r="71" spans="1:6" x14ac:dyDescent="0.2">
      <c r="A71" s="876" t="s">
        <v>2734</v>
      </c>
      <c r="B71" s="876" t="s">
        <v>3011</v>
      </c>
      <c r="C71" s="875" t="s">
        <v>2038</v>
      </c>
      <c r="D71" s="875" t="s">
        <v>2038</v>
      </c>
      <c r="E71" s="875" t="s">
        <v>2038</v>
      </c>
      <c r="F71" s="875" t="s">
        <v>2038</v>
      </c>
    </row>
    <row r="72" spans="1:6" x14ac:dyDescent="0.2">
      <c r="A72" s="880" t="s">
        <v>2736</v>
      </c>
      <c r="B72" s="880" t="s">
        <v>3012</v>
      </c>
      <c r="C72" s="884">
        <f>Financials2!E47</f>
        <v>0</v>
      </c>
      <c r="D72" s="884">
        <f>Financials2!D47</f>
        <v>0</v>
      </c>
      <c r="E72" s="884">
        <f>Financials2!C47</f>
        <v>0</v>
      </c>
      <c r="F72" s="884">
        <f>Financials2!B47</f>
        <v>0</v>
      </c>
    </row>
    <row r="73" spans="1:6" x14ac:dyDescent="0.2">
      <c r="A73" s="876" t="s">
        <v>2740</v>
      </c>
      <c r="B73" s="876" t="s">
        <v>3013</v>
      </c>
      <c r="C73" s="875" t="s">
        <v>2038</v>
      </c>
      <c r="D73" s="875" t="s">
        <v>2038</v>
      </c>
      <c r="E73" s="875" t="s">
        <v>2038</v>
      </c>
      <c r="F73" s="875" t="s">
        <v>2038</v>
      </c>
    </row>
    <row r="74" spans="1:6" x14ac:dyDescent="0.2">
      <c r="A74" s="880" t="s">
        <v>2742</v>
      </c>
      <c r="B74" s="880" t="s">
        <v>3014</v>
      </c>
      <c r="C74" s="879"/>
      <c r="D74" s="879"/>
      <c r="E74" s="879"/>
      <c r="F74" s="879"/>
    </row>
    <row r="75" spans="1:6" x14ac:dyDescent="0.2">
      <c r="A75" s="880" t="s">
        <v>2743</v>
      </c>
      <c r="B75" s="880" t="s">
        <v>3015</v>
      </c>
      <c r="C75" s="879"/>
      <c r="D75" s="879"/>
      <c r="E75" s="879"/>
      <c r="F75" s="879"/>
    </row>
    <row r="76" spans="1:6" x14ac:dyDescent="0.2">
      <c r="A76" s="880" t="s">
        <v>3016</v>
      </c>
      <c r="B76" s="880" t="s">
        <v>3017</v>
      </c>
      <c r="C76" s="879"/>
      <c r="D76" s="879"/>
      <c r="E76" s="879"/>
      <c r="F76" s="879"/>
    </row>
    <row r="77" spans="1:6" x14ac:dyDescent="0.2">
      <c r="A77" s="876" t="s">
        <v>2744</v>
      </c>
      <c r="B77" s="876" t="s">
        <v>3018</v>
      </c>
      <c r="C77" s="875" t="s">
        <v>2038</v>
      </c>
      <c r="D77" s="875" t="s">
        <v>2038</v>
      </c>
      <c r="E77" s="875" t="s">
        <v>2038</v>
      </c>
      <c r="F77" s="875" t="s">
        <v>2038</v>
      </c>
    </row>
    <row r="78" spans="1:6" ht="22.5" x14ac:dyDescent="0.2">
      <c r="A78" s="880" t="s">
        <v>3019</v>
      </c>
      <c r="B78" s="880" t="s">
        <v>3020</v>
      </c>
      <c r="C78" s="884">
        <f>Financials2!E46</f>
        <v>0</v>
      </c>
      <c r="D78" s="884">
        <f>Financials2!D46</f>
        <v>0</v>
      </c>
      <c r="E78" s="884">
        <f>Financials2!C46</f>
        <v>0</v>
      </c>
      <c r="F78" s="884">
        <f>Financials2!B46</f>
        <v>0</v>
      </c>
    </row>
    <row r="79" spans="1:6" x14ac:dyDescent="0.2">
      <c r="A79" s="880" t="s">
        <v>3021</v>
      </c>
      <c r="B79" s="880" t="s">
        <v>3022</v>
      </c>
      <c r="C79" s="879"/>
      <c r="D79" s="879"/>
      <c r="E79" s="879"/>
      <c r="F79" s="879"/>
    </row>
    <row r="80" spans="1:6" x14ac:dyDescent="0.2">
      <c r="A80" s="880" t="s">
        <v>3023</v>
      </c>
      <c r="B80" s="880" t="s">
        <v>3024</v>
      </c>
      <c r="C80" s="879"/>
      <c r="D80" s="879"/>
      <c r="E80" s="879"/>
      <c r="F80" s="879"/>
    </row>
    <row r="81" spans="1:6" x14ac:dyDescent="0.2">
      <c r="A81" s="876" t="s">
        <v>2746</v>
      </c>
      <c r="B81" s="876" t="s">
        <v>3025</v>
      </c>
      <c r="C81" s="875" t="s">
        <v>2038</v>
      </c>
      <c r="D81" s="875" t="s">
        <v>2038</v>
      </c>
      <c r="E81" s="875" t="s">
        <v>2038</v>
      </c>
      <c r="F81" s="875" t="s">
        <v>2038</v>
      </c>
    </row>
    <row r="82" spans="1:6" x14ac:dyDescent="0.2">
      <c r="A82" s="880" t="s">
        <v>3026</v>
      </c>
      <c r="B82" s="880" t="s">
        <v>3027</v>
      </c>
      <c r="C82" s="884">
        <f>Financials2!E44</f>
        <v>0</v>
      </c>
      <c r="D82" s="884">
        <f>Financials2!D44</f>
        <v>0</v>
      </c>
      <c r="E82" s="884">
        <f>Financials2!C44</f>
        <v>0</v>
      </c>
      <c r="F82" s="884">
        <f>Financials2!B44</f>
        <v>0</v>
      </c>
    </row>
    <row r="83" spans="1:6" x14ac:dyDescent="0.2">
      <c r="A83" s="880" t="s">
        <v>3028</v>
      </c>
      <c r="B83" s="880" t="s">
        <v>3029</v>
      </c>
      <c r="C83" s="879"/>
      <c r="D83" s="879"/>
      <c r="E83" s="879"/>
      <c r="F83" s="879"/>
    </row>
    <row r="84" spans="1:6" x14ac:dyDescent="0.2">
      <c r="A84" s="880" t="s">
        <v>3030</v>
      </c>
      <c r="B84" s="880" t="s">
        <v>3031</v>
      </c>
      <c r="C84" s="879"/>
      <c r="D84" s="879"/>
      <c r="E84" s="879"/>
      <c r="F84" s="879"/>
    </row>
    <row r="85" spans="1:6" x14ac:dyDescent="0.2">
      <c r="A85" s="880" t="s">
        <v>3032</v>
      </c>
      <c r="B85" s="880" t="s">
        <v>3033</v>
      </c>
      <c r="C85" s="879"/>
      <c r="D85" s="879"/>
      <c r="E85" s="879"/>
      <c r="F85" s="879"/>
    </row>
    <row r="86" spans="1:6" x14ac:dyDescent="0.2">
      <c r="A86" s="880" t="s">
        <v>3034</v>
      </c>
      <c r="B86" s="880" t="s">
        <v>3035</v>
      </c>
      <c r="C86" s="879"/>
      <c r="D86" s="879"/>
      <c r="E86" s="879"/>
      <c r="F86" s="879"/>
    </row>
    <row r="87" spans="1:6" x14ac:dyDescent="0.2">
      <c r="A87" s="880" t="s">
        <v>3036</v>
      </c>
      <c r="B87" s="880" t="s">
        <v>3037</v>
      </c>
      <c r="C87" s="879"/>
      <c r="D87" s="879"/>
      <c r="E87" s="879"/>
      <c r="F87" s="879"/>
    </row>
    <row r="88" spans="1:6" x14ac:dyDescent="0.2">
      <c r="A88" s="880" t="s">
        <v>3038</v>
      </c>
      <c r="B88" s="880" t="s">
        <v>3039</v>
      </c>
      <c r="C88" s="878">
        <f>(C86+C87)</f>
        <v>0</v>
      </c>
      <c r="D88" s="878">
        <f>(D86+D87)</f>
        <v>0</v>
      </c>
      <c r="E88" s="878">
        <f>(E86+E87)</f>
        <v>0</v>
      </c>
      <c r="F88" s="878">
        <f>(F86+F87)</f>
        <v>0</v>
      </c>
    </row>
    <row r="89" spans="1:6" x14ac:dyDescent="0.2">
      <c r="A89" s="880" t="s">
        <v>3040</v>
      </c>
      <c r="B89" s="880" t="s">
        <v>3041</v>
      </c>
      <c r="C89" s="879"/>
      <c r="D89" s="879"/>
      <c r="E89" s="879"/>
      <c r="F89" s="879"/>
    </row>
    <row r="90" spans="1:6" x14ac:dyDescent="0.2">
      <c r="A90" s="880" t="s">
        <v>3042</v>
      </c>
      <c r="B90" s="880" t="s">
        <v>3043</v>
      </c>
      <c r="C90" s="878">
        <f>(C82+C83+C84+C85+C88+C89)</f>
        <v>0</v>
      </c>
      <c r="D90" s="878">
        <f>(D82+D83+D84+D85+D88+D89)</f>
        <v>0</v>
      </c>
      <c r="E90" s="878">
        <f>(E82+E83+E84+E85+E88+E89)</f>
        <v>0</v>
      </c>
      <c r="F90" s="878">
        <f>(F82+F83+F84+F85+F88+F89)</f>
        <v>0</v>
      </c>
    </row>
    <row r="91" spans="1:6" x14ac:dyDescent="0.2">
      <c r="A91" s="880" t="s">
        <v>3044</v>
      </c>
      <c r="B91" s="880" t="s">
        <v>3045</v>
      </c>
      <c r="C91" s="879"/>
      <c r="D91" s="879"/>
      <c r="E91" s="879"/>
      <c r="F91" s="879"/>
    </row>
    <row r="92" spans="1:6" x14ac:dyDescent="0.2">
      <c r="A92" s="880" t="s">
        <v>3046</v>
      </c>
      <c r="B92" s="880" t="s">
        <v>3047</v>
      </c>
      <c r="C92" s="879"/>
      <c r="D92" s="879"/>
      <c r="E92" s="879"/>
      <c r="F92" s="879"/>
    </row>
    <row r="93" spans="1:6" x14ac:dyDescent="0.2">
      <c r="A93" s="876" t="s">
        <v>2748</v>
      </c>
      <c r="B93" s="876" t="s">
        <v>3048</v>
      </c>
      <c r="C93" s="875" t="s">
        <v>2038</v>
      </c>
      <c r="D93" s="875" t="s">
        <v>2038</v>
      </c>
      <c r="E93" s="875" t="s">
        <v>2038</v>
      </c>
      <c r="F93" s="875" t="s">
        <v>2038</v>
      </c>
    </row>
    <row r="94" spans="1:6" x14ac:dyDescent="0.2">
      <c r="A94" s="880" t="s">
        <v>3049</v>
      </c>
      <c r="B94" s="880" t="s">
        <v>3050</v>
      </c>
      <c r="C94" s="879"/>
      <c r="D94" s="879"/>
      <c r="E94" s="879"/>
      <c r="F94" s="879"/>
    </row>
    <row r="95" spans="1:6" x14ac:dyDescent="0.2">
      <c r="A95" s="880" t="s">
        <v>3051</v>
      </c>
      <c r="B95" s="880" t="s">
        <v>3052</v>
      </c>
      <c r="C95" s="879"/>
      <c r="D95" s="879"/>
      <c r="E95" s="879"/>
      <c r="F95" s="879"/>
    </row>
    <row r="96" spans="1:6" x14ac:dyDescent="0.2">
      <c r="A96" s="880" t="s">
        <v>3053</v>
      </c>
      <c r="B96" s="880" t="s">
        <v>3054</v>
      </c>
      <c r="C96" s="879"/>
      <c r="D96" s="879"/>
      <c r="E96" s="879"/>
      <c r="F96" s="879"/>
    </row>
    <row r="97" spans="1:6" x14ac:dyDescent="0.2">
      <c r="A97" s="880" t="s">
        <v>3055</v>
      </c>
      <c r="B97" s="880" t="s">
        <v>3056</v>
      </c>
      <c r="C97" s="879"/>
      <c r="D97" s="879"/>
      <c r="E97" s="879"/>
      <c r="F97" s="879"/>
    </row>
    <row r="98" spans="1:6" x14ac:dyDescent="0.2">
      <c r="A98" s="880" t="s">
        <v>3057</v>
      </c>
      <c r="B98" s="880" t="s">
        <v>3058</v>
      </c>
      <c r="C98" s="884">
        <f>Financials2!E48</f>
        <v>0</v>
      </c>
      <c r="D98" s="884">
        <f>Financials2!D48</f>
        <v>0</v>
      </c>
      <c r="E98" s="884">
        <f>Financials2!C48</f>
        <v>0</v>
      </c>
      <c r="F98" s="884">
        <f>Financials2!B48</f>
        <v>0</v>
      </c>
    </row>
    <row r="99" spans="1:6" x14ac:dyDescent="0.2">
      <c r="A99" s="876" t="s">
        <v>2750</v>
      </c>
      <c r="B99" s="876" t="s">
        <v>3059</v>
      </c>
      <c r="C99" s="878">
        <f>(C72+C74+C75+C76+C78+C79+C80+C82+C83+C84+C85+C88+C89+C91+C92+C94+C95+C96+C97+C98)</f>
        <v>0</v>
      </c>
      <c r="D99" s="878">
        <f>(D72+D74+D75+D76+D78+D79+D80+D82+D83+D84+D85+D88+D89+D91+D92+D94+D95+D96+D97+D98)</f>
        <v>0</v>
      </c>
      <c r="E99" s="878">
        <f>(E72+E74+E75+E76+E78+E79+E80+E82+E83+E84+E85+E88+E89+E91+E92+E94+E95+E96+E97+E98)</f>
        <v>0</v>
      </c>
      <c r="F99" s="878">
        <f>(F72+F74+F75+F76+F78+F79+F80+F82+F83+F84+F85+F88+F89+F91+F92+F94+F95+F96+F97+F98)</f>
        <v>0</v>
      </c>
    </row>
    <row r="100" spans="1:6" x14ac:dyDescent="0.2">
      <c r="A100" s="876" t="s">
        <v>2752</v>
      </c>
      <c r="B100" s="876" t="s">
        <v>3060</v>
      </c>
      <c r="C100" s="875" t="s">
        <v>2038</v>
      </c>
      <c r="D100" s="875" t="s">
        <v>2038</v>
      </c>
      <c r="E100" s="875" t="s">
        <v>2038</v>
      </c>
      <c r="F100" s="875" t="s">
        <v>2038</v>
      </c>
    </row>
    <row r="101" spans="1:6" x14ac:dyDescent="0.2">
      <c r="A101" s="880" t="s">
        <v>3061</v>
      </c>
      <c r="B101" s="880" t="s">
        <v>3062</v>
      </c>
      <c r="C101" s="879"/>
      <c r="D101" s="879"/>
      <c r="E101" s="879"/>
      <c r="F101" s="879"/>
    </row>
    <row r="102" spans="1:6" x14ac:dyDescent="0.2">
      <c r="A102" s="880" t="s">
        <v>3063</v>
      </c>
      <c r="B102" s="880" t="s">
        <v>3064</v>
      </c>
      <c r="C102" s="879"/>
      <c r="D102" s="879"/>
      <c r="E102" s="879"/>
      <c r="F102" s="879"/>
    </row>
    <row r="103" spans="1:6" x14ac:dyDescent="0.2">
      <c r="A103" s="880" t="s">
        <v>3065</v>
      </c>
      <c r="B103" s="880" t="s">
        <v>3066</v>
      </c>
      <c r="C103" s="879"/>
      <c r="D103" s="879"/>
      <c r="E103" s="879"/>
      <c r="F103" s="879"/>
    </row>
    <row r="104" spans="1:6" x14ac:dyDescent="0.2">
      <c r="A104" s="880" t="s">
        <v>3067</v>
      </c>
      <c r="B104" s="880" t="s">
        <v>3068</v>
      </c>
      <c r="C104" s="879"/>
      <c r="D104" s="879"/>
      <c r="E104" s="879"/>
      <c r="F104" s="879"/>
    </row>
    <row r="105" spans="1:6" x14ac:dyDescent="0.2">
      <c r="A105" s="880" t="s">
        <v>3069</v>
      </c>
      <c r="B105" s="880" t="s">
        <v>3070</v>
      </c>
      <c r="C105" s="879"/>
      <c r="D105" s="879"/>
      <c r="E105" s="879"/>
      <c r="F105" s="879"/>
    </row>
    <row r="106" spans="1:6" x14ac:dyDescent="0.2">
      <c r="A106" s="880" t="s">
        <v>3071</v>
      </c>
      <c r="B106" s="880" t="s">
        <v>3072</v>
      </c>
      <c r="C106" s="884">
        <f>Financials2!E41</f>
        <v>0</v>
      </c>
      <c r="D106" s="884">
        <f>Financials2!D41</f>
        <v>0</v>
      </c>
      <c r="E106" s="884">
        <f>Financials2!C41</f>
        <v>0</v>
      </c>
      <c r="F106" s="884">
        <f>Financials2!B41</f>
        <v>0</v>
      </c>
    </row>
    <row r="107" spans="1:6" x14ac:dyDescent="0.2">
      <c r="A107" s="880" t="s">
        <v>3073</v>
      </c>
      <c r="B107" s="880" t="s">
        <v>3074</v>
      </c>
      <c r="C107" s="879"/>
      <c r="D107" s="879"/>
      <c r="E107" s="879"/>
      <c r="F107" s="879"/>
    </row>
    <row r="108" spans="1:6" x14ac:dyDescent="0.2">
      <c r="A108" s="880" t="s">
        <v>3075</v>
      </c>
      <c r="B108" s="880" t="s">
        <v>3076</v>
      </c>
      <c r="C108" s="878">
        <f>(C101+C102+C103+C104+C105+C106+C107)</f>
        <v>0</v>
      </c>
      <c r="D108" s="878">
        <f>(D101+D102+D103+D104+D105+D106+D107)</f>
        <v>0</v>
      </c>
      <c r="E108" s="878">
        <f>(E101+E102+E103+E104+E105+E106+E107)</f>
        <v>0</v>
      </c>
      <c r="F108" s="878">
        <f>(F101+F102+F103+F104+F105+F106+F107)</f>
        <v>0</v>
      </c>
    </row>
    <row r="109" spans="1:6" x14ac:dyDescent="0.2">
      <c r="A109" s="880" t="s">
        <v>3077</v>
      </c>
      <c r="B109" s="880" t="s">
        <v>3078</v>
      </c>
      <c r="C109" s="879"/>
      <c r="D109" s="879"/>
      <c r="E109" s="879"/>
      <c r="F109" s="879"/>
    </row>
    <row r="110" spans="1:6" x14ac:dyDescent="0.2">
      <c r="A110" s="880" t="s">
        <v>3079</v>
      </c>
      <c r="B110" s="880" t="s">
        <v>3080</v>
      </c>
      <c r="C110" s="878">
        <f>(C108-C109-C53)</f>
        <v>0</v>
      </c>
      <c r="D110" s="878">
        <f>(D108-D109-D53)</f>
        <v>0</v>
      </c>
      <c r="E110" s="878">
        <f>(E108-E109-E53)</f>
        <v>0</v>
      </c>
      <c r="F110" s="878">
        <f>(F108-F109-F53)</f>
        <v>0</v>
      </c>
    </row>
    <row r="111" spans="1:6" x14ac:dyDescent="0.2">
      <c r="A111" s="876" t="s">
        <v>2754</v>
      </c>
      <c r="B111" s="876" t="s">
        <v>3081</v>
      </c>
      <c r="C111" s="875" t="s">
        <v>2038</v>
      </c>
      <c r="D111" s="875" t="s">
        <v>2038</v>
      </c>
      <c r="E111" s="875" t="s">
        <v>2038</v>
      </c>
      <c r="F111" s="875" t="s">
        <v>2038</v>
      </c>
    </row>
    <row r="112" spans="1:6" x14ac:dyDescent="0.2">
      <c r="A112" s="880" t="s">
        <v>3082</v>
      </c>
      <c r="B112" s="880" t="s">
        <v>3083</v>
      </c>
      <c r="C112" s="879"/>
      <c r="D112" s="879"/>
      <c r="E112" s="879"/>
      <c r="F112" s="879"/>
    </row>
    <row r="113" spans="1:6" x14ac:dyDescent="0.2">
      <c r="A113" s="880" t="s">
        <v>3084</v>
      </c>
      <c r="B113" s="880" t="s">
        <v>3085</v>
      </c>
      <c r="C113" s="884">
        <f>Financials2!E42</f>
        <v>0</v>
      </c>
      <c r="D113" s="884">
        <f>Financials2!D42</f>
        <v>0</v>
      </c>
      <c r="E113" s="884">
        <f>Financials2!C42</f>
        <v>0</v>
      </c>
      <c r="F113" s="884">
        <f>Financials2!B42</f>
        <v>0</v>
      </c>
    </row>
    <row r="114" spans="1:6" x14ac:dyDescent="0.2">
      <c r="A114" s="880" t="s">
        <v>3086</v>
      </c>
      <c r="B114" s="880" t="s">
        <v>3087</v>
      </c>
      <c r="C114" s="877">
        <f>+Financials2!E58</f>
        <v>0</v>
      </c>
      <c r="D114" s="877">
        <f>+Financials2!D58</f>
        <v>0</v>
      </c>
      <c r="E114" s="877">
        <f>+Financials2!C58</f>
        <v>0</v>
      </c>
      <c r="F114" s="877">
        <f>+Financials2!B58</f>
        <v>0</v>
      </c>
    </row>
    <row r="115" spans="1:6" x14ac:dyDescent="0.2">
      <c r="A115" s="880" t="s">
        <v>3088</v>
      </c>
      <c r="B115" s="880" t="s">
        <v>3089</v>
      </c>
      <c r="C115" s="879"/>
      <c r="D115" s="879"/>
      <c r="E115" s="879"/>
      <c r="F115" s="879"/>
    </row>
    <row r="116" spans="1:6" x14ac:dyDescent="0.2">
      <c r="A116" s="880" t="s">
        <v>3090</v>
      </c>
      <c r="B116" s="880" t="s">
        <v>3091</v>
      </c>
      <c r="C116" s="879"/>
      <c r="D116" s="879"/>
      <c r="E116" s="879"/>
      <c r="F116" s="879"/>
    </row>
    <row r="117" spans="1:6" x14ac:dyDescent="0.2">
      <c r="A117" s="880" t="s">
        <v>3092</v>
      </c>
      <c r="B117" s="880" t="s">
        <v>3093</v>
      </c>
      <c r="C117" s="877">
        <f>Financials2!E45</f>
        <v>0</v>
      </c>
      <c r="D117" s="877">
        <f>Financials2!D45</f>
        <v>0</v>
      </c>
      <c r="E117" s="877">
        <f>Financials2!C45</f>
        <v>0</v>
      </c>
      <c r="F117" s="877">
        <f>Financials2!B45</f>
        <v>0</v>
      </c>
    </row>
    <row r="118" spans="1:6" x14ac:dyDescent="0.2">
      <c r="A118" s="880" t="s">
        <v>3094</v>
      </c>
      <c r="B118" s="880" t="s">
        <v>3095</v>
      </c>
      <c r="C118" s="879"/>
      <c r="D118" s="879"/>
      <c r="E118" s="879"/>
      <c r="F118" s="879"/>
    </row>
    <row r="119" spans="1:6" x14ac:dyDescent="0.2">
      <c r="A119" s="880" t="s">
        <v>3096</v>
      </c>
      <c r="B119" s="880" t="s">
        <v>3097</v>
      </c>
      <c r="C119" s="879"/>
      <c r="D119" s="879"/>
      <c r="E119" s="879"/>
      <c r="F119" s="879"/>
    </row>
    <row r="120" spans="1:6" ht="33.75" x14ac:dyDescent="0.2">
      <c r="A120" s="880" t="s">
        <v>3098</v>
      </c>
      <c r="B120" s="880" t="s">
        <v>3099</v>
      </c>
      <c r="C120" s="884">
        <f>Financials2!E50</f>
        <v>0</v>
      </c>
      <c r="D120" s="884">
        <f>Financials2!D50</f>
        <v>0</v>
      </c>
      <c r="E120" s="884">
        <f>Financials2!C50</f>
        <v>0</v>
      </c>
      <c r="F120" s="884">
        <f>Financials2!B50</f>
        <v>0</v>
      </c>
    </row>
    <row r="121" spans="1:6" x14ac:dyDescent="0.2">
      <c r="A121" s="880" t="s">
        <v>3100</v>
      </c>
      <c r="B121" s="880" t="s">
        <v>3101</v>
      </c>
      <c r="C121" s="879"/>
      <c r="D121" s="879"/>
      <c r="E121" s="879"/>
      <c r="F121" s="879"/>
    </row>
    <row r="122" spans="1:6" x14ac:dyDescent="0.2">
      <c r="A122" s="880" t="s">
        <v>3102</v>
      </c>
      <c r="B122" s="880" t="s">
        <v>3103</v>
      </c>
      <c r="C122" s="879"/>
      <c r="D122" s="879"/>
      <c r="E122" s="879"/>
      <c r="F122" s="879"/>
    </row>
    <row r="123" spans="1:6" x14ac:dyDescent="0.2">
      <c r="A123" s="880" t="s">
        <v>3104</v>
      </c>
      <c r="B123" s="880" t="s">
        <v>3105</v>
      </c>
      <c r="C123" s="877">
        <f>Financials2!E51</f>
        <v>0</v>
      </c>
      <c r="D123" s="877">
        <f>Financials2!D51</f>
        <v>0</v>
      </c>
      <c r="E123" s="877">
        <f>Financials2!C51</f>
        <v>0</v>
      </c>
      <c r="F123" s="877">
        <f>Financials2!B51</f>
        <v>0</v>
      </c>
    </row>
    <row r="124" spans="1:6" x14ac:dyDescent="0.2">
      <c r="A124" s="880" t="s">
        <v>3106</v>
      </c>
      <c r="B124" s="880" t="s">
        <v>3107</v>
      </c>
      <c r="C124" s="878">
        <f>(C112+C113+C114+C115+C116+C117+C118+C119+C120+C121+C122+C123)</f>
        <v>0</v>
      </c>
      <c r="D124" s="878">
        <f>(D112+D113+D114+D115+D116+D117+D118+D119+D120+D121+D122+D123)</f>
        <v>0</v>
      </c>
      <c r="E124" s="878">
        <f>(E112+E113+E114+E115+E116+E117+E118+E119+E120+E121+E122+E123)</f>
        <v>0</v>
      </c>
      <c r="F124" s="878">
        <f>(F112+F113+F114+F115+F116+F117+F118+F119+F120+F121+F122+F123)</f>
        <v>0</v>
      </c>
    </row>
    <row r="125" spans="1:6" ht="22.5" x14ac:dyDescent="0.2">
      <c r="A125" s="876" t="s">
        <v>2756</v>
      </c>
      <c r="B125" s="876" t="s">
        <v>3108</v>
      </c>
      <c r="C125" s="875" t="s">
        <v>2038</v>
      </c>
      <c r="D125" s="875" t="s">
        <v>2038</v>
      </c>
      <c r="E125" s="875" t="s">
        <v>2038</v>
      </c>
      <c r="F125" s="875" t="s">
        <v>2038</v>
      </c>
    </row>
    <row r="126" spans="1:6" ht="22.5" x14ac:dyDescent="0.2">
      <c r="A126" s="880" t="s">
        <v>3109</v>
      </c>
      <c r="B126" s="880" t="s">
        <v>3110</v>
      </c>
      <c r="C126" s="879"/>
      <c r="D126" s="879"/>
      <c r="E126" s="879"/>
      <c r="F126" s="879"/>
    </row>
    <row r="127" spans="1:6" x14ac:dyDescent="0.2">
      <c r="A127" s="880" t="s">
        <v>3111</v>
      </c>
      <c r="B127" s="880" t="s">
        <v>3112</v>
      </c>
      <c r="C127" s="879"/>
      <c r="D127" s="879"/>
      <c r="E127" s="879"/>
      <c r="F127" s="879"/>
    </row>
    <row r="128" spans="1:6" x14ac:dyDescent="0.2">
      <c r="A128" s="880" t="s">
        <v>3113</v>
      </c>
      <c r="B128" s="880" t="s">
        <v>2759</v>
      </c>
      <c r="C128" s="878">
        <f>(C126+C127)</f>
        <v>0</v>
      </c>
      <c r="D128" s="878">
        <f>(D126+D127)</f>
        <v>0</v>
      </c>
      <c r="E128" s="878">
        <f>(E126+E127)</f>
        <v>0</v>
      </c>
      <c r="F128" s="878">
        <f>(F126+F127)</f>
        <v>0</v>
      </c>
    </row>
    <row r="129" spans="1:6" x14ac:dyDescent="0.2">
      <c r="A129" s="876" t="s">
        <v>2758</v>
      </c>
      <c r="B129" s="876" t="s">
        <v>3114</v>
      </c>
      <c r="C129" s="878">
        <f>(C99+C110+C124+C128)</f>
        <v>0</v>
      </c>
      <c r="D129" s="878">
        <f>(D99+D110+D124+D128)</f>
        <v>0</v>
      </c>
      <c r="E129" s="878">
        <f>(E99+E110+E124+E128)</f>
        <v>0</v>
      </c>
      <c r="F129" s="878">
        <f>(F99+F110+F124+F128)</f>
        <v>0</v>
      </c>
    </row>
    <row r="130" spans="1:6" x14ac:dyDescent="0.2">
      <c r="A130" s="876" t="s">
        <v>2760</v>
      </c>
      <c r="B130" s="876" t="s">
        <v>3115</v>
      </c>
      <c r="C130" s="878">
        <f>(C60-C53-C128)</f>
        <v>0</v>
      </c>
      <c r="D130" s="878">
        <f>(D60-D53-D128)</f>
        <v>0</v>
      </c>
      <c r="E130" s="878">
        <f>(E60-E53-E128)</f>
        <v>0</v>
      </c>
      <c r="F130" s="878">
        <f>(F60-F53-F128)</f>
        <v>0</v>
      </c>
    </row>
    <row r="131" spans="1:6" x14ac:dyDescent="0.2">
      <c r="A131" s="876" t="s">
        <v>2762</v>
      </c>
      <c r="B131" s="876" t="s">
        <v>3116</v>
      </c>
      <c r="C131" s="878">
        <f>(C61-C129)</f>
        <v>0</v>
      </c>
      <c r="D131" s="878">
        <f>(D61-D129)</f>
        <v>0</v>
      </c>
      <c r="E131" s="878">
        <f>(E61-E129)</f>
        <v>0</v>
      </c>
      <c r="F131" s="878">
        <f>(F61-F129)</f>
        <v>0</v>
      </c>
    </row>
  </sheetData>
  <pageMargins left="0.7" right="0.7" top="0.75" bottom="0.75" header="0.3" footer="0.3"/>
  <pageSetup paperSize="9" orientation="portrait" r:id="rId1"/>
  <headerFooter>
    <oddFooter>&amp;C&amp;1#&amp;"Calibri"&amp;10&amp;K000000 For internal use only</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F92"/>
  <sheetViews>
    <sheetView workbookViewId="0">
      <selection activeCell="C15" sqref="A1:XFD1048576"/>
    </sheetView>
  </sheetViews>
  <sheetFormatPr defaultRowHeight="12.75" x14ac:dyDescent="0.2"/>
  <cols>
    <col min="1" max="1" width="11.5703125" style="868" customWidth="1"/>
    <col min="2" max="2" width="45.5703125" style="868"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Financials3!E7</f>
        <v>43190</v>
      </c>
      <c r="D1" s="872">
        <f>Financials3!D7</f>
        <v>43555</v>
      </c>
      <c r="E1" s="872">
        <f>Financials3!C7</f>
        <v>43921</v>
      </c>
      <c r="F1" s="872">
        <f>Financials3!B7</f>
        <v>44286</v>
      </c>
    </row>
    <row r="2" spans="1:6" x14ac:dyDescent="0.2">
      <c r="A2" s="871" t="s">
        <v>2038</v>
      </c>
      <c r="B2" s="871" t="s">
        <v>2708</v>
      </c>
      <c r="C2" s="873">
        <f>Financials3!E8</f>
        <v>0</v>
      </c>
      <c r="D2" s="873">
        <f>Financials3!D8</f>
        <v>0</v>
      </c>
      <c r="E2" s="873">
        <f>Financials3!C8</f>
        <v>0</v>
      </c>
      <c r="F2" s="873">
        <f>Financials3!B8</f>
        <v>0</v>
      </c>
    </row>
    <row r="3" spans="1:6" x14ac:dyDescent="0.2">
      <c r="A3" s="871" t="s">
        <v>2038</v>
      </c>
      <c r="B3" s="871" t="s">
        <v>2709</v>
      </c>
      <c r="C3" s="873">
        <v>12</v>
      </c>
      <c r="D3" s="873">
        <v>12</v>
      </c>
      <c r="E3" s="873">
        <v>12</v>
      </c>
      <c r="F3" s="873">
        <v>12</v>
      </c>
    </row>
    <row r="4" spans="1:6" x14ac:dyDescent="0.2">
      <c r="A4" s="874" t="s">
        <v>686</v>
      </c>
      <c r="B4" s="874" t="s">
        <v>2711</v>
      </c>
      <c r="C4" s="875" t="s">
        <v>2038</v>
      </c>
      <c r="D4" s="875" t="s">
        <v>2038</v>
      </c>
      <c r="E4" s="875" t="s">
        <v>2038</v>
      </c>
      <c r="F4" s="875" t="s">
        <v>2038</v>
      </c>
    </row>
    <row r="5" spans="1:6" x14ac:dyDescent="0.2">
      <c r="A5" s="876" t="s">
        <v>2712</v>
      </c>
      <c r="B5" s="876" t="s">
        <v>2713</v>
      </c>
      <c r="C5" s="877">
        <f>Financials3!E13</f>
        <v>0</v>
      </c>
      <c r="D5" s="877">
        <f>Financials3!D13</f>
        <v>0</v>
      </c>
      <c r="E5" s="877">
        <f>Financials3!C13</f>
        <v>0</v>
      </c>
      <c r="F5" s="877">
        <f>Financials3!B13</f>
        <v>0</v>
      </c>
    </row>
    <row r="6" spans="1:6" x14ac:dyDescent="0.2">
      <c r="A6" s="876" t="s">
        <v>2714</v>
      </c>
      <c r="B6" s="876" t="s">
        <v>2715</v>
      </c>
      <c r="C6" s="877">
        <f>Financials3!E12</f>
        <v>0</v>
      </c>
      <c r="D6" s="877">
        <f>Financials3!D12</f>
        <v>0</v>
      </c>
      <c r="E6" s="877">
        <f>Financials3!C12</f>
        <v>0</v>
      </c>
      <c r="F6" s="877">
        <f>Financials3!B12</f>
        <v>0</v>
      </c>
    </row>
    <row r="7" spans="1:6" x14ac:dyDescent="0.2">
      <c r="A7" s="876" t="s">
        <v>2716</v>
      </c>
      <c r="B7" s="876" t="s">
        <v>2717</v>
      </c>
      <c r="C7" s="878">
        <f>(C5+C6)</f>
        <v>0</v>
      </c>
      <c r="D7" s="878">
        <f>(D5+D6)</f>
        <v>0</v>
      </c>
      <c r="E7" s="878">
        <f>(E5+E6)</f>
        <v>0</v>
      </c>
      <c r="F7" s="878">
        <f>(F5+F6)</f>
        <v>0</v>
      </c>
    </row>
    <row r="8" spans="1:6" x14ac:dyDescent="0.2">
      <c r="A8" s="876" t="s">
        <v>2718</v>
      </c>
      <c r="B8" s="876" t="s">
        <v>2719</v>
      </c>
      <c r="C8" s="879"/>
      <c r="D8" s="879"/>
      <c r="E8" s="879"/>
      <c r="F8" s="879"/>
    </row>
    <row r="9" spans="1:6" x14ac:dyDescent="0.2">
      <c r="A9" s="876" t="s">
        <v>2720</v>
      </c>
      <c r="B9" s="876" t="s">
        <v>2721</v>
      </c>
      <c r="C9" s="878">
        <f>(C7-C8)</f>
        <v>0</v>
      </c>
      <c r="D9" s="878">
        <f>(D7-D8)</f>
        <v>0</v>
      </c>
      <c r="E9" s="878">
        <f>(E7-E8)</f>
        <v>0</v>
      </c>
      <c r="F9" s="878">
        <f>(F7-F8)</f>
        <v>0</v>
      </c>
    </row>
    <row r="10" spans="1:6" x14ac:dyDescent="0.2">
      <c r="A10" s="876" t="s">
        <v>2722</v>
      </c>
      <c r="B10" s="876" t="s">
        <v>2723</v>
      </c>
      <c r="C10" s="877">
        <f>Financials3!E15</f>
        <v>0</v>
      </c>
      <c r="D10" s="877">
        <f>Financials3!D15</f>
        <v>0</v>
      </c>
      <c r="E10" s="877">
        <f>Financials3!C15</f>
        <v>0</v>
      </c>
      <c r="F10" s="877">
        <f>Financials3!B15</f>
        <v>0</v>
      </c>
    </row>
    <row r="11" spans="1:6" x14ac:dyDescent="0.2">
      <c r="A11" s="876" t="s">
        <v>2724</v>
      </c>
      <c r="B11" s="876" t="s">
        <v>2725</v>
      </c>
      <c r="C11" s="879"/>
      <c r="D11" s="879"/>
      <c r="E11" s="879"/>
      <c r="F11" s="879"/>
    </row>
    <row r="12" spans="1:6" x14ac:dyDescent="0.2">
      <c r="A12" s="876" t="s">
        <v>2726</v>
      </c>
      <c r="B12" s="876" t="s">
        <v>2727</v>
      </c>
      <c r="C12" s="879"/>
      <c r="D12" s="879"/>
      <c r="E12" s="879"/>
      <c r="F12" s="879"/>
    </row>
    <row r="13" spans="1:6" x14ac:dyDescent="0.2">
      <c r="A13" s="876" t="s">
        <v>2728</v>
      </c>
      <c r="B13" s="876" t="s">
        <v>2729</v>
      </c>
      <c r="C13" s="879"/>
      <c r="D13" s="879"/>
      <c r="E13" s="879"/>
      <c r="F13" s="879"/>
    </row>
    <row r="14" spans="1:6" x14ac:dyDescent="0.2">
      <c r="A14" s="876" t="s">
        <v>2730</v>
      </c>
      <c r="B14" s="876" t="s">
        <v>2731</v>
      </c>
      <c r="C14" s="878">
        <f>(C9+C10+C11+C12+C13)</f>
        <v>0</v>
      </c>
      <c r="D14" s="878">
        <f>(D9+D10+D11+D12+D13)</f>
        <v>0</v>
      </c>
      <c r="E14" s="878">
        <f>(E9+E10+E11+E12+E13)</f>
        <v>0</v>
      </c>
      <c r="F14" s="878">
        <f>(F9+F10+F11+F12+F13)</f>
        <v>0</v>
      </c>
    </row>
    <row r="15" spans="1:6" x14ac:dyDescent="0.2">
      <c r="A15" s="874" t="s">
        <v>2732</v>
      </c>
      <c r="B15" s="874" t="s">
        <v>2733</v>
      </c>
      <c r="C15" s="875" t="s">
        <v>2038</v>
      </c>
      <c r="D15" s="875" t="s">
        <v>2038</v>
      </c>
      <c r="E15" s="875" t="s">
        <v>2038</v>
      </c>
      <c r="F15" s="875" t="s">
        <v>2038</v>
      </c>
    </row>
    <row r="16" spans="1:6" x14ac:dyDescent="0.2">
      <c r="A16" s="876" t="s">
        <v>2734</v>
      </c>
      <c r="B16" s="876" t="s">
        <v>2735</v>
      </c>
      <c r="C16" s="875" t="s">
        <v>2038</v>
      </c>
      <c r="D16" s="875" t="s">
        <v>2038</v>
      </c>
      <c r="E16" s="875" t="s">
        <v>2038</v>
      </c>
      <c r="F16" s="875" t="s">
        <v>2038</v>
      </c>
    </row>
    <row r="17" spans="1:6" x14ac:dyDescent="0.2">
      <c r="A17" s="880" t="s">
        <v>2736</v>
      </c>
      <c r="B17" s="880" t="s">
        <v>2737</v>
      </c>
      <c r="C17" s="877">
        <f>Financials3!E17</f>
        <v>0</v>
      </c>
      <c r="D17" s="877">
        <f>Financials3!D17</f>
        <v>0</v>
      </c>
      <c r="E17" s="877">
        <f>Financials3!C17</f>
        <v>0</v>
      </c>
      <c r="F17" s="877">
        <f>Financials3!B17</f>
        <v>0</v>
      </c>
    </row>
    <row r="18" spans="1:6" x14ac:dyDescent="0.2">
      <c r="A18" s="880" t="s">
        <v>2738</v>
      </c>
      <c r="B18" s="880" t="s">
        <v>2739</v>
      </c>
      <c r="C18" s="879"/>
      <c r="D18" s="879"/>
      <c r="E18" s="879"/>
      <c r="F18" s="879"/>
    </row>
    <row r="19" spans="1:6" x14ac:dyDescent="0.2">
      <c r="A19" s="876" t="s">
        <v>2740</v>
      </c>
      <c r="B19" s="876" t="s">
        <v>2741</v>
      </c>
      <c r="C19" s="875" t="s">
        <v>2038</v>
      </c>
      <c r="D19" s="875" t="s">
        <v>2038</v>
      </c>
      <c r="E19" s="875" t="s">
        <v>2038</v>
      </c>
      <c r="F19" s="875" t="s">
        <v>2038</v>
      </c>
    </row>
    <row r="20" spans="1:6" x14ac:dyDescent="0.2">
      <c r="A20" s="880" t="s">
        <v>2742</v>
      </c>
      <c r="B20" s="880" t="s">
        <v>2737</v>
      </c>
      <c r="C20" s="879"/>
      <c r="D20" s="879"/>
      <c r="E20" s="879"/>
      <c r="F20" s="879"/>
    </row>
    <row r="21" spans="1:6" x14ac:dyDescent="0.2">
      <c r="A21" s="880" t="s">
        <v>2743</v>
      </c>
      <c r="B21" s="880" t="s">
        <v>2739</v>
      </c>
      <c r="C21" s="879"/>
      <c r="D21" s="879"/>
      <c r="E21" s="879"/>
      <c r="F21" s="879"/>
    </row>
    <row r="22" spans="1:6" x14ac:dyDescent="0.2">
      <c r="A22" s="876" t="s">
        <v>2744</v>
      </c>
      <c r="B22" s="876" t="s">
        <v>2745</v>
      </c>
      <c r="C22" s="879"/>
      <c r="D22" s="879"/>
      <c r="E22" s="879"/>
      <c r="F22" s="879"/>
    </row>
    <row r="23" spans="1:6" x14ac:dyDescent="0.2">
      <c r="A23" s="876" t="s">
        <v>2746</v>
      </c>
      <c r="B23" s="876" t="s">
        <v>2747</v>
      </c>
      <c r="C23" s="877">
        <f>Financials3!E19</f>
        <v>0</v>
      </c>
      <c r="D23" s="877">
        <f>Financials3!D19</f>
        <v>0</v>
      </c>
      <c r="E23" s="877">
        <f>Financials3!C19</f>
        <v>0</v>
      </c>
      <c r="F23" s="877">
        <f>Financials3!B19</f>
        <v>0</v>
      </c>
    </row>
    <row r="24" spans="1:6" x14ac:dyDescent="0.2">
      <c r="A24" s="876" t="s">
        <v>2748</v>
      </c>
      <c r="B24" s="876" t="s">
        <v>2749</v>
      </c>
      <c r="C24" s="877">
        <f>Financials3!E18</f>
        <v>0</v>
      </c>
      <c r="D24" s="877">
        <f>Financials3!D18</f>
        <v>0</v>
      </c>
      <c r="E24" s="877">
        <f>Financials3!C18</f>
        <v>0</v>
      </c>
      <c r="F24" s="877">
        <f>Financials3!B18</f>
        <v>0</v>
      </c>
    </row>
    <row r="25" spans="1:6" x14ac:dyDescent="0.2">
      <c r="A25" s="876" t="s">
        <v>2750</v>
      </c>
      <c r="B25" s="876" t="s">
        <v>2751</v>
      </c>
      <c r="C25" s="877">
        <f>Financials3!E27+Financials3!E28</f>
        <v>0</v>
      </c>
      <c r="D25" s="877">
        <f>Financials3!D27+Financials3!D28</f>
        <v>0</v>
      </c>
      <c r="E25" s="877">
        <f>Financials3!C27+Financials3!C28</f>
        <v>0</v>
      </c>
      <c r="F25" s="877">
        <f>Financials3!B27+Financials3!B28</f>
        <v>0</v>
      </c>
    </row>
    <row r="26" spans="1:6" x14ac:dyDescent="0.2">
      <c r="A26" s="876" t="s">
        <v>2752</v>
      </c>
      <c r="B26" s="876" t="s">
        <v>2753</v>
      </c>
      <c r="C26" s="879"/>
      <c r="D26" s="879"/>
      <c r="E26" s="879"/>
      <c r="F26" s="879"/>
    </row>
    <row r="27" spans="1:6" x14ac:dyDescent="0.2">
      <c r="A27" s="876" t="s">
        <v>2754</v>
      </c>
      <c r="B27" s="876" t="s">
        <v>2755</v>
      </c>
      <c r="C27" s="879"/>
      <c r="D27" s="879"/>
      <c r="E27" s="879"/>
      <c r="F27" s="879"/>
    </row>
    <row r="28" spans="1:6" x14ac:dyDescent="0.2">
      <c r="A28" s="876" t="s">
        <v>2756</v>
      </c>
      <c r="B28" s="876" t="s">
        <v>2757</v>
      </c>
      <c r="C28" s="879"/>
      <c r="D28" s="879"/>
      <c r="E28" s="879"/>
      <c r="F28" s="879"/>
    </row>
    <row r="29" spans="1:6" x14ac:dyDescent="0.2">
      <c r="A29" s="876" t="s">
        <v>2758</v>
      </c>
      <c r="B29" s="876" t="s">
        <v>2759</v>
      </c>
      <c r="C29" s="878">
        <f>(C17+C18+C20+C21+C22+C23+C24+C25+C26+C27+C28)</f>
        <v>0</v>
      </c>
      <c r="D29" s="878">
        <f>(D17+D18+D20+D21+D22+D23+D24+D25+D26+D27+D28)</f>
        <v>0</v>
      </c>
      <c r="E29" s="878">
        <f>(E17+E18+E20+E21+E22+E23+E24+E25+E26+E27+E28)</f>
        <v>0</v>
      </c>
      <c r="F29" s="878">
        <f>(F17+F18+F20+F21+F22+F23+F24+F25+F26+F27+F28)</f>
        <v>0</v>
      </c>
    </row>
    <row r="30" spans="1:6" x14ac:dyDescent="0.2">
      <c r="A30" s="876" t="s">
        <v>2760</v>
      </c>
      <c r="B30" s="876" t="s">
        <v>2761</v>
      </c>
      <c r="C30" s="879"/>
      <c r="D30" s="879"/>
      <c r="E30" s="879"/>
      <c r="F30" s="879"/>
    </row>
    <row r="31" spans="1:6" x14ac:dyDescent="0.2">
      <c r="A31" s="876" t="s">
        <v>2762</v>
      </c>
      <c r="B31" s="876" t="s">
        <v>2763</v>
      </c>
      <c r="C31" s="879"/>
      <c r="D31" s="879"/>
      <c r="E31" s="879"/>
      <c r="F31" s="879"/>
    </row>
    <row r="32" spans="1:6" x14ac:dyDescent="0.2">
      <c r="A32" s="876" t="s">
        <v>2764</v>
      </c>
      <c r="B32" s="876" t="s">
        <v>2765</v>
      </c>
      <c r="C32" s="878">
        <f>C29+C30-C31</f>
        <v>0</v>
      </c>
      <c r="D32" s="878">
        <f>D29+D30-D31</f>
        <v>0</v>
      </c>
      <c r="E32" s="878">
        <f>E29+E30-E31</f>
        <v>0</v>
      </c>
      <c r="F32" s="878">
        <f>F29+F30-F31</f>
        <v>0</v>
      </c>
    </row>
    <row r="33" spans="1:6" x14ac:dyDescent="0.2">
      <c r="A33" s="876" t="s">
        <v>2766</v>
      </c>
      <c r="B33" s="876" t="s">
        <v>2767</v>
      </c>
      <c r="C33" s="879"/>
      <c r="D33" s="879"/>
      <c r="E33" s="879"/>
      <c r="F33" s="879"/>
    </row>
    <row r="34" spans="1:6" x14ac:dyDescent="0.2">
      <c r="A34" s="876" t="s">
        <v>2768</v>
      </c>
      <c r="B34" s="876" t="s">
        <v>2769</v>
      </c>
      <c r="C34" s="879"/>
      <c r="D34" s="879"/>
      <c r="E34" s="879"/>
      <c r="F34" s="879"/>
    </row>
    <row r="35" spans="1:6" x14ac:dyDescent="0.2">
      <c r="A35" s="876" t="s">
        <v>2770</v>
      </c>
      <c r="B35" s="876" t="s">
        <v>2771</v>
      </c>
      <c r="C35" s="878">
        <f>C32+C33-C34</f>
        <v>0</v>
      </c>
      <c r="D35" s="878">
        <f>D32+D33-D34</f>
        <v>0</v>
      </c>
      <c r="E35" s="878">
        <f>E32+E33-E34</f>
        <v>0</v>
      </c>
      <c r="F35" s="878">
        <f>F32+F33-F34</f>
        <v>0</v>
      </c>
    </row>
    <row r="36" spans="1:6" x14ac:dyDescent="0.2">
      <c r="A36" s="876" t="s">
        <v>2772</v>
      </c>
      <c r="B36" s="876" t="s">
        <v>2773</v>
      </c>
      <c r="C36" s="877">
        <f>Financials3!E24</f>
        <v>0</v>
      </c>
      <c r="D36" s="877">
        <f>Financials3!D24</f>
        <v>0</v>
      </c>
      <c r="E36" s="877">
        <f>Financials3!C24</f>
        <v>0</v>
      </c>
      <c r="F36" s="877">
        <f>Financials3!B24</f>
        <v>0</v>
      </c>
    </row>
    <row r="37" spans="1:6" x14ac:dyDescent="0.2">
      <c r="A37" s="876" t="s">
        <v>2774</v>
      </c>
      <c r="B37" s="876" t="s">
        <v>2775</v>
      </c>
      <c r="C37" s="878">
        <f>(C35+C36)</f>
        <v>0</v>
      </c>
      <c r="D37" s="878">
        <f>(D35+D36)</f>
        <v>0</v>
      </c>
      <c r="E37" s="878">
        <f>(E35+E36)</f>
        <v>0</v>
      </c>
      <c r="F37" s="878">
        <f>(F35+F36)</f>
        <v>0</v>
      </c>
    </row>
    <row r="38" spans="1:6" x14ac:dyDescent="0.2">
      <c r="A38" s="876" t="s">
        <v>2776</v>
      </c>
      <c r="B38" s="876" t="s">
        <v>2777</v>
      </c>
      <c r="C38" s="878">
        <f>(C14-C37)</f>
        <v>0</v>
      </c>
      <c r="D38" s="878">
        <f>(D14-D37)</f>
        <v>0</v>
      </c>
      <c r="E38" s="878">
        <f>(E14-E37)</f>
        <v>0</v>
      </c>
      <c r="F38" s="878">
        <f>(F14-F37)</f>
        <v>0</v>
      </c>
    </row>
    <row r="39" spans="1:6" x14ac:dyDescent="0.2">
      <c r="A39" s="876" t="s">
        <v>2778</v>
      </c>
      <c r="B39" s="876" t="s">
        <v>2779</v>
      </c>
      <c r="C39" s="875" t="s">
        <v>2038</v>
      </c>
      <c r="D39" s="875" t="s">
        <v>2038</v>
      </c>
      <c r="E39" s="875" t="s">
        <v>2038</v>
      </c>
      <c r="F39" s="875" t="s">
        <v>2038</v>
      </c>
    </row>
    <row r="40" spans="1:6" x14ac:dyDescent="0.2">
      <c r="A40" s="880" t="s">
        <v>2780</v>
      </c>
      <c r="B40" s="880" t="s">
        <v>2781</v>
      </c>
      <c r="C40" s="879"/>
      <c r="D40" s="879"/>
      <c r="E40" s="879"/>
      <c r="F40" s="879"/>
    </row>
    <row r="41" spans="1:6" x14ac:dyDescent="0.2">
      <c r="A41" s="880" t="s">
        <v>2782</v>
      </c>
      <c r="B41" s="880" t="s">
        <v>2783</v>
      </c>
      <c r="C41" s="882">
        <f>Financials3!E31</f>
        <v>0</v>
      </c>
      <c r="D41" s="882">
        <f>Financials3!D31</f>
        <v>0</v>
      </c>
      <c r="E41" s="882">
        <f>Financials3!C31</f>
        <v>0</v>
      </c>
      <c r="F41" s="882">
        <f>Financials3!B31</f>
        <v>0</v>
      </c>
    </row>
    <row r="42" spans="1:6" x14ac:dyDescent="0.2">
      <c r="A42" s="876" t="s">
        <v>2784</v>
      </c>
      <c r="B42" s="876" t="s">
        <v>2785</v>
      </c>
      <c r="C42" s="875" t="s">
        <v>2038</v>
      </c>
      <c r="D42" s="875" t="s">
        <v>2038</v>
      </c>
      <c r="E42" s="875" t="s">
        <v>2038</v>
      </c>
      <c r="F42" s="875" t="s">
        <v>2038</v>
      </c>
    </row>
    <row r="43" spans="1:6" x14ac:dyDescent="0.2">
      <c r="A43" s="880" t="s">
        <v>2786</v>
      </c>
      <c r="B43" s="880" t="s">
        <v>2781</v>
      </c>
      <c r="C43" s="879"/>
      <c r="D43" s="879"/>
      <c r="E43" s="879"/>
      <c r="F43" s="879"/>
    </row>
    <row r="44" spans="1:6" x14ac:dyDescent="0.2">
      <c r="A44" s="880" t="s">
        <v>2787</v>
      </c>
      <c r="B44" s="880" t="s">
        <v>2783</v>
      </c>
      <c r="C44" s="879"/>
      <c r="D44" s="879"/>
      <c r="E44" s="879"/>
      <c r="F44" s="879"/>
    </row>
    <row r="45" spans="1:6" x14ac:dyDescent="0.2">
      <c r="A45" s="876" t="s">
        <v>2788</v>
      </c>
      <c r="B45" s="876" t="s">
        <v>2789</v>
      </c>
      <c r="C45" s="879"/>
      <c r="D45" s="879"/>
      <c r="E45" s="879"/>
      <c r="F45" s="879"/>
    </row>
    <row r="46" spans="1:6" x14ac:dyDescent="0.2">
      <c r="A46" s="876" t="s">
        <v>2790</v>
      </c>
      <c r="B46" s="876" t="s">
        <v>2791</v>
      </c>
      <c r="C46" s="878">
        <f>(C40+C41+C43+C44+C45)</f>
        <v>0</v>
      </c>
      <c r="D46" s="878">
        <f>(D40+D41+D43+D44+D45)</f>
        <v>0</v>
      </c>
      <c r="E46" s="878">
        <f>(E40+E41+E43+E44+E45)</f>
        <v>0</v>
      </c>
      <c r="F46" s="878">
        <f>(F40+F41+F43+F44+F45)</f>
        <v>0</v>
      </c>
    </row>
    <row r="47" spans="1:6" x14ac:dyDescent="0.2">
      <c r="A47" s="876" t="s">
        <v>2792</v>
      </c>
      <c r="B47" s="876" t="s">
        <v>2793</v>
      </c>
      <c r="C47" s="878">
        <f>(C38-C46)</f>
        <v>0</v>
      </c>
      <c r="D47" s="878">
        <f>(D38-D46)</f>
        <v>0</v>
      </c>
      <c r="E47" s="878">
        <f>(E38-E46)</f>
        <v>0</v>
      </c>
      <c r="F47" s="878">
        <f>(F38-F46)</f>
        <v>0</v>
      </c>
    </row>
    <row r="48" spans="1:6" x14ac:dyDescent="0.2">
      <c r="A48" s="874" t="s">
        <v>2794</v>
      </c>
      <c r="B48" s="874" t="s">
        <v>2795</v>
      </c>
      <c r="C48" s="875" t="s">
        <v>2038</v>
      </c>
      <c r="D48" s="875" t="s">
        <v>2038</v>
      </c>
      <c r="E48" s="875" t="s">
        <v>2038</v>
      </c>
      <c r="F48" s="875" t="s">
        <v>2038</v>
      </c>
    </row>
    <row r="49" spans="1:6" x14ac:dyDescent="0.2">
      <c r="A49" s="876" t="s">
        <v>2796</v>
      </c>
      <c r="B49" s="876" t="s">
        <v>2797</v>
      </c>
      <c r="C49" s="875" t="s">
        <v>2038</v>
      </c>
      <c r="D49" s="875" t="s">
        <v>2038</v>
      </c>
      <c r="E49" s="875" t="s">
        <v>2038</v>
      </c>
      <c r="F49" s="875" t="s">
        <v>2038</v>
      </c>
    </row>
    <row r="50" spans="1:6" x14ac:dyDescent="0.2">
      <c r="A50" s="880" t="s">
        <v>2798</v>
      </c>
      <c r="B50" s="880" t="s">
        <v>2799</v>
      </c>
      <c r="C50" s="879"/>
      <c r="D50" s="879"/>
      <c r="E50" s="879"/>
      <c r="F50" s="879"/>
    </row>
    <row r="51" spans="1:6" x14ac:dyDescent="0.2">
      <c r="A51" s="880" t="s">
        <v>2800</v>
      </c>
      <c r="B51" s="880" t="s">
        <v>2801</v>
      </c>
      <c r="C51" s="879"/>
      <c r="D51" s="879"/>
      <c r="E51" s="879"/>
      <c r="F51" s="879"/>
    </row>
    <row r="52" spans="1:6" x14ac:dyDescent="0.2">
      <c r="A52" s="880" t="s">
        <v>2802</v>
      </c>
      <c r="B52" s="880" t="s">
        <v>2803</v>
      </c>
      <c r="C52" s="879"/>
      <c r="D52" s="879"/>
      <c r="E52" s="879"/>
      <c r="F52" s="879"/>
    </row>
    <row r="53" spans="1:6" x14ac:dyDescent="0.2">
      <c r="A53" s="880" t="s">
        <v>2804</v>
      </c>
      <c r="B53" s="880" t="s">
        <v>2805</v>
      </c>
      <c r="C53" s="879"/>
      <c r="D53" s="879"/>
      <c r="E53" s="879"/>
      <c r="F53" s="879"/>
    </row>
    <row r="54" spans="1:6" x14ac:dyDescent="0.2">
      <c r="A54" s="880" t="s">
        <v>2806</v>
      </c>
      <c r="B54" s="880" t="s">
        <v>2807</v>
      </c>
      <c r="C54" s="879"/>
      <c r="D54" s="879"/>
      <c r="E54" s="879"/>
      <c r="F54" s="879"/>
    </row>
    <row r="55" spans="1:6" x14ac:dyDescent="0.2">
      <c r="A55" s="880" t="s">
        <v>2808</v>
      </c>
      <c r="B55" s="880" t="s">
        <v>2809</v>
      </c>
      <c r="C55" s="879"/>
      <c r="D55" s="879"/>
      <c r="E55" s="879"/>
      <c r="F55" s="879"/>
    </row>
    <row r="56" spans="1:6" x14ac:dyDescent="0.2">
      <c r="A56" s="876" t="s">
        <v>2810</v>
      </c>
      <c r="B56" s="876" t="s">
        <v>2811</v>
      </c>
      <c r="C56" s="877">
        <f>Financials3!E14</f>
        <v>0</v>
      </c>
      <c r="D56" s="877">
        <f>Financials3!D14</f>
        <v>0</v>
      </c>
      <c r="E56" s="877">
        <f>Financials3!C14</f>
        <v>0</v>
      </c>
      <c r="F56" s="877">
        <f>Financials3!B14</f>
        <v>0</v>
      </c>
    </row>
    <row r="57" spans="1:6" x14ac:dyDescent="0.2">
      <c r="A57" s="876" t="s">
        <v>2812</v>
      </c>
      <c r="B57" s="876" t="s">
        <v>2813</v>
      </c>
      <c r="C57" s="875" t="s">
        <v>2038</v>
      </c>
      <c r="D57" s="875" t="s">
        <v>2038</v>
      </c>
      <c r="E57" s="875" t="s">
        <v>2038</v>
      </c>
      <c r="F57" s="875" t="s">
        <v>2038</v>
      </c>
    </row>
    <row r="58" spans="1:6" x14ac:dyDescent="0.2">
      <c r="A58" s="880" t="s">
        <v>2814</v>
      </c>
      <c r="B58" s="880" t="s">
        <v>2815</v>
      </c>
      <c r="C58" s="879"/>
      <c r="D58" s="879"/>
      <c r="E58" s="879"/>
      <c r="F58" s="879"/>
    </row>
    <row r="59" spans="1:6" x14ac:dyDescent="0.2">
      <c r="A59" s="876" t="s">
        <v>2816</v>
      </c>
      <c r="B59" s="876" t="s">
        <v>2817</v>
      </c>
      <c r="C59" s="878">
        <f>(C50+C51+C52+C53+C54+C55+C56+C58)</f>
        <v>0</v>
      </c>
      <c r="D59" s="878">
        <f>(D50+D51+D52+D53+D54+D55+D56+D58)</f>
        <v>0</v>
      </c>
      <c r="E59" s="878">
        <f>(E50+E51+E52+E53+E54+E55+E56+E58)</f>
        <v>0</v>
      </c>
      <c r="F59" s="878">
        <f>(F50+F51+F52+F53+F54+F55+F56+F58)</f>
        <v>0</v>
      </c>
    </row>
    <row r="60" spans="1:6" x14ac:dyDescent="0.2">
      <c r="A60" s="874" t="s">
        <v>2818</v>
      </c>
      <c r="B60" s="874" t="s">
        <v>2819</v>
      </c>
      <c r="C60" s="875" t="s">
        <v>2038</v>
      </c>
      <c r="D60" s="875" t="s">
        <v>2038</v>
      </c>
      <c r="E60" s="875" t="s">
        <v>2038</v>
      </c>
      <c r="F60" s="875" t="s">
        <v>2038</v>
      </c>
    </row>
    <row r="61" spans="1:6" x14ac:dyDescent="0.2">
      <c r="A61" s="876" t="s">
        <v>2820</v>
      </c>
      <c r="B61" s="876" t="s">
        <v>2821</v>
      </c>
      <c r="C61" s="875" t="s">
        <v>2038</v>
      </c>
      <c r="D61" s="875" t="s">
        <v>2038</v>
      </c>
      <c r="E61" s="875" t="s">
        <v>2038</v>
      </c>
      <c r="F61" s="875" t="s">
        <v>2038</v>
      </c>
    </row>
    <row r="62" spans="1:6" x14ac:dyDescent="0.2">
      <c r="A62" s="880" t="s">
        <v>2822</v>
      </c>
      <c r="B62" s="880" t="s">
        <v>2823</v>
      </c>
      <c r="C62" s="879"/>
      <c r="D62" s="879"/>
      <c r="E62" s="879"/>
      <c r="F62" s="879"/>
    </row>
    <row r="63" spans="1:6" x14ac:dyDescent="0.2">
      <c r="A63" s="880" t="s">
        <v>2824</v>
      </c>
      <c r="B63" s="880" t="s">
        <v>2825</v>
      </c>
      <c r="C63" s="879"/>
      <c r="D63" s="879"/>
      <c r="E63" s="879"/>
      <c r="F63" s="879"/>
    </row>
    <row r="64" spans="1:6" x14ac:dyDescent="0.2">
      <c r="A64" s="880" t="s">
        <v>2826</v>
      </c>
      <c r="B64" s="880" t="s">
        <v>2827</v>
      </c>
      <c r="C64" s="879"/>
      <c r="D64" s="879"/>
      <c r="E64" s="879"/>
      <c r="F64" s="879"/>
    </row>
    <row r="65" spans="1:6" x14ac:dyDescent="0.2">
      <c r="A65" s="876" t="s">
        <v>2828</v>
      </c>
      <c r="B65" s="876" t="s">
        <v>2829</v>
      </c>
      <c r="C65" s="875" t="s">
        <v>2038</v>
      </c>
      <c r="D65" s="875" t="s">
        <v>2038</v>
      </c>
      <c r="E65" s="875" t="s">
        <v>2038</v>
      </c>
      <c r="F65" s="875" t="s">
        <v>2038</v>
      </c>
    </row>
    <row r="66" spans="1:6" x14ac:dyDescent="0.2">
      <c r="A66" s="880" t="s">
        <v>2830</v>
      </c>
      <c r="B66" s="880" t="s">
        <v>2831</v>
      </c>
      <c r="C66" s="879"/>
      <c r="D66" s="879"/>
      <c r="E66" s="879"/>
      <c r="F66" s="879"/>
    </row>
    <row r="67" spans="1:6" x14ac:dyDescent="0.2">
      <c r="A67" s="880" t="s">
        <v>2832</v>
      </c>
      <c r="B67" s="880" t="s">
        <v>2833</v>
      </c>
      <c r="C67" s="879"/>
      <c r="D67" s="879"/>
      <c r="E67" s="879"/>
      <c r="F67" s="879"/>
    </row>
    <row r="68" spans="1:6" x14ac:dyDescent="0.2">
      <c r="A68" s="880" t="s">
        <v>2834</v>
      </c>
      <c r="B68" s="880" t="s">
        <v>2835</v>
      </c>
      <c r="C68" s="879"/>
      <c r="D68" s="879"/>
      <c r="E68" s="879"/>
      <c r="F68" s="879"/>
    </row>
    <row r="69" spans="1:6" x14ac:dyDescent="0.2">
      <c r="A69" s="880" t="s">
        <v>2836</v>
      </c>
      <c r="B69" s="880" t="s">
        <v>2837</v>
      </c>
      <c r="C69" s="879"/>
      <c r="D69" s="879"/>
      <c r="E69" s="879"/>
      <c r="F69" s="879"/>
    </row>
    <row r="70" spans="1:6" x14ac:dyDescent="0.2">
      <c r="A70" s="876" t="s">
        <v>2838</v>
      </c>
      <c r="B70" s="876" t="s">
        <v>2839</v>
      </c>
      <c r="C70" s="878">
        <f>(C62+C63+C64+C66+C67+C68+C69)</f>
        <v>0</v>
      </c>
      <c r="D70" s="878">
        <f>(D62+D63+D64+D66+D67+D68+D69)</f>
        <v>0</v>
      </c>
      <c r="E70" s="878">
        <f>(E62+E63+E64+E66+E67+E68+E69)</f>
        <v>0</v>
      </c>
      <c r="F70" s="878">
        <f>(F62+F63+F64+F66+F67+F68+F69)</f>
        <v>0</v>
      </c>
    </row>
    <row r="71" spans="1:6" x14ac:dyDescent="0.2">
      <c r="A71" s="874" t="s">
        <v>2840</v>
      </c>
      <c r="B71" s="874" t="s">
        <v>2841</v>
      </c>
      <c r="C71" s="878">
        <f>(C59-C70)</f>
        <v>0</v>
      </c>
      <c r="D71" s="878">
        <f>(D59-D70)</f>
        <v>0</v>
      </c>
      <c r="E71" s="878">
        <f>(E59-E70)</f>
        <v>0</v>
      </c>
      <c r="F71" s="878">
        <f>(F59-F70)</f>
        <v>0</v>
      </c>
    </row>
    <row r="72" spans="1:6" x14ac:dyDescent="0.2">
      <c r="A72" s="874" t="s">
        <v>2842</v>
      </c>
      <c r="B72" s="874" t="s">
        <v>2843</v>
      </c>
      <c r="C72" s="878">
        <f>(C25+C46+C47+C71)</f>
        <v>0</v>
      </c>
      <c r="D72" s="878">
        <f>(D25+D46+D47+D71)</f>
        <v>0</v>
      </c>
      <c r="E72" s="878">
        <f>(E25+E46+E47+E71)</f>
        <v>0</v>
      </c>
      <c r="F72" s="878">
        <f>(F25+F46+F47+F71)</f>
        <v>0</v>
      </c>
    </row>
    <row r="73" spans="1:6" x14ac:dyDescent="0.2">
      <c r="A73" s="874" t="s">
        <v>2844</v>
      </c>
      <c r="B73" s="874" t="s">
        <v>2845</v>
      </c>
      <c r="C73" s="878">
        <f>(C47+C71)</f>
        <v>0</v>
      </c>
      <c r="D73" s="878">
        <f>(D47+D71)</f>
        <v>0</v>
      </c>
      <c r="E73" s="878">
        <f>(E47+E71)</f>
        <v>0</v>
      </c>
      <c r="F73" s="878">
        <f>(F47+F71)</f>
        <v>0</v>
      </c>
    </row>
    <row r="74" spans="1:6" x14ac:dyDescent="0.2">
      <c r="A74" s="874" t="s">
        <v>2846</v>
      </c>
      <c r="B74" s="874" t="s">
        <v>2847</v>
      </c>
      <c r="C74" s="877"/>
      <c r="D74" s="877"/>
      <c r="E74" s="877"/>
      <c r="F74" s="877"/>
    </row>
    <row r="75" spans="1:6" x14ac:dyDescent="0.2">
      <c r="A75" s="874" t="s">
        <v>2848</v>
      </c>
      <c r="B75" s="874" t="s">
        <v>2849</v>
      </c>
      <c r="C75" s="875" t="s">
        <v>2038</v>
      </c>
      <c r="D75" s="875" t="s">
        <v>2038</v>
      </c>
      <c r="E75" s="875" t="s">
        <v>2038</v>
      </c>
      <c r="F75" s="875" t="s">
        <v>2038</v>
      </c>
    </row>
    <row r="76" spans="1:6" x14ac:dyDescent="0.2">
      <c r="A76" s="876" t="s">
        <v>2850</v>
      </c>
      <c r="B76" s="876" t="s">
        <v>2851</v>
      </c>
      <c r="C76" s="877">
        <f>Financials3!E35</f>
        <v>0</v>
      </c>
      <c r="D76" s="877">
        <f>Financials3!D35</f>
        <v>0</v>
      </c>
      <c r="E76" s="877">
        <f>Financials3!C35</f>
        <v>0</v>
      </c>
      <c r="F76" s="877">
        <f>Financials3!B35</f>
        <v>0</v>
      </c>
    </row>
    <row r="77" spans="1:6" x14ac:dyDescent="0.2">
      <c r="A77" s="876" t="s">
        <v>2852</v>
      </c>
      <c r="B77" s="876" t="s">
        <v>2853</v>
      </c>
      <c r="C77" s="879"/>
      <c r="D77" s="879"/>
      <c r="E77" s="879"/>
      <c r="F77" s="879"/>
    </row>
    <row r="78" spans="1:6" x14ac:dyDescent="0.2">
      <c r="A78" s="876" t="s">
        <v>2854</v>
      </c>
      <c r="B78" s="876" t="s">
        <v>2855</v>
      </c>
      <c r="C78" s="878">
        <f>(C76+C77)</f>
        <v>0</v>
      </c>
      <c r="D78" s="878">
        <f>(D76+D77)</f>
        <v>0</v>
      </c>
      <c r="E78" s="878">
        <f>(E76+E77)</f>
        <v>0</v>
      </c>
      <c r="F78" s="878">
        <f>(F76+F77)</f>
        <v>0</v>
      </c>
    </row>
    <row r="79" spans="1:6" x14ac:dyDescent="0.2">
      <c r="A79" s="874" t="s">
        <v>2856</v>
      </c>
      <c r="B79" s="874" t="s">
        <v>2857</v>
      </c>
      <c r="C79" s="878">
        <f>(C73-C74-C78)</f>
        <v>0</v>
      </c>
      <c r="D79" s="878">
        <f>(D73-D74-D78)</f>
        <v>0</v>
      </c>
      <c r="E79" s="878">
        <f>(E73-E74-E78)</f>
        <v>0</v>
      </c>
      <c r="F79" s="878">
        <f>(F73-F74-F78)</f>
        <v>0</v>
      </c>
    </row>
    <row r="80" spans="1:6" x14ac:dyDescent="0.2">
      <c r="A80" s="874" t="s">
        <v>2858</v>
      </c>
      <c r="B80" s="874" t="s">
        <v>2859</v>
      </c>
      <c r="C80" s="875" t="s">
        <v>2038</v>
      </c>
      <c r="D80" s="875" t="s">
        <v>2038</v>
      </c>
      <c r="E80" s="875" t="s">
        <v>2038</v>
      </c>
      <c r="F80" s="875" t="s">
        <v>2038</v>
      </c>
    </row>
    <row r="81" spans="1:6" x14ac:dyDescent="0.2">
      <c r="A81" s="876" t="s">
        <v>2860</v>
      </c>
      <c r="B81" s="876" t="s">
        <v>2861</v>
      </c>
      <c r="C81" s="879"/>
      <c r="D81" s="879"/>
      <c r="E81" s="879"/>
      <c r="F81" s="879"/>
    </row>
    <row r="82" spans="1:6" x14ac:dyDescent="0.2">
      <c r="A82" s="876" t="s">
        <v>2862</v>
      </c>
      <c r="B82" s="876" t="s">
        <v>2863</v>
      </c>
      <c r="C82" s="879"/>
      <c r="D82" s="879"/>
      <c r="E82" s="879"/>
      <c r="F82" s="879"/>
    </row>
    <row r="83" spans="1:6" x14ac:dyDescent="0.2">
      <c r="A83" s="876" t="s">
        <v>2864</v>
      </c>
      <c r="B83" s="876" t="s">
        <v>2865</v>
      </c>
      <c r="C83" s="878">
        <f>(C81-C82)</f>
        <v>0</v>
      </c>
      <c r="D83" s="878">
        <f>(D81-D82)</f>
        <v>0</v>
      </c>
      <c r="E83" s="878">
        <f>(E81-E82)</f>
        <v>0</v>
      </c>
      <c r="F83" s="878">
        <f>(F81-F82)</f>
        <v>0</v>
      </c>
    </row>
    <row r="84" spans="1:6" x14ac:dyDescent="0.2">
      <c r="A84" s="874" t="s">
        <v>2710</v>
      </c>
      <c r="B84" s="874" t="s">
        <v>2866</v>
      </c>
      <c r="C84" s="878">
        <f>(C79-C83)</f>
        <v>0</v>
      </c>
      <c r="D84" s="878">
        <f>(D79-D83)</f>
        <v>0</v>
      </c>
      <c r="E84" s="878">
        <f>(E79-E83)</f>
        <v>0</v>
      </c>
      <c r="F84" s="878">
        <f>(F79-F83)</f>
        <v>0</v>
      </c>
    </row>
    <row r="85" spans="1:6" x14ac:dyDescent="0.2">
      <c r="A85" s="874" t="s">
        <v>2867</v>
      </c>
      <c r="B85" s="874" t="s">
        <v>2868</v>
      </c>
      <c r="C85" s="875" t="s">
        <v>2038</v>
      </c>
      <c r="D85" s="875" t="s">
        <v>2038</v>
      </c>
      <c r="E85" s="875" t="s">
        <v>2038</v>
      </c>
      <c r="F85" s="875" t="s">
        <v>2038</v>
      </c>
    </row>
    <row r="86" spans="1:6" x14ac:dyDescent="0.2">
      <c r="A86" s="876" t="s">
        <v>2869</v>
      </c>
      <c r="B86" s="876" t="s">
        <v>2870</v>
      </c>
      <c r="C86" s="879"/>
      <c r="D86" s="879"/>
      <c r="E86" s="879"/>
      <c r="F86" s="879"/>
    </row>
    <row r="87" spans="1:6" x14ac:dyDescent="0.2">
      <c r="A87" s="876" t="s">
        <v>2871</v>
      </c>
      <c r="B87" s="876" t="s">
        <v>2872</v>
      </c>
      <c r="C87" s="879"/>
      <c r="D87" s="879"/>
      <c r="E87" s="879"/>
      <c r="F87" s="879"/>
    </row>
    <row r="88" spans="1:6" x14ac:dyDescent="0.2">
      <c r="A88" s="874" t="s">
        <v>2873</v>
      </c>
      <c r="B88" s="874" t="s">
        <v>2874</v>
      </c>
      <c r="C88" s="879"/>
      <c r="D88" s="879"/>
      <c r="E88" s="879"/>
      <c r="F88" s="879"/>
    </row>
    <row r="89" spans="1:6" x14ac:dyDescent="0.2">
      <c r="A89" s="874" t="s">
        <v>2875</v>
      </c>
      <c r="B89" s="874" t="s">
        <v>2876</v>
      </c>
      <c r="C89" s="877">
        <f>Financials3!E22</f>
        <v>0</v>
      </c>
      <c r="D89" s="877">
        <f>Financials3!D22</f>
        <v>0</v>
      </c>
      <c r="E89" s="877">
        <f>Financials3!C22</f>
        <v>0</v>
      </c>
      <c r="F89" s="877">
        <f>Financials3!B22</f>
        <v>0</v>
      </c>
    </row>
    <row r="90" spans="1:6" x14ac:dyDescent="0.2">
      <c r="A90" s="874" t="s">
        <v>2877</v>
      </c>
      <c r="B90" s="874" t="s">
        <v>2878</v>
      </c>
      <c r="C90" s="877">
        <f>Financials3!E23</f>
        <v>0</v>
      </c>
      <c r="D90" s="877">
        <f>Financials3!D23</f>
        <v>0</v>
      </c>
      <c r="E90" s="877">
        <f>Financials3!C23</f>
        <v>0</v>
      </c>
      <c r="F90" s="877">
        <f>Financials3!B23</f>
        <v>0</v>
      </c>
    </row>
    <row r="91" spans="1:6" x14ac:dyDescent="0.2">
      <c r="A91" s="874" t="s">
        <v>2879</v>
      </c>
      <c r="B91" s="874" t="s">
        <v>2880</v>
      </c>
      <c r="C91" s="878">
        <f>(C84-C86-C88-C89-C90)</f>
        <v>0</v>
      </c>
      <c r="D91" s="878">
        <f>(D84-D86-D88-D89-D90)</f>
        <v>0</v>
      </c>
      <c r="E91" s="878">
        <f>(E84-E86-E88-E89-E90)</f>
        <v>0</v>
      </c>
      <c r="F91" s="878">
        <f>(F84-F86-F88-F89-F90)</f>
        <v>0</v>
      </c>
    </row>
    <row r="92" spans="1:6" x14ac:dyDescent="0.2">
      <c r="C92" s="868">
        <f>Financials3!E36</f>
        <v>0</v>
      </c>
      <c r="D92" s="868">
        <f>Financials3!D36</f>
        <v>0</v>
      </c>
      <c r="E92" s="885">
        <f>Financials3!C35</f>
        <v>0</v>
      </c>
      <c r="F92" s="868">
        <f>Financials3!B36</f>
        <v>0</v>
      </c>
    </row>
  </sheetData>
  <pageMargins left="0.7" right="0.7" top="0.75" bottom="0.75" header="0.3" footer="0.3"/>
  <pageSetup paperSize="9" orientation="portrait" r:id="rId1"/>
  <headerFooter>
    <oddFooter>&amp;C&amp;1#&amp;"Calibri"&amp;10&amp;K000000 For internal use only</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7"/>
  <dimension ref="A1:F131"/>
  <sheetViews>
    <sheetView workbookViewId="0">
      <selection activeCell="C15" sqref="A1:XFD1048576"/>
    </sheetView>
  </sheetViews>
  <sheetFormatPr defaultRowHeight="12.75" x14ac:dyDescent="0.2"/>
  <cols>
    <col min="1" max="1" width="10.85546875" style="868" bestFit="1" customWidth="1"/>
    <col min="2" max="2" width="59.5703125" style="868" bestFit="1"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Financials3!E7</f>
        <v>43190</v>
      </c>
      <c r="D1" s="872">
        <f>Financials3!D7</f>
        <v>43555</v>
      </c>
      <c r="E1" s="872">
        <f>Financials3!C7</f>
        <v>43921</v>
      </c>
      <c r="F1" s="872">
        <f>Financials3!B7</f>
        <v>44286</v>
      </c>
    </row>
    <row r="2" spans="1:6" x14ac:dyDescent="0.2">
      <c r="A2" s="871" t="s">
        <v>2038</v>
      </c>
      <c r="B2" s="871" t="s">
        <v>2708</v>
      </c>
      <c r="C2" s="873">
        <f>Financials3!E8</f>
        <v>0</v>
      </c>
      <c r="D2" s="873">
        <f>Financials3!D8</f>
        <v>0</v>
      </c>
      <c r="E2" s="873">
        <f>Financials3!C8</f>
        <v>0</v>
      </c>
      <c r="F2" s="873">
        <f>Financials3!B8</f>
        <v>0</v>
      </c>
    </row>
    <row r="3" spans="1:6" x14ac:dyDescent="0.2">
      <c r="A3" s="871" t="s">
        <v>2038</v>
      </c>
      <c r="B3" s="871" t="s">
        <v>2709</v>
      </c>
      <c r="C3" s="873">
        <v>12</v>
      </c>
      <c r="D3" s="873">
        <v>12</v>
      </c>
      <c r="E3" s="873">
        <v>12</v>
      </c>
      <c r="F3" s="873">
        <v>12</v>
      </c>
    </row>
    <row r="4" spans="1:6" x14ac:dyDescent="0.2">
      <c r="A4" s="874" t="s">
        <v>686</v>
      </c>
      <c r="B4" s="874" t="s">
        <v>2888</v>
      </c>
      <c r="C4" s="875" t="s">
        <v>2038</v>
      </c>
      <c r="D4" s="875" t="s">
        <v>2038</v>
      </c>
      <c r="E4" s="875" t="s">
        <v>2038</v>
      </c>
      <c r="F4" s="875" t="s">
        <v>2038</v>
      </c>
    </row>
    <row r="5" spans="1:6" x14ac:dyDescent="0.2">
      <c r="A5" s="876" t="s">
        <v>2712</v>
      </c>
      <c r="B5" s="876" t="s">
        <v>2889</v>
      </c>
      <c r="C5" s="875" t="s">
        <v>2038</v>
      </c>
      <c r="D5" s="875" t="s">
        <v>2038</v>
      </c>
      <c r="E5" s="875" t="s">
        <v>2038</v>
      </c>
      <c r="F5" s="875" t="s">
        <v>2038</v>
      </c>
    </row>
    <row r="6" spans="1:6" ht="22.5" x14ac:dyDescent="0.2">
      <c r="A6" s="880" t="s">
        <v>2890</v>
      </c>
      <c r="B6" s="880" t="s">
        <v>2891</v>
      </c>
      <c r="C6" s="875" t="s">
        <v>2038</v>
      </c>
      <c r="D6" s="875" t="s">
        <v>2038</v>
      </c>
      <c r="E6" s="875" t="s">
        <v>2038</v>
      </c>
      <c r="F6" s="875" t="s">
        <v>2038</v>
      </c>
    </row>
    <row r="7" spans="1:6" x14ac:dyDescent="0.2">
      <c r="A7" s="883" t="s">
        <v>2892</v>
      </c>
      <c r="B7" s="883" t="s">
        <v>2893</v>
      </c>
      <c r="C7" s="884">
        <f>Financials3!E66</f>
        <v>0</v>
      </c>
      <c r="D7" s="884">
        <f>Financials3!D66</f>
        <v>0</v>
      </c>
      <c r="E7" s="884">
        <f>Financials3!C66</f>
        <v>0</v>
      </c>
      <c r="F7" s="884">
        <f>Financials3!B66</f>
        <v>0</v>
      </c>
    </row>
    <row r="8" spans="1:6" x14ac:dyDescent="0.2">
      <c r="A8" s="883" t="s">
        <v>2894</v>
      </c>
      <c r="B8" s="883" t="s">
        <v>2895</v>
      </c>
      <c r="C8" s="879"/>
      <c r="D8" s="879"/>
      <c r="E8" s="879"/>
      <c r="F8" s="879"/>
    </row>
    <row r="9" spans="1:6" x14ac:dyDescent="0.2">
      <c r="A9" s="883" t="s">
        <v>2896</v>
      </c>
      <c r="B9" s="883" t="s">
        <v>2897</v>
      </c>
      <c r="C9" s="879"/>
      <c r="D9" s="879"/>
      <c r="E9" s="879"/>
      <c r="F9" s="879"/>
    </row>
    <row r="10" spans="1:6" x14ac:dyDescent="0.2">
      <c r="A10" s="883" t="s">
        <v>2898</v>
      </c>
      <c r="B10" s="883" t="s">
        <v>2759</v>
      </c>
      <c r="C10" s="878">
        <f>(C7+C8+C9)</f>
        <v>0</v>
      </c>
      <c r="D10" s="878">
        <f>(D7+D8+D9)</f>
        <v>0</v>
      </c>
      <c r="E10" s="878">
        <f>(E7+E8+E9)</f>
        <v>0</v>
      </c>
      <c r="F10" s="878">
        <f>(F7+F8+F9)</f>
        <v>0</v>
      </c>
    </row>
    <row r="11" spans="1:6" x14ac:dyDescent="0.2">
      <c r="A11" s="880" t="s">
        <v>2899</v>
      </c>
      <c r="B11" s="880" t="s">
        <v>2900</v>
      </c>
      <c r="C11" s="884">
        <f>Financials3!E65</f>
        <v>0</v>
      </c>
      <c r="D11" s="884">
        <f>Financials3!D65</f>
        <v>0</v>
      </c>
      <c r="E11" s="884">
        <f>Financials3!C65</f>
        <v>0</v>
      </c>
      <c r="F11" s="884">
        <f>Financials3!B65</f>
        <v>0</v>
      </c>
    </row>
    <row r="12" spans="1:6" x14ac:dyDescent="0.2">
      <c r="A12" s="880" t="s">
        <v>2901</v>
      </c>
      <c r="B12" s="880" t="s">
        <v>2902</v>
      </c>
      <c r="C12" s="879"/>
      <c r="D12" s="879"/>
      <c r="E12" s="879"/>
      <c r="F12" s="879"/>
    </row>
    <row r="13" spans="1:6" x14ac:dyDescent="0.2">
      <c r="A13" s="880" t="s">
        <v>2903</v>
      </c>
      <c r="B13" s="880" t="s">
        <v>2904</v>
      </c>
      <c r="C13" s="879"/>
      <c r="D13" s="879"/>
      <c r="E13" s="879"/>
      <c r="F13" s="879"/>
    </row>
    <row r="14" spans="1:6" x14ac:dyDescent="0.2">
      <c r="A14" s="880" t="s">
        <v>2905</v>
      </c>
      <c r="B14" s="880" t="s">
        <v>2906</v>
      </c>
      <c r="C14" s="879"/>
      <c r="D14" s="879"/>
      <c r="E14" s="879"/>
      <c r="F14" s="879"/>
    </row>
    <row r="15" spans="1:6" x14ac:dyDescent="0.2">
      <c r="A15" s="880" t="s">
        <v>2907</v>
      </c>
      <c r="B15" s="880" t="s">
        <v>2908</v>
      </c>
      <c r="C15" s="879"/>
      <c r="D15" s="879"/>
      <c r="E15" s="879"/>
      <c r="F15" s="879"/>
    </row>
    <row r="16" spans="1:6" x14ac:dyDescent="0.2">
      <c r="A16" s="880" t="s">
        <v>2909</v>
      </c>
      <c r="B16" s="880" t="s">
        <v>2910</v>
      </c>
      <c r="C16" s="879"/>
      <c r="D16" s="879"/>
      <c r="E16" s="879"/>
      <c r="F16" s="879"/>
    </row>
    <row r="17" spans="1:6" x14ac:dyDescent="0.2">
      <c r="A17" s="880" t="s">
        <v>2911</v>
      </c>
      <c r="B17" s="880" t="s">
        <v>2912</v>
      </c>
      <c r="C17" s="879"/>
      <c r="D17" s="879"/>
      <c r="E17" s="879"/>
      <c r="F17" s="879"/>
    </row>
    <row r="18" spans="1:6" x14ac:dyDescent="0.2">
      <c r="A18" s="880" t="s">
        <v>2913</v>
      </c>
      <c r="B18" s="880" t="s">
        <v>2914</v>
      </c>
      <c r="C18" s="879"/>
      <c r="D18" s="879"/>
      <c r="E18" s="879"/>
      <c r="F18" s="879"/>
    </row>
    <row r="19" spans="1:6" ht="22.5" x14ac:dyDescent="0.2">
      <c r="A19" s="880" t="s">
        <v>2915</v>
      </c>
      <c r="B19" s="880" t="s">
        <v>2916</v>
      </c>
      <c r="C19" s="879"/>
      <c r="D19" s="879"/>
      <c r="E19" s="879"/>
      <c r="F19" s="879"/>
    </row>
    <row r="20" spans="1:6" x14ac:dyDescent="0.2">
      <c r="A20" s="880" t="s">
        <v>2917</v>
      </c>
      <c r="B20" s="880" t="s">
        <v>2918</v>
      </c>
      <c r="C20" s="879"/>
      <c r="D20" s="879"/>
      <c r="E20" s="879"/>
      <c r="F20" s="879"/>
    </row>
    <row r="21" spans="1:6" x14ac:dyDescent="0.2">
      <c r="A21" s="880" t="s">
        <v>2919</v>
      </c>
      <c r="B21" s="880" t="s">
        <v>2920</v>
      </c>
      <c r="C21" s="879"/>
      <c r="D21" s="879"/>
      <c r="E21" s="879"/>
      <c r="F21" s="879"/>
    </row>
    <row r="22" spans="1:6" x14ac:dyDescent="0.2">
      <c r="A22" s="880" t="s">
        <v>2921</v>
      </c>
      <c r="B22" s="880" t="s">
        <v>2922</v>
      </c>
      <c r="C22" s="878">
        <f>(C19+C20+C21)</f>
        <v>0</v>
      </c>
      <c r="D22" s="878">
        <f>(D19+D20+D21)</f>
        <v>0</v>
      </c>
      <c r="E22" s="878">
        <f>(E19+E20+E21)</f>
        <v>0</v>
      </c>
      <c r="F22" s="878">
        <f>(F19+F20+F21)</f>
        <v>0</v>
      </c>
    </row>
    <row r="23" spans="1:6" x14ac:dyDescent="0.2">
      <c r="A23" s="880" t="s">
        <v>2923</v>
      </c>
      <c r="B23" s="880" t="s">
        <v>2924</v>
      </c>
      <c r="C23" s="884">
        <f>+Financials3!E67</f>
        <v>0</v>
      </c>
      <c r="D23" s="884">
        <f>+Financials3!D67</f>
        <v>0</v>
      </c>
      <c r="E23" s="884">
        <f>+Financials3!C67</f>
        <v>0</v>
      </c>
      <c r="F23" s="884">
        <f>+Financials3!B67</f>
        <v>0</v>
      </c>
    </row>
    <row r="24" spans="1:6" x14ac:dyDescent="0.2">
      <c r="A24" s="880" t="s">
        <v>2925</v>
      </c>
      <c r="B24" s="880" t="s">
        <v>2926</v>
      </c>
      <c r="C24" s="879"/>
      <c r="D24" s="879"/>
      <c r="E24" s="879"/>
      <c r="F24" s="879"/>
    </row>
    <row r="25" spans="1:6" x14ac:dyDescent="0.2">
      <c r="A25" s="880" t="s">
        <v>2927</v>
      </c>
      <c r="B25" s="880" t="s">
        <v>2928</v>
      </c>
      <c r="C25" s="879"/>
      <c r="D25" s="879"/>
      <c r="E25" s="879"/>
      <c r="F25" s="879"/>
    </row>
    <row r="26" spans="1:6" x14ac:dyDescent="0.2">
      <c r="A26" s="880" t="s">
        <v>2929</v>
      </c>
      <c r="B26" s="880" t="s">
        <v>2930</v>
      </c>
      <c r="C26" s="879"/>
      <c r="D26" s="879"/>
      <c r="E26" s="879"/>
      <c r="F26" s="879"/>
    </row>
    <row r="27" spans="1:6" x14ac:dyDescent="0.2">
      <c r="A27" s="880" t="s">
        <v>2931</v>
      </c>
      <c r="B27" s="880" t="s">
        <v>2932</v>
      </c>
      <c r="C27" s="879"/>
      <c r="D27" s="879"/>
      <c r="E27" s="879"/>
      <c r="F27" s="879"/>
    </row>
    <row r="28" spans="1:6" x14ac:dyDescent="0.2">
      <c r="A28" s="880" t="s">
        <v>2933</v>
      </c>
      <c r="B28" s="880" t="s">
        <v>2934</v>
      </c>
      <c r="C28" s="879"/>
      <c r="D28" s="879"/>
      <c r="E28" s="879"/>
      <c r="F28" s="879"/>
    </row>
    <row r="29" spans="1:6" x14ac:dyDescent="0.2">
      <c r="A29" s="880" t="s">
        <v>2935</v>
      </c>
      <c r="B29" s="880" t="s">
        <v>2759</v>
      </c>
      <c r="C29" s="878">
        <f>(C11+C12+C13+C14+C15+C16+C17+C18+C22+C23+C24+C25+C26+C27+C28)</f>
        <v>0</v>
      </c>
      <c r="D29" s="878">
        <f>(D11+D12+D13+D14+D15+D16+D17+D18+D22+D23+D24+D25+D26+D27+D28)</f>
        <v>0</v>
      </c>
      <c r="E29" s="878">
        <f>(E11+E12+E13+E14+E15+E16+E17+E18+E22+E23+E24+E25+E26+E27+E28)</f>
        <v>0</v>
      </c>
      <c r="F29" s="878">
        <f>(F11+F12+F13+F14+F15+F16+F17+F18+F22+F23+F24+F25+F26+F27+F28)</f>
        <v>0</v>
      </c>
    </row>
    <row r="30" spans="1:6" x14ac:dyDescent="0.2">
      <c r="A30" s="880" t="s">
        <v>2936</v>
      </c>
      <c r="B30" s="880" t="s">
        <v>2937</v>
      </c>
      <c r="C30" s="878">
        <f>(C10+C29)</f>
        <v>0</v>
      </c>
      <c r="D30" s="878">
        <f>(D10+D29)</f>
        <v>0</v>
      </c>
      <c r="E30" s="878">
        <f>(E10+E29)</f>
        <v>0</v>
      </c>
      <c r="F30" s="878">
        <f>(F10+F29)</f>
        <v>0</v>
      </c>
    </row>
    <row r="31" spans="1:6" x14ac:dyDescent="0.2">
      <c r="A31" s="876" t="s">
        <v>2714</v>
      </c>
      <c r="B31" s="876" t="s">
        <v>2938</v>
      </c>
      <c r="C31" s="875" t="s">
        <v>2038</v>
      </c>
      <c r="D31" s="875" t="s">
        <v>2038</v>
      </c>
      <c r="E31" s="875" t="s">
        <v>2038</v>
      </c>
      <c r="F31" s="875" t="s">
        <v>2038</v>
      </c>
    </row>
    <row r="32" spans="1:6" x14ac:dyDescent="0.2">
      <c r="A32" s="880" t="s">
        <v>2939</v>
      </c>
      <c r="B32" s="880" t="s">
        <v>2940</v>
      </c>
      <c r="C32" s="879"/>
      <c r="D32" s="879"/>
      <c r="E32" s="879"/>
      <c r="F32" s="879"/>
    </row>
    <row r="33" spans="1:6" x14ac:dyDescent="0.2">
      <c r="A33" s="880" t="s">
        <v>2941</v>
      </c>
      <c r="B33" s="880" t="s">
        <v>2942</v>
      </c>
      <c r="C33" s="879"/>
      <c r="D33" s="879"/>
      <c r="E33" s="879"/>
      <c r="F33" s="879"/>
    </row>
    <row r="34" spans="1:6" x14ac:dyDescent="0.2">
      <c r="A34" s="880" t="s">
        <v>2943</v>
      </c>
      <c r="B34" s="880" t="s">
        <v>2944</v>
      </c>
      <c r="C34" s="877">
        <f>+Financials3!E60</f>
        <v>0</v>
      </c>
      <c r="D34" s="877">
        <f>+Financials3!D60</f>
        <v>0</v>
      </c>
      <c r="E34" s="877">
        <f>+Financials3!C60</f>
        <v>0</v>
      </c>
      <c r="F34" s="877">
        <f>+Financials3!B60</f>
        <v>0</v>
      </c>
    </row>
    <row r="35" spans="1:6" x14ac:dyDescent="0.2">
      <c r="A35" s="880" t="s">
        <v>2945</v>
      </c>
      <c r="B35" s="880" t="s">
        <v>2946</v>
      </c>
      <c r="C35" s="884"/>
      <c r="D35" s="884"/>
      <c r="E35" s="884"/>
      <c r="F35" s="884"/>
    </row>
    <row r="36" spans="1:6" x14ac:dyDescent="0.2">
      <c r="A36" s="880" t="s">
        <v>2947</v>
      </c>
      <c r="B36" s="880" t="s">
        <v>2948</v>
      </c>
      <c r="C36" s="879"/>
      <c r="D36" s="879"/>
      <c r="E36" s="879"/>
      <c r="F36" s="879"/>
    </row>
    <row r="37" spans="1:6" x14ac:dyDescent="0.2">
      <c r="A37" s="880" t="s">
        <v>2949</v>
      </c>
      <c r="B37" s="880" t="s">
        <v>2950</v>
      </c>
      <c r="C37" s="879"/>
      <c r="D37" s="879"/>
      <c r="E37" s="879"/>
      <c r="F37" s="879"/>
    </row>
    <row r="38" spans="1:6" x14ac:dyDescent="0.2">
      <c r="A38" s="880" t="s">
        <v>2951</v>
      </c>
      <c r="B38" s="880" t="s">
        <v>2952</v>
      </c>
      <c r="C38" s="884">
        <f>+Financials3!E61</f>
        <v>0</v>
      </c>
      <c r="D38" s="884">
        <f>+Financials3!D61</f>
        <v>0</v>
      </c>
      <c r="E38" s="884">
        <f>+Financials3!C61</f>
        <v>0</v>
      </c>
      <c r="F38" s="884">
        <f>+Financials3!B61</f>
        <v>0</v>
      </c>
    </row>
    <row r="39" spans="1:6" x14ac:dyDescent="0.2">
      <c r="A39" s="880" t="s">
        <v>2953</v>
      </c>
      <c r="B39" s="880" t="s">
        <v>2954</v>
      </c>
      <c r="C39" s="884">
        <f>+Financials3!E57</f>
        <v>0</v>
      </c>
      <c r="D39" s="884">
        <f>+Financials3!D57</f>
        <v>0</v>
      </c>
      <c r="E39" s="884">
        <f>+Financials3!C57</f>
        <v>0</v>
      </c>
      <c r="F39" s="884">
        <f>+Financials3!B57</f>
        <v>0</v>
      </c>
    </row>
    <row r="40" spans="1:6" ht="22.5" x14ac:dyDescent="0.2">
      <c r="A40" s="880" t="s">
        <v>2955</v>
      </c>
      <c r="B40" s="880" t="s">
        <v>2956</v>
      </c>
      <c r="C40" s="879"/>
      <c r="D40" s="879"/>
      <c r="E40" s="879"/>
      <c r="F40" s="879"/>
    </row>
    <row r="41" spans="1:6" x14ac:dyDescent="0.2">
      <c r="A41" s="880" t="s">
        <v>2957</v>
      </c>
      <c r="B41" s="880" t="s">
        <v>2958</v>
      </c>
      <c r="C41" s="884">
        <f>+Financials3!E62</f>
        <v>0</v>
      </c>
      <c r="D41" s="884">
        <f>+Financials3!D62</f>
        <v>0</v>
      </c>
      <c r="E41" s="884">
        <f>+Financials3!C62</f>
        <v>0</v>
      </c>
      <c r="F41" s="884">
        <f>+Financials3!B62</f>
        <v>0</v>
      </c>
    </row>
    <row r="42" spans="1:6" x14ac:dyDescent="0.2">
      <c r="A42" s="880" t="s">
        <v>2959</v>
      </c>
      <c r="B42" s="880" t="s">
        <v>2960</v>
      </c>
      <c r="C42" s="877">
        <f>Financials3!E69</f>
        <v>0</v>
      </c>
      <c r="D42" s="877">
        <f>Financials3!D69</f>
        <v>0</v>
      </c>
      <c r="E42" s="877">
        <f>Financials3!C69</f>
        <v>0</v>
      </c>
      <c r="F42" s="877">
        <f>Financials3!B69</f>
        <v>0</v>
      </c>
    </row>
    <row r="43" spans="1:6" x14ac:dyDescent="0.2">
      <c r="A43" s="880" t="s">
        <v>2961</v>
      </c>
      <c r="B43" s="880" t="s">
        <v>2962</v>
      </c>
      <c r="C43" s="878">
        <f>(C32+C33+C34+C35+C36+C37+C38+C39+C40+C41+C42)</f>
        <v>0</v>
      </c>
      <c r="D43" s="878">
        <f>(D32+D33+D34+D35+D36+D37+D38+D39+D40+D41+D42)</f>
        <v>0</v>
      </c>
      <c r="E43" s="878">
        <f>(E32+E33+E34+E35+E36+E37+E38+E39+E40+E41+E42)</f>
        <v>0</v>
      </c>
      <c r="F43" s="878">
        <f>(F32+F33+F34+F35+F36+F37+F38+F39+F40+F41+F42)</f>
        <v>0</v>
      </c>
    </row>
    <row r="44" spans="1:6" x14ac:dyDescent="0.2">
      <c r="A44" s="876" t="s">
        <v>2716</v>
      </c>
      <c r="B44" s="876" t="s">
        <v>2963</v>
      </c>
      <c r="C44" s="878">
        <f>(C30+C43)</f>
        <v>0</v>
      </c>
      <c r="D44" s="878">
        <f>(D30+D43)</f>
        <v>0</v>
      </c>
      <c r="E44" s="878">
        <f>(E30+E43)</f>
        <v>0</v>
      </c>
      <c r="F44" s="878">
        <f>(F30+F43)</f>
        <v>0</v>
      </c>
    </row>
    <row r="45" spans="1:6" x14ac:dyDescent="0.2">
      <c r="A45" s="876" t="s">
        <v>2718</v>
      </c>
      <c r="B45" s="876" t="s">
        <v>2964</v>
      </c>
      <c r="C45" s="875" t="s">
        <v>2038</v>
      </c>
      <c r="D45" s="875" t="s">
        <v>2038</v>
      </c>
      <c r="E45" s="875" t="s">
        <v>2038</v>
      </c>
      <c r="F45" s="875" t="s">
        <v>2038</v>
      </c>
    </row>
    <row r="46" spans="1:6" x14ac:dyDescent="0.2">
      <c r="A46" s="880" t="s">
        <v>2965</v>
      </c>
      <c r="B46" s="880" t="s">
        <v>2966</v>
      </c>
      <c r="C46" s="879"/>
      <c r="D46" s="879"/>
      <c r="E46" s="879"/>
      <c r="F46" s="879"/>
    </row>
    <row r="47" spans="1:6" x14ac:dyDescent="0.2">
      <c r="A47" s="880" t="s">
        <v>2967</v>
      </c>
      <c r="B47" s="880" t="s">
        <v>2968</v>
      </c>
      <c r="C47" s="884">
        <f>Financials3!E55</f>
        <v>0</v>
      </c>
      <c r="D47" s="884">
        <f>Financials3!D55</f>
        <v>0</v>
      </c>
      <c r="E47" s="884">
        <f>Financials3!C55</f>
        <v>0</v>
      </c>
      <c r="F47" s="884">
        <f>Financials3!B55</f>
        <v>0</v>
      </c>
    </row>
    <row r="48" spans="1:6" x14ac:dyDescent="0.2">
      <c r="A48" s="880" t="s">
        <v>2969</v>
      </c>
      <c r="B48" s="880" t="s">
        <v>2970</v>
      </c>
      <c r="C48" s="879"/>
      <c r="D48" s="879"/>
      <c r="E48" s="879"/>
      <c r="F48" s="879"/>
    </row>
    <row r="49" spans="1:6" x14ac:dyDescent="0.2">
      <c r="A49" s="880" t="s">
        <v>2971</v>
      </c>
      <c r="B49" s="880" t="s">
        <v>2972</v>
      </c>
      <c r="C49" s="878">
        <f>(C46+C47+C48)</f>
        <v>0</v>
      </c>
      <c r="D49" s="878">
        <f>(D46+D47+D48)</f>
        <v>0</v>
      </c>
      <c r="E49" s="878">
        <f>(E46+E47+E48)</f>
        <v>0</v>
      </c>
      <c r="F49" s="878">
        <f>(F46+F47+F48)</f>
        <v>0</v>
      </c>
    </row>
    <row r="50" spans="1:6" x14ac:dyDescent="0.2">
      <c r="A50" s="880" t="s">
        <v>2973</v>
      </c>
      <c r="B50" s="880" t="s">
        <v>2974</v>
      </c>
      <c r="C50" s="875" t="s">
        <v>2038</v>
      </c>
      <c r="D50" s="875" t="s">
        <v>2038</v>
      </c>
      <c r="E50" s="875" t="s">
        <v>2038</v>
      </c>
      <c r="F50" s="875" t="s">
        <v>2038</v>
      </c>
    </row>
    <row r="51" spans="1:6" x14ac:dyDescent="0.2">
      <c r="A51" s="883" t="s">
        <v>2975</v>
      </c>
      <c r="B51" s="883" t="s">
        <v>2976</v>
      </c>
      <c r="C51" s="879"/>
      <c r="D51" s="879"/>
      <c r="E51" s="879"/>
      <c r="F51" s="879"/>
    </row>
    <row r="52" spans="1:6" x14ac:dyDescent="0.2">
      <c r="A52" s="883" t="s">
        <v>2977</v>
      </c>
      <c r="B52" s="883" t="s">
        <v>2978</v>
      </c>
      <c r="C52" s="879"/>
      <c r="D52" s="879"/>
      <c r="E52" s="879"/>
      <c r="F52" s="879"/>
    </row>
    <row r="53" spans="1:6" x14ac:dyDescent="0.2">
      <c r="A53" s="883" t="s">
        <v>2979</v>
      </c>
      <c r="B53" s="883" t="s">
        <v>2980</v>
      </c>
      <c r="C53" s="879"/>
      <c r="D53" s="879"/>
      <c r="E53" s="879"/>
      <c r="F53" s="879"/>
    </row>
    <row r="54" spans="1:6" x14ac:dyDescent="0.2">
      <c r="A54" s="883" t="s">
        <v>2981</v>
      </c>
      <c r="B54" s="883" t="s">
        <v>2759</v>
      </c>
      <c r="C54" s="878">
        <f>(C51+C52+C53)</f>
        <v>0</v>
      </c>
      <c r="D54" s="878">
        <f>(D51+D52+D53)</f>
        <v>0</v>
      </c>
      <c r="E54" s="878">
        <f>(E51+E52+E53)</f>
        <v>0</v>
      </c>
      <c r="F54" s="878">
        <f>(F51+F52+F53)</f>
        <v>0</v>
      </c>
    </row>
    <row r="55" spans="1:6" x14ac:dyDescent="0.2">
      <c r="A55" s="880" t="s">
        <v>2982</v>
      </c>
      <c r="B55" s="880" t="s">
        <v>2983</v>
      </c>
      <c r="C55" s="879"/>
      <c r="D55" s="879"/>
      <c r="E55" s="879"/>
      <c r="F55" s="879"/>
    </row>
    <row r="56" spans="1:6" x14ac:dyDescent="0.2">
      <c r="A56" s="880" t="s">
        <v>2984</v>
      </c>
      <c r="B56" s="880" t="s">
        <v>2985</v>
      </c>
      <c r="C56" s="884">
        <f>Financials3!E56</f>
        <v>0</v>
      </c>
      <c r="D56" s="884">
        <f>Financials3!D56</f>
        <v>0</v>
      </c>
      <c r="E56" s="884">
        <f>Financials3!C56</f>
        <v>0</v>
      </c>
      <c r="F56" s="884">
        <f>Financials3!B56</f>
        <v>0</v>
      </c>
    </row>
    <row r="57" spans="1:6" x14ac:dyDescent="0.2">
      <c r="A57" s="880" t="s">
        <v>2986</v>
      </c>
      <c r="B57" s="880" t="s">
        <v>2987</v>
      </c>
      <c r="C57" s="879"/>
      <c r="D57" s="879"/>
      <c r="E57" s="879"/>
      <c r="F57" s="879"/>
    </row>
    <row r="58" spans="1:6" x14ac:dyDescent="0.2">
      <c r="A58" s="880" t="s">
        <v>2988</v>
      </c>
      <c r="B58" s="880" t="s">
        <v>2989</v>
      </c>
      <c r="C58" s="879"/>
      <c r="D58" s="879"/>
      <c r="E58" s="879"/>
      <c r="F58" s="879"/>
    </row>
    <row r="59" spans="1:6" x14ac:dyDescent="0.2">
      <c r="A59" s="880" t="s">
        <v>2990</v>
      </c>
      <c r="B59" s="880" t="s">
        <v>2991</v>
      </c>
      <c r="C59" s="879"/>
      <c r="D59" s="879"/>
      <c r="E59" s="879"/>
      <c r="F59" s="879"/>
    </row>
    <row r="60" spans="1:6" x14ac:dyDescent="0.2">
      <c r="A60" s="880" t="s">
        <v>2992</v>
      </c>
      <c r="B60" s="880" t="s">
        <v>2993</v>
      </c>
      <c r="C60" s="878">
        <f>(C49+C54+C55+C56+C57+C58+C59)-C53</f>
        <v>0</v>
      </c>
      <c r="D60" s="878">
        <f>(D49+D54+D55+D56+D57+D58+D59)-D53</f>
        <v>0</v>
      </c>
      <c r="E60" s="878">
        <f>(E49+E54+E55+E56+E57+E58+E59)-E53</f>
        <v>0</v>
      </c>
      <c r="F60" s="878">
        <f>(F49+F54+F55+F56+F57+F58+F59)-F53</f>
        <v>0</v>
      </c>
    </row>
    <row r="61" spans="1:6" x14ac:dyDescent="0.2">
      <c r="A61" s="876" t="s">
        <v>2720</v>
      </c>
      <c r="B61" s="876" t="s">
        <v>2994</v>
      </c>
      <c r="C61" s="878">
        <f>(C30+C43+C60)</f>
        <v>0</v>
      </c>
      <c r="D61" s="878">
        <f>(D30+D43+D60)</f>
        <v>0</v>
      </c>
      <c r="E61" s="878">
        <f>(E30+E43+E60)</f>
        <v>0</v>
      </c>
      <c r="F61" s="878">
        <f>(F30+F43+F60)</f>
        <v>0</v>
      </c>
    </row>
    <row r="62" spans="1:6" x14ac:dyDescent="0.2">
      <c r="A62" s="876" t="s">
        <v>2722</v>
      </c>
      <c r="B62" s="876" t="s">
        <v>2995</v>
      </c>
      <c r="C62" s="875" t="s">
        <v>2038</v>
      </c>
      <c r="D62" s="875" t="s">
        <v>2038</v>
      </c>
      <c r="E62" s="875" t="s">
        <v>2038</v>
      </c>
      <c r="F62" s="875" t="s">
        <v>2038</v>
      </c>
    </row>
    <row r="63" spans="1:6" x14ac:dyDescent="0.2">
      <c r="A63" s="880" t="s">
        <v>2996</v>
      </c>
      <c r="B63" s="880" t="s">
        <v>2997</v>
      </c>
      <c r="C63" s="879"/>
      <c r="D63" s="879"/>
      <c r="E63" s="879"/>
      <c r="F63" s="879"/>
    </row>
    <row r="64" spans="1:6" x14ac:dyDescent="0.2">
      <c r="A64" s="880" t="s">
        <v>2998</v>
      </c>
      <c r="B64" s="880" t="s">
        <v>2999</v>
      </c>
      <c r="C64" s="879"/>
      <c r="D64" s="879"/>
      <c r="E64" s="879"/>
      <c r="F64" s="879"/>
    </row>
    <row r="65" spans="1:6" x14ac:dyDescent="0.2">
      <c r="A65" s="880" t="s">
        <v>3000</v>
      </c>
      <c r="B65" s="880" t="s">
        <v>3001</v>
      </c>
      <c r="C65" s="879"/>
      <c r="D65" s="879"/>
      <c r="E65" s="879"/>
      <c r="F65" s="879"/>
    </row>
    <row r="66" spans="1:6" x14ac:dyDescent="0.2">
      <c r="A66" s="880" t="s">
        <v>3002</v>
      </c>
      <c r="B66" s="880" t="s">
        <v>3003</v>
      </c>
      <c r="C66" s="879"/>
      <c r="D66" s="879"/>
      <c r="E66" s="879"/>
      <c r="F66" s="879"/>
    </row>
    <row r="67" spans="1:6" x14ac:dyDescent="0.2">
      <c r="A67" s="880" t="s">
        <v>3004</v>
      </c>
      <c r="B67" s="880" t="s">
        <v>3005</v>
      </c>
      <c r="C67" s="879"/>
      <c r="D67" s="879"/>
      <c r="E67" s="879"/>
      <c r="F67" s="879"/>
    </row>
    <row r="68" spans="1:6" x14ac:dyDescent="0.2">
      <c r="A68" s="880" t="s">
        <v>3006</v>
      </c>
      <c r="B68" s="880" t="s">
        <v>3007</v>
      </c>
      <c r="C68" s="879"/>
      <c r="D68" s="879"/>
      <c r="E68" s="879"/>
      <c r="F68" s="879"/>
    </row>
    <row r="69" spans="1:6" ht="22.5" x14ac:dyDescent="0.2">
      <c r="A69" s="880" t="s">
        <v>3008</v>
      </c>
      <c r="B69" s="880" t="s">
        <v>3009</v>
      </c>
      <c r="C69" s="877">
        <f>Financials3!E71</f>
        <v>0</v>
      </c>
      <c r="D69" s="877">
        <f>Financials3!D71</f>
        <v>0</v>
      </c>
      <c r="E69" s="877">
        <f>Financials3!C71</f>
        <v>0</v>
      </c>
      <c r="F69" s="877">
        <f>Financials3!B71</f>
        <v>0</v>
      </c>
    </row>
    <row r="70" spans="1:6" x14ac:dyDescent="0.2">
      <c r="A70" s="874" t="s">
        <v>2732</v>
      </c>
      <c r="B70" s="874" t="s">
        <v>3010</v>
      </c>
      <c r="C70" s="875" t="s">
        <v>2038</v>
      </c>
      <c r="D70" s="875" t="s">
        <v>2038</v>
      </c>
      <c r="E70" s="875" t="s">
        <v>2038</v>
      </c>
      <c r="F70" s="875" t="s">
        <v>2038</v>
      </c>
    </row>
    <row r="71" spans="1:6" x14ac:dyDescent="0.2">
      <c r="A71" s="876" t="s">
        <v>2734</v>
      </c>
      <c r="B71" s="876" t="s">
        <v>3011</v>
      </c>
      <c r="C71" s="875" t="s">
        <v>2038</v>
      </c>
      <c r="D71" s="875" t="s">
        <v>2038</v>
      </c>
      <c r="E71" s="875" t="s">
        <v>2038</v>
      </c>
      <c r="F71" s="875" t="s">
        <v>2038</v>
      </c>
    </row>
    <row r="72" spans="1:6" x14ac:dyDescent="0.2">
      <c r="A72" s="880" t="s">
        <v>2736</v>
      </c>
      <c r="B72" s="880" t="s">
        <v>3012</v>
      </c>
      <c r="C72" s="884">
        <f>Financials3!E47</f>
        <v>0</v>
      </c>
      <c r="D72" s="884">
        <f>Financials3!D47</f>
        <v>0</v>
      </c>
      <c r="E72" s="884">
        <f>Financials3!C47</f>
        <v>0</v>
      </c>
      <c r="F72" s="884">
        <f>Financials3!B47</f>
        <v>0</v>
      </c>
    </row>
    <row r="73" spans="1:6" x14ac:dyDescent="0.2">
      <c r="A73" s="876" t="s">
        <v>2740</v>
      </c>
      <c r="B73" s="876" t="s">
        <v>3013</v>
      </c>
      <c r="C73" s="875" t="s">
        <v>2038</v>
      </c>
      <c r="D73" s="875" t="s">
        <v>2038</v>
      </c>
      <c r="E73" s="875" t="s">
        <v>2038</v>
      </c>
      <c r="F73" s="875" t="s">
        <v>2038</v>
      </c>
    </row>
    <row r="74" spans="1:6" x14ac:dyDescent="0.2">
      <c r="A74" s="880" t="s">
        <v>2742</v>
      </c>
      <c r="B74" s="880" t="s">
        <v>3014</v>
      </c>
      <c r="C74" s="879"/>
      <c r="D74" s="879"/>
      <c r="E74" s="879"/>
      <c r="F74" s="879"/>
    </row>
    <row r="75" spans="1:6" x14ac:dyDescent="0.2">
      <c r="A75" s="880" t="s">
        <v>2743</v>
      </c>
      <c r="B75" s="880" t="s">
        <v>3015</v>
      </c>
      <c r="C75" s="879"/>
      <c r="D75" s="879"/>
      <c r="E75" s="879"/>
      <c r="F75" s="879"/>
    </row>
    <row r="76" spans="1:6" x14ac:dyDescent="0.2">
      <c r="A76" s="880" t="s">
        <v>3016</v>
      </c>
      <c r="B76" s="880" t="s">
        <v>3017</v>
      </c>
      <c r="C76" s="879"/>
      <c r="D76" s="879"/>
      <c r="E76" s="879"/>
      <c r="F76" s="879"/>
    </row>
    <row r="77" spans="1:6" x14ac:dyDescent="0.2">
      <c r="A77" s="876" t="s">
        <v>2744</v>
      </c>
      <c r="B77" s="876" t="s">
        <v>3018</v>
      </c>
      <c r="C77" s="875" t="s">
        <v>2038</v>
      </c>
      <c r="D77" s="875" t="s">
        <v>2038</v>
      </c>
      <c r="E77" s="875" t="s">
        <v>2038</v>
      </c>
      <c r="F77" s="875" t="s">
        <v>2038</v>
      </c>
    </row>
    <row r="78" spans="1:6" ht="22.5" x14ac:dyDescent="0.2">
      <c r="A78" s="880" t="s">
        <v>3019</v>
      </c>
      <c r="B78" s="880" t="s">
        <v>3020</v>
      </c>
      <c r="C78" s="884">
        <f>Financials3!E46</f>
        <v>0</v>
      </c>
      <c r="D78" s="884">
        <f>Financials3!D46</f>
        <v>0</v>
      </c>
      <c r="E78" s="884">
        <f>Financials3!C46</f>
        <v>0</v>
      </c>
      <c r="F78" s="884">
        <f>Financials3!B46</f>
        <v>0</v>
      </c>
    </row>
    <row r="79" spans="1:6" x14ac:dyDescent="0.2">
      <c r="A79" s="880" t="s">
        <v>3021</v>
      </c>
      <c r="B79" s="880" t="s">
        <v>3022</v>
      </c>
      <c r="C79" s="879"/>
      <c r="D79" s="879"/>
      <c r="E79" s="879"/>
      <c r="F79" s="879"/>
    </row>
    <row r="80" spans="1:6" x14ac:dyDescent="0.2">
      <c r="A80" s="880" t="s">
        <v>3023</v>
      </c>
      <c r="B80" s="880" t="s">
        <v>3024</v>
      </c>
      <c r="C80" s="879"/>
      <c r="D80" s="879"/>
      <c r="E80" s="879"/>
      <c r="F80" s="879"/>
    </row>
    <row r="81" spans="1:6" x14ac:dyDescent="0.2">
      <c r="A81" s="876" t="s">
        <v>2746</v>
      </c>
      <c r="B81" s="876" t="s">
        <v>3025</v>
      </c>
      <c r="C81" s="875" t="s">
        <v>2038</v>
      </c>
      <c r="D81" s="875" t="s">
        <v>2038</v>
      </c>
      <c r="E81" s="875" t="s">
        <v>2038</v>
      </c>
      <c r="F81" s="875" t="s">
        <v>2038</v>
      </c>
    </row>
    <row r="82" spans="1:6" x14ac:dyDescent="0.2">
      <c r="A82" s="880" t="s">
        <v>3026</v>
      </c>
      <c r="B82" s="880" t="s">
        <v>3027</v>
      </c>
      <c r="C82" s="884">
        <f>Financials3!E44</f>
        <v>0</v>
      </c>
      <c r="D82" s="884">
        <f>Financials3!D44</f>
        <v>0</v>
      </c>
      <c r="E82" s="884">
        <f>Financials3!C44</f>
        <v>0</v>
      </c>
      <c r="F82" s="884">
        <f>Financials3!B44</f>
        <v>0</v>
      </c>
    </row>
    <row r="83" spans="1:6" x14ac:dyDescent="0.2">
      <c r="A83" s="880" t="s">
        <v>3028</v>
      </c>
      <c r="B83" s="880" t="s">
        <v>3029</v>
      </c>
      <c r="C83" s="879"/>
      <c r="D83" s="879"/>
      <c r="E83" s="879"/>
      <c r="F83" s="879"/>
    </row>
    <row r="84" spans="1:6" x14ac:dyDescent="0.2">
      <c r="A84" s="880" t="s">
        <v>3030</v>
      </c>
      <c r="B84" s="880" t="s">
        <v>3031</v>
      </c>
      <c r="C84" s="879"/>
      <c r="D84" s="879"/>
      <c r="E84" s="879"/>
      <c r="F84" s="879"/>
    </row>
    <row r="85" spans="1:6" x14ac:dyDescent="0.2">
      <c r="A85" s="880" t="s">
        <v>3032</v>
      </c>
      <c r="B85" s="880" t="s">
        <v>3033</v>
      </c>
      <c r="C85" s="879"/>
      <c r="D85" s="879"/>
      <c r="E85" s="879"/>
      <c r="F85" s="879"/>
    </row>
    <row r="86" spans="1:6" x14ac:dyDescent="0.2">
      <c r="A86" s="880" t="s">
        <v>3034</v>
      </c>
      <c r="B86" s="880" t="s">
        <v>3035</v>
      </c>
      <c r="C86" s="879"/>
      <c r="D86" s="879"/>
      <c r="E86" s="879"/>
      <c r="F86" s="879"/>
    </row>
    <row r="87" spans="1:6" x14ac:dyDescent="0.2">
      <c r="A87" s="880" t="s">
        <v>3036</v>
      </c>
      <c r="B87" s="880" t="s">
        <v>3037</v>
      </c>
      <c r="C87" s="879"/>
      <c r="D87" s="879"/>
      <c r="E87" s="879"/>
      <c r="F87" s="879"/>
    </row>
    <row r="88" spans="1:6" x14ac:dyDescent="0.2">
      <c r="A88" s="880" t="s">
        <v>3038</v>
      </c>
      <c r="B88" s="880" t="s">
        <v>3039</v>
      </c>
      <c r="C88" s="878">
        <f>(C86+C87)</f>
        <v>0</v>
      </c>
      <c r="D88" s="878">
        <f>(D86+D87)</f>
        <v>0</v>
      </c>
      <c r="E88" s="878">
        <f>(E86+E87)</f>
        <v>0</v>
      </c>
      <c r="F88" s="878">
        <f>(F86+F87)</f>
        <v>0</v>
      </c>
    </row>
    <row r="89" spans="1:6" x14ac:dyDescent="0.2">
      <c r="A89" s="880" t="s">
        <v>3040</v>
      </c>
      <c r="B89" s="880" t="s">
        <v>3041</v>
      </c>
      <c r="C89" s="879"/>
      <c r="D89" s="879"/>
      <c r="E89" s="879"/>
      <c r="F89" s="879"/>
    </row>
    <row r="90" spans="1:6" x14ac:dyDescent="0.2">
      <c r="A90" s="880" t="s">
        <v>3042</v>
      </c>
      <c r="B90" s="880" t="s">
        <v>3043</v>
      </c>
      <c r="C90" s="878">
        <f>(C82+C83+C84+C85+C88+C89)</f>
        <v>0</v>
      </c>
      <c r="D90" s="878">
        <f>(D82+D83+D84+D85+D88+D89)</f>
        <v>0</v>
      </c>
      <c r="E90" s="878">
        <f>(E82+E83+E84+E85+E88+E89)</f>
        <v>0</v>
      </c>
      <c r="F90" s="878">
        <f>(F82+F83+F84+F85+F88+F89)</f>
        <v>0</v>
      </c>
    </row>
    <row r="91" spans="1:6" x14ac:dyDescent="0.2">
      <c r="A91" s="880" t="s">
        <v>3044</v>
      </c>
      <c r="B91" s="880" t="s">
        <v>3045</v>
      </c>
      <c r="C91" s="879"/>
      <c r="D91" s="879"/>
      <c r="E91" s="879"/>
      <c r="F91" s="879"/>
    </row>
    <row r="92" spans="1:6" x14ac:dyDescent="0.2">
      <c r="A92" s="880" t="s">
        <v>3046</v>
      </c>
      <c r="B92" s="880" t="s">
        <v>3047</v>
      </c>
      <c r="C92" s="879"/>
      <c r="D92" s="879"/>
      <c r="E92" s="879"/>
      <c r="F92" s="879"/>
    </row>
    <row r="93" spans="1:6" x14ac:dyDescent="0.2">
      <c r="A93" s="876" t="s">
        <v>2748</v>
      </c>
      <c r="B93" s="876" t="s">
        <v>3048</v>
      </c>
      <c r="C93" s="875" t="s">
        <v>2038</v>
      </c>
      <c r="D93" s="875" t="s">
        <v>2038</v>
      </c>
      <c r="E93" s="875" t="s">
        <v>2038</v>
      </c>
      <c r="F93" s="875" t="s">
        <v>2038</v>
      </c>
    </row>
    <row r="94" spans="1:6" x14ac:dyDescent="0.2">
      <c r="A94" s="880" t="s">
        <v>3049</v>
      </c>
      <c r="B94" s="880" t="s">
        <v>3050</v>
      </c>
      <c r="C94" s="879"/>
      <c r="D94" s="879"/>
      <c r="E94" s="879"/>
      <c r="F94" s="879"/>
    </row>
    <row r="95" spans="1:6" x14ac:dyDescent="0.2">
      <c r="A95" s="880" t="s">
        <v>3051</v>
      </c>
      <c r="B95" s="880" t="s">
        <v>3052</v>
      </c>
      <c r="C95" s="879"/>
      <c r="D95" s="879"/>
      <c r="E95" s="879"/>
      <c r="F95" s="879"/>
    </row>
    <row r="96" spans="1:6" x14ac:dyDescent="0.2">
      <c r="A96" s="880" t="s">
        <v>3053</v>
      </c>
      <c r="B96" s="880" t="s">
        <v>3054</v>
      </c>
      <c r="C96" s="879"/>
      <c r="D96" s="879"/>
      <c r="E96" s="879"/>
      <c r="F96" s="879"/>
    </row>
    <row r="97" spans="1:6" x14ac:dyDescent="0.2">
      <c r="A97" s="880" t="s">
        <v>3055</v>
      </c>
      <c r="B97" s="880" t="s">
        <v>3056</v>
      </c>
      <c r="C97" s="879"/>
      <c r="D97" s="879"/>
      <c r="E97" s="879"/>
      <c r="F97" s="879"/>
    </row>
    <row r="98" spans="1:6" x14ac:dyDescent="0.2">
      <c r="A98" s="880" t="s">
        <v>3057</v>
      </c>
      <c r="B98" s="880" t="s">
        <v>3058</v>
      </c>
      <c r="C98" s="884">
        <f>Financials3!E48</f>
        <v>0</v>
      </c>
      <c r="D98" s="884">
        <f>Financials3!D48</f>
        <v>0</v>
      </c>
      <c r="E98" s="884">
        <f>Financials3!C48</f>
        <v>0</v>
      </c>
      <c r="F98" s="884">
        <f>Financials3!B48</f>
        <v>0</v>
      </c>
    </row>
    <row r="99" spans="1:6" x14ac:dyDescent="0.2">
      <c r="A99" s="876" t="s">
        <v>2750</v>
      </c>
      <c r="B99" s="876" t="s">
        <v>3059</v>
      </c>
      <c r="C99" s="878">
        <f>(C72+C74+C75+C76+C78+C79+C80+C82+C83+C84+C85+C88+C89+C91+C92+C94+C95+C96+C97+C98)</f>
        <v>0</v>
      </c>
      <c r="D99" s="878">
        <f>(D72+D74+D75+D76+D78+D79+D80+D82+D83+D84+D85+D88+D89+D91+D92+D94+D95+D96+D97+D98)</f>
        <v>0</v>
      </c>
      <c r="E99" s="878">
        <f>(E72+E74+E75+E76+E78+E79+E80+E82+E83+E84+E85+E88+E89+E91+E92+E94+E95+E96+E97+E98)</f>
        <v>0</v>
      </c>
      <c r="F99" s="878">
        <f>(F72+F74+F75+F76+F78+F79+F80+F82+F83+F84+F85+F88+F89+F91+F92+F94+F95+F96+F97+F98)</f>
        <v>0</v>
      </c>
    </row>
    <row r="100" spans="1:6" x14ac:dyDescent="0.2">
      <c r="A100" s="876" t="s">
        <v>2752</v>
      </c>
      <c r="B100" s="876" t="s">
        <v>3060</v>
      </c>
      <c r="C100" s="875" t="s">
        <v>2038</v>
      </c>
      <c r="D100" s="875" t="s">
        <v>2038</v>
      </c>
      <c r="E100" s="875" t="s">
        <v>2038</v>
      </c>
      <c r="F100" s="875" t="s">
        <v>2038</v>
      </c>
    </row>
    <row r="101" spans="1:6" x14ac:dyDescent="0.2">
      <c r="A101" s="880" t="s">
        <v>3061</v>
      </c>
      <c r="B101" s="880" t="s">
        <v>3062</v>
      </c>
      <c r="C101" s="879"/>
      <c r="D101" s="879"/>
      <c r="E101" s="879"/>
      <c r="F101" s="879"/>
    </row>
    <row r="102" spans="1:6" x14ac:dyDescent="0.2">
      <c r="A102" s="880" t="s">
        <v>3063</v>
      </c>
      <c r="B102" s="880" t="s">
        <v>3064</v>
      </c>
      <c r="C102" s="879"/>
      <c r="D102" s="879"/>
      <c r="E102" s="879"/>
      <c r="F102" s="879"/>
    </row>
    <row r="103" spans="1:6" x14ac:dyDescent="0.2">
      <c r="A103" s="880" t="s">
        <v>3065</v>
      </c>
      <c r="B103" s="880" t="s">
        <v>3066</v>
      </c>
      <c r="C103" s="879"/>
      <c r="D103" s="879"/>
      <c r="E103" s="879"/>
      <c r="F103" s="879"/>
    </row>
    <row r="104" spans="1:6" x14ac:dyDescent="0.2">
      <c r="A104" s="880" t="s">
        <v>3067</v>
      </c>
      <c r="B104" s="880" t="s">
        <v>3068</v>
      </c>
      <c r="C104" s="879"/>
      <c r="D104" s="879"/>
      <c r="E104" s="879"/>
      <c r="F104" s="879"/>
    </row>
    <row r="105" spans="1:6" x14ac:dyDescent="0.2">
      <c r="A105" s="880" t="s">
        <v>3069</v>
      </c>
      <c r="B105" s="880" t="s">
        <v>3070</v>
      </c>
      <c r="C105" s="879"/>
      <c r="D105" s="879"/>
      <c r="E105" s="879"/>
      <c r="F105" s="879"/>
    </row>
    <row r="106" spans="1:6" x14ac:dyDescent="0.2">
      <c r="A106" s="880" t="s">
        <v>3071</v>
      </c>
      <c r="B106" s="880" t="s">
        <v>3072</v>
      </c>
      <c r="C106" s="884">
        <f>Financials3!E41</f>
        <v>0</v>
      </c>
      <c r="D106" s="884">
        <f>Financials3!D41</f>
        <v>0</v>
      </c>
      <c r="E106" s="884">
        <f>Financials3!C41</f>
        <v>0</v>
      </c>
      <c r="F106" s="884">
        <f>Financials3!B41</f>
        <v>0</v>
      </c>
    </row>
    <row r="107" spans="1:6" x14ac:dyDescent="0.2">
      <c r="A107" s="880" t="s">
        <v>3073</v>
      </c>
      <c r="B107" s="880" t="s">
        <v>3074</v>
      </c>
      <c r="C107" s="879"/>
      <c r="D107" s="879"/>
      <c r="E107" s="879"/>
      <c r="F107" s="879"/>
    </row>
    <row r="108" spans="1:6" x14ac:dyDescent="0.2">
      <c r="A108" s="880" t="s">
        <v>3075</v>
      </c>
      <c r="B108" s="880" t="s">
        <v>3076</v>
      </c>
      <c r="C108" s="878">
        <f>(C101+C102+C103+C104+C105+C106+C107)</f>
        <v>0</v>
      </c>
      <c r="D108" s="878">
        <f>(D101+D102+D103+D104+D105+D106+D107)</f>
        <v>0</v>
      </c>
      <c r="E108" s="878">
        <f>(E101+E102+E103+E104+E105+E106+E107)</f>
        <v>0</v>
      </c>
      <c r="F108" s="878">
        <f>(F101+F102+F103+F104+F105+F106+F107)</f>
        <v>0</v>
      </c>
    </row>
    <row r="109" spans="1:6" x14ac:dyDescent="0.2">
      <c r="A109" s="880" t="s">
        <v>3077</v>
      </c>
      <c r="B109" s="880" t="s">
        <v>3078</v>
      </c>
      <c r="C109" s="879"/>
      <c r="D109" s="879"/>
      <c r="E109" s="879"/>
      <c r="F109" s="879"/>
    </row>
    <row r="110" spans="1:6" x14ac:dyDescent="0.2">
      <c r="A110" s="880" t="s">
        <v>3079</v>
      </c>
      <c r="B110" s="880" t="s">
        <v>3080</v>
      </c>
      <c r="C110" s="878">
        <f>(C108-C109-C53)</f>
        <v>0</v>
      </c>
      <c r="D110" s="878">
        <f>(D108-D109-D53)</f>
        <v>0</v>
      </c>
      <c r="E110" s="878">
        <f>(E108-E109-E53)</f>
        <v>0</v>
      </c>
      <c r="F110" s="878">
        <f>(F108-F109-F53)</f>
        <v>0</v>
      </c>
    </row>
    <row r="111" spans="1:6" x14ac:dyDescent="0.2">
      <c r="A111" s="876" t="s">
        <v>2754</v>
      </c>
      <c r="B111" s="876" t="s">
        <v>3081</v>
      </c>
      <c r="C111" s="875" t="s">
        <v>2038</v>
      </c>
      <c r="D111" s="875" t="s">
        <v>2038</v>
      </c>
      <c r="E111" s="875" t="s">
        <v>2038</v>
      </c>
      <c r="F111" s="875" t="s">
        <v>2038</v>
      </c>
    </row>
    <row r="112" spans="1:6" x14ac:dyDescent="0.2">
      <c r="A112" s="880" t="s">
        <v>3082</v>
      </c>
      <c r="B112" s="880" t="s">
        <v>3083</v>
      </c>
      <c r="C112" s="879"/>
      <c r="D112" s="879"/>
      <c r="E112" s="879"/>
      <c r="F112" s="879"/>
    </row>
    <row r="113" spans="1:6" x14ac:dyDescent="0.2">
      <c r="A113" s="880" t="s">
        <v>3084</v>
      </c>
      <c r="B113" s="880" t="s">
        <v>3085</v>
      </c>
      <c r="C113" s="884">
        <f>Financials3!E42</f>
        <v>0</v>
      </c>
      <c r="D113" s="884">
        <f>Financials3!D42</f>
        <v>0</v>
      </c>
      <c r="E113" s="884">
        <f>Financials3!C42</f>
        <v>0</v>
      </c>
      <c r="F113" s="884">
        <f>Financials3!B42</f>
        <v>0</v>
      </c>
    </row>
    <row r="114" spans="1:6" x14ac:dyDescent="0.2">
      <c r="A114" s="880" t="s">
        <v>3086</v>
      </c>
      <c r="B114" s="880" t="s">
        <v>3087</v>
      </c>
      <c r="C114" s="877">
        <f>+Financials3!E58</f>
        <v>0</v>
      </c>
      <c r="D114" s="877">
        <f>+Financials3!D58</f>
        <v>0</v>
      </c>
      <c r="E114" s="877">
        <f>+Financials3!C58</f>
        <v>0</v>
      </c>
      <c r="F114" s="877">
        <f>+Financials3!B58</f>
        <v>0</v>
      </c>
    </row>
    <row r="115" spans="1:6" x14ac:dyDescent="0.2">
      <c r="A115" s="880" t="s">
        <v>3088</v>
      </c>
      <c r="B115" s="880" t="s">
        <v>3089</v>
      </c>
      <c r="C115" s="879"/>
      <c r="D115" s="879"/>
      <c r="E115" s="879"/>
      <c r="F115" s="879"/>
    </row>
    <row r="116" spans="1:6" x14ac:dyDescent="0.2">
      <c r="A116" s="880" t="s">
        <v>3090</v>
      </c>
      <c r="B116" s="880" t="s">
        <v>3091</v>
      </c>
      <c r="C116" s="879"/>
      <c r="D116" s="879"/>
      <c r="E116" s="879"/>
      <c r="F116" s="879"/>
    </row>
    <row r="117" spans="1:6" x14ac:dyDescent="0.2">
      <c r="A117" s="880" t="s">
        <v>3092</v>
      </c>
      <c r="B117" s="880" t="s">
        <v>3093</v>
      </c>
      <c r="C117" s="877">
        <f>Financials3!E45</f>
        <v>0</v>
      </c>
      <c r="D117" s="877">
        <f>Financials3!D45</f>
        <v>0</v>
      </c>
      <c r="E117" s="877">
        <f>Financials3!C45</f>
        <v>0</v>
      </c>
      <c r="F117" s="877">
        <f>Financials3!B45</f>
        <v>0</v>
      </c>
    </row>
    <row r="118" spans="1:6" x14ac:dyDescent="0.2">
      <c r="A118" s="880" t="s">
        <v>3094</v>
      </c>
      <c r="B118" s="880" t="s">
        <v>3095</v>
      </c>
      <c r="C118" s="879"/>
      <c r="D118" s="879"/>
      <c r="E118" s="879"/>
      <c r="F118" s="879"/>
    </row>
    <row r="119" spans="1:6" x14ac:dyDescent="0.2">
      <c r="A119" s="880" t="s">
        <v>3096</v>
      </c>
      <c r="B119" s="880" t="s">
        <v>3097</v>
      </c>
      <c r="C119" s="879"/>
      <c r="D119" s="879"/>
      <c r="E119" s="879"/>
      <c r="F119" s="879"/>
    </row>
    <row r="120" spans="1:6" ht="33.75" x14ac:dyDescent="0.2">
      <c r="A120" s="880" t="s">
        <v>3098</v>
      </c>
      <c r="B120" s="880" t="s">
        <v>3099</v>
      </c>
      <c r="C120" s="884">
        <f>Financials3!E50</f>
        <v>0</v>
      </c>
      <c r="D120" s="884">
        <f>Financials3!D50</f>
        <v>0</v>
      </c>
      <c r="E120" s="884">
        <f>Financials3!C50</f>
        <v>0</v>
      </c>
      <c r="F120" s="884">
        <f>Financials3!B50</f>
        <v>0</v>
      </c>
    </row>
    <row r="121" spans="1:6" x14ac:dyDescent="0.2">
      <c r="A121" s="880" t="s">
        <v>3100</v>
      </c>
      <c r="B121" s="880" t="s">
        <v>3101</v>
      </c>
      <c r="C121" s="879"/>
      <c r="D121" s="879"/>
      <c r="E121" s="879"/>
      <c r="F121" s="879"/>
    </row>
    <row r="122" spans="1:6" x14ac:dyDescent="0.2">
      <c r="A122" s="880" t="s">
        <v>3102</v>
      </c>
      <c r="B122" s="880" t="s">
        <v>3103</v>
      </c>
      <c r="C122" s="879"/>
      <c r="D122" s="879"/>
      <c r="E122" s="879"/>
      <c r="F122" s="879"/>
    </row>
    <row r="123" spans="1:6" x14ac:dyDescent="0.2">
      <c r="A123" s="880" t="s">
        <v>3104</v>
      </c>
      <c r="B123" s="880" t="s">
        <v>3105</v>
      </c>
      <c r="C123" s="877">
        <f>Financials3!E51</f>
        <v>0</v>
      </c>
      <c r="D123" s="877">
        <f>Financials3!D51</f>
        <v>0</v>
      </c>
      <c r="E123" s="877">
        <f>Financials3!C51</f>
        <v>0</v>
      </c>
      <c r="F123" s="877">
        <f>Financials3!B51</f>
        <v>0</v>
      </c>
    </row>
    <row r="124" spans="1:6" x14ac:dyDescent="0.2">
      <c r="A124" s="880" t="s">
        <v>3106</v>
      </c>
      <c r="B124" s="880" t="s">
        <v>3107</v>
      </c>
      <c r="C124" s="878">
        <f>(C112+C113+C114+C115+C116+C117+C118+C119+C120+C121+C122+C123)</f>
        <v>0</v>
      </c>
      <c r="D124" s="878">
        <f>(D112+D113+D114+D115+D116+D117+D118+D119+D120+D121+D122+D123)</f>
        <v>0</v>
      </c>
      <c r="E124" s="878">
        <f>(E112+E113+E114+E115+E116+E117+E118+E119+E120+E121+E122+E123)</f>
        <v>0</v>
      </c>
      <c r="F124" s="878">
        <f>(F112+F113+F114+F115+F116+F117+F118+F119+F120+F121+F122+F123)</f>
        <v>0</v>
      </c>
    </row>
    <row r="125" spans="1:6" ht="22.5" x14ac:dyDescent="0.2">
      <c r="A125" s="876" t="s">
        <v>2756</v>
      </c>
      <c r="B125" s="876" t="s">
        <v>3108</v>
      </c>
      <c r="C125" s="875" t="s">
        <v>2038</v>
      </c>
      <c r="D125" s="875" t="s">
        <v>2038</v>
      </c>
      <c r="E125" s="875" t="s">
        <v>2038</v>
      </c>
      <c r="F125" s="875" t="s">
        <v>2038</v>
      </c>
    </row>
    <row r="126" spans="1:6" ht="22.5" x14ac:dyDescent="0.2">
      <c r="A126" s="880" t="s">
        <v>3109</v>
      </c>
      <c r="B126" s="880" t="s">
        <v>3110</v>
      </c>
      <c r="C126" s="879"/>
      <c r="D126" s="879"/>
      <c r="E126" s="879"/>
      <c r="F126" s="879"/>
    </row>
    <row r="127" spans="1:6" x14ac:dyDescent="0.2">
      <c r="A127" s="880" t="s">
        <v>3111</v>
      </c>
      <c r="B127" s="880" t="s">
        <v>3112</v>
      </c>
      <c r="C127" s="879"/>
      <c r="D127" s="879"/>
      <c r="E127" s="879"/>
      <c r="F127" s="879"/>
    </row>
    <row r="128" spans="1:6" x14ac:dyDescent="0.2">
      <c r="A128" s="880" t="s">
        <v>3113</v>
      </c>
      <c r="B128" s="880" t="s">
        <v>2759</v>
      </c>
      <c r="C128" s="878">
        <f>(C126+C127)</f>
        <v>0</v>
      </c>
      <c r="D128" s="878">
        <f>(D126+D127)</f>
        <v>0</v>
      </c>
      <c r="E128" s="878">
        <f>(E126+E127)</f>
        <v>0</v>
      </c>
      <c r="F128" s="878">
        <f>(F126+F127)</f>
        <v>0</v>
      </c>
    </row>
    <row r="129" spans="1:6" x14ac:dyDescent="0.2">
      <c r="A129" s="876" t="s">
        <v>2758</v>
      </c>
      <c r="B129" s="876" t="s">
        <v>3114</v>
      </c>
      <c r="C129" s="878">
        <f>(C99+C110+C124+C128)</f>
        <v>0</v>
      </c>
      <c r="D129" s="878">
        <f>(D99+D110+D124+D128)</f>
        <v>0</v>
      </c>
      <c r="E129" s="878">
        <f>(E99+E110+E124+E128)</f>
        <v>0</v>
      </c>
      <c r="F129" s="878">
        <f>(F99+F110+F124+F128)</f>
        <v>0</v>
      </c>
    </row>
    <row r="130" spans="1:6" x14ac:dyDescent="0.2">
      <c r="A130" s="876" t="s">
        <v>2760</v>
      </c>
      <c r="B130" s="876" t="s">
        <v>3115</v>
      </c>
      <c r="C130" s="878">
        <f>(C60-C53-C128)</f>
        <v>0</v>
      </c>
      <c r="D130" s="878">
        <f>(D60-D53-D128)</f>
        <v>0</v>
      </c>
      <c r="E130" s="878">
        <f>(E60-E53-E128)</f>
        <v>0</v>
      </c>
      <c r="F130" s="878">
        <f>(F60-F53-F128)</f>
        <v>0</v>
      </c>
    </row>
    <row r="131" spans="1:6" x14ac:dyDescent="0.2">
      <c r="A131" s="876" t="s">
        <v>2762</v>
      </c>
      <c r="B131" s="876" t="s">
        <v>3116</v>
      </c>
      <c r="C131" s="878">
        <f>(C61-C129)</f>
        <v>0</v>
      </c>
      <c r="D131" s="878">
        <f>(D61-D129)</f>
        <v>0</v>
      </c>
      <c r="E131" s="878">
        <f>(E61-E129)</f>
        <v>0</v>
      </c>
      <c r="F131" s="878">
        <f>(F61-F129)</f>
        <v>0</v>
      </c>
    </row>
  </sheetData>
  <pageMargins left="0.7" right="0.7" top="0.75" bottom="0.75" header="0.3" footer="0.3"/>
  <pageSetup paperSize="9" orientation="portrait" r:id="rId1"/>
  <headerFooter>
    <oddFooter>&amp;C&amp;1#&amp;"Calibri"&amp;10&amp;K000000 For internal use only</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O105"/>
  <sheetViews>
    <sheetView zoomScale="75" zoomScaleNormal="75" workbookViewId="0">
      <selection activeCell="R1" sqref="R1:R1048576"/>
    </sheetView>
  </sheetViews>
  <sheetFormatPr defaultColWidth="0" defaultRowHeight="15" zeroHeight="1" x14ac:dyDescent="0.2"/>
  <cols>
    <col min="1" max="1" width="53.140625" style="50" customWidth="1"/>
    <col min="2" max="3" width="20.28515625" style="50" customWidth="1"/>
    <col min="4" max="4" width="20.5703125" style="50" customWidth="1"/>
    <col min="5" max="5" width="21.140625" style="50" customWidth="1"/>
    <col min="6" max="8" width="18.28515625" style="50" customWidth="1"/>
    <col min="9" max="9" width="38.42578125" style="50" customWidth="1"/>
    <col min="10" max="10" width="16.140625" style="1435" hidden="1" customWidth="1"/>
    <col min="11" max="12" width="9.140625" style="114" customWidth="1"/>
    <col min="13" max="13" width="25.140625" style="114" customWidth="1"/>
    <col min="14" max="14" width="9.140625" style="114" customWidth="1"/>
    <col min="15" max="15" width="0" style="48" hidden="1" customWidth="1"/>
    <col min="16" max="16384" width="9.140625" style="48" hidden="1"/>
  </cols>
  <sheetData>
    <row r="1" spans="1:15" ht="14.25" customHeight="1" x14ac:dyDescent="0.2">
      <c r="A1" s="2095" t="str">
        <f>'Borrower Details'!A2</f>
        <v>Mortgage-Magnus-Unsecured</v>
      </c>
      <c r="B1" s="2096"/>
      <c r="C1" s="2096"/>
      <c r="D1" s="2096"/>
      <c r="E1" s="2096"/>
      <c r="F1" s="933"/>
      <c r="G1" s="933"/>
      <c r="H1" s="933"/>
      <c r="I1" s="934"/>
      <c r="K1" s="2119" t="s">
        <v>186</v>
      </c>
      <c r="L1" s="2101"/>
      <c r="M1" s="2101"/>
      <c r="N1" s="941"/>
      <c r="O1" s="964"/>
    </row>
    <row r="2" spans="1:15" ht="18" x14ac:dyDescent="0.2">
      <c r="A2" s="2097"/>
      <c r="B2" s="2098"/>
      <c r="C2" s="2098"/>
      <c r="D2" s="2098"/>
      <c r="E2" s="2098"/>
      <c r="F2" s="935"/>
      <c r="G2" s="935"/>
      <c r="H2" s="935"/>
      <c r="I2" s="936" t="s">
        <v>3</v>
      </c>
      <c r="K2" s="2119"/>
      <c r="L2" s="2101"/>
      <c r="M2" s="2101"/>
      <c r="N2" s="941"/>
      <c r="O2" s="964"/>
    </row>
    <row r="3" spans="1:15" ht="14.25" customHeight="1" x14ac:dyDescent="0.2">
      <c r="A3" s="2099"/>
      <c r="B3" s="2100"/>
      <c r="C3" s="2100"/>
      <c r="D3" s="2100"/>
      <c r="E3" s="2100"/>
      <c r="F3" s="935"/>
      <c r="G3" s="935"/>
      <c r="H3" s="935"/>
      <c r="I3" s="937"/>
      <c r="K3" s="2119"/>
      <c r="L3" s="2101"/>
      <c r="M3" s="2101"/>
      <c r="N3" s="941"/>
      <c r="O3" s="964"/>
    </row>
    <row r="4" spans="1:15" s="47" customFormat="1" ht="15.75" x14ac:dyDescent="0.2">
      <c r="A4" s="19" t="s">
        <v>3229</v>
      </c>
      <c r="B4" s="2110"/>
      <c r="C4" s="2111"/>
      <c r="D4" s="2111"/>
      <c r="E4" s="2111"/>
      <c r="F4" s="940" t="s">
        <v>3231</v>
      </c>
      <c r="G4" s="1505"/>
      <c r="H4" s="940" t="s">
        <v>1804</v>
      </c>
      <c r="I4" s="1379"/>
      <c r="J4" s="1435"/>
      <c r="K4" s="941"/>
      <c r="L4" s="941"/>
      <c r="M4" s="941"/>
      <c r="N4" s="941"/>
      <c r="O4" s="6"/>
    </row>
    <row r="5" spans="1:15" ht="24.95" customHeight="1" x14ac:dyDescent="0.2">
      <c r="A5" s="2102" t="s">
        <v>58</v>
      </c>
      <c r="B5" s="2103"/>
      <c r="C5" s="2103"/>
      <c r="D5" s="2103"/>
      <c r="E5" s="2104"/>
      <c r="F5" s="2104"/>
      <c r="G5" s="2104"/>
      <c r="H5" s="2105"/>
      <c r="I5" s="2106"/>
      <c r="K5" s="965"/>
      <c r="L5" s="965"/>
      <c r="M5" s="965"/>
      <c r="N5" s="965"/>
      <c r="O5" s="964"/>
    </row>
    <row r="6" spans="1:15" s="113" customFormat="1" ht="24.95" customHeight="1" x14ac:dyDescent="0.2">
      <c r="A6" s="942" t="s">
        <v>3233</v>
      </c>
      <c r="B6" s="1380" t="s">
        <v>3234</v>
      </c>
      <c r="C6" s="1380" t="s">
        <v>3235</v>
      </c>
      <c r="D6" s="1381" t="s">
        <v>3236</v>
      </c>
      <c r="E6" s="1381" t="s">
        <v>3237</v>
      </c>
      <c r="F6" s="1382"/>
      <c r="G6" s="1382"/>
      <c r="H6" s="1382"/>
      <c r="I6" s="78"/>
      <c r="J6" s="1435" t="s">
        <v>3305</v>
      </c>
      <c r="K6" s="941"/>
      <c r="L6" s="941"/>
      <c r="M6" s="941"/>
    </row>
    <row r="7" spans="1:15" ht="36" customHeight="1" x14ac:dyDescent="0.2">
      <c r="A7" s="942" t="s">
        <v>3238</v>
      </c>
      <c r="B7" s="1383">
        <f>Financials1!B7</f>
        <v>44286</v>
      </c>
      <c r="C7" s="1383">
        <f>Financials1!C7</f>
        <v>43921</v>
      </c>
      <c r="D7" s="1383">
        <f>EDATE(C7,-12)</f>
        <v>43555</v>
      </c>
      <c r="E7" s="1383">
        <f t="shared" ref="E7" si="0">EDATE(D7,-12)</f>
        <v>43190</v>
      </c>
      <c r="F7" s="1376" t="str">
        <f>YEAR(B7) &amp; " to " &amp; YEAR(C7)</f>
        <v>2021 to 2020</v>
      </c>
      <c r="G7" s="1376" t="str">
        <f xml:space="preserve"> YEAR(C7) &amp; " to " &amp; YEAR(D7)</f>
        <v>2020 to 2019</v>
      </c>
      <c r="H7" s="1376" t="str">
        <f>YEAR(D7) &amp; " to " &amp; YEAR(E7)</f>
        <v>2019 to 2018</v>
      </c>
      <c r="I7" s="78" t="s">
        <v>296</v>
      </c>
      <c r="J7" s="1435" t="s">
        <v>3306</v>
      </c>
      <c r="K7" s="965"/>
      <c r="L7" s="965"/>
      <c r="M7" s="965"/>
      <c r="N7" s="965"/>
      <c r="O7" s="964"/>
    </row>
    <row r="8" spans="1:15" ht="15.75" x14ac:dyDescent="0.2">
      <c r="A8" s="942" t="s">
        <v>1802</v>
      </c>
      <c r="B8" s="386"/>
      <c r="C8" s="386"/>
      <c r="D8" s="386"/>
      <c r="E8" s="386"/>
      <c r="F8" s="1377" t="s">
        <v>3230</v>
      </c>
      <c r="G8" s="1377" t="s">
        <v>3230</v>
      </c>
      <c r="H8" s="1377" t="s">
        <v>3230</v>
      </c>
      <c r="I8" s="78"/>
      <c r="J8" s="1435" t="s">
        <v>3307</v>
      </c>
      <c r="K8" s="965"/>
      <c r="L8" s="965"/>
      <c r="M8" s="965"/>
      <c r="N8" s="965"/>
      <c r="O8" s="964"/>
    </row>
    <row r="9" spans="1:15" ht="16.5" thickBot="1" x14ac:dyDescent="0.25">
      <c r="A9" s="943" t="s">
        <v>1803</v>
      </c>
      <c r="B9" s="387"/>
      <c r="C9" s="387"/>
      <c r="D9" s="387"/>
      <c r="E9" s="387"/>
      <c r="F9" s="1377"/>
      <c r="G9" s="1377"/>
      <c r="H9" s="1377"/>
      <c r="I9" s="251"/>
      <c r="J9" s="1435" t="s">
        <v>3308</v>
      </c>
      <c r="K9" s="965"/>
      <c r="L9" s="965"/>
      <c r="M9" s="965"/>
      <c r="N9" s="965"/>
      <c r="O9" s="964"/>
    </row>
    <row r="10" spans="1:15" ht="16.5" thickBot="1" x14ac:dyDescent="0.25">
      <c r="A10" s="2107" t="s">
        <v>69</v>
      </c>
      <c r="B10" s="2108"/>
      <c r="C10" s="2108"/>
      <c r="D10" s="2108"/>
      <c r="E10" s="2108"/>
      <c r="F10" s="2108"/>
      <c r="G10" s="2108"/>
      <c r="H10" s="2108"/>
      <c r="I10" s="2109"/>
      <c r="K10" s="965"/>
      <c r="L10" s="965"/>
      <c r="M10" s="965"/>
      <c r="N10" s="965"/>
      <c r="O10" s="964"/>
    </row>
    <row r="11" spans="1:15" s="113" customFormat="1" x14ac:dyDescent="0.2">
      <c r="A11" s="944" t="s">
        <v>4</v>
      </c>
      <c r="B11" s="963">
        <f>SUM(B12:B13)</f>
        <v>0</v>
      </c>
      <c r="C11" s="963">
        <f>SUM(C12:C13)</f>
        <v>0</v>
      </c>
      <c r="D11" s="963">
        <f t="shared" ref="D11:E11" si="1">SUM(D12:D13)</f>
        <v>0</v>
      </c>
      <c r="E11" s="963">
        <f t="shared" si="1"/>
        <v>0</v>
      </c>
      <c r="F11" s="178">
        <f t="shared" ref="F11:G35" si="2">IF(ISERROR((B11-C11)/C11),0,(B11-C11)/C11)</f>
        <v>0</v>
      </c>
      <c r="G11" s="178">
        <f t="shared" si="2"/>
        <v>0</v>
      </c>
      <c r="H11" s="178">
        <f t="shared" ref="H11:H35" si="3">IF(ISERROR((D11-E11)/E11),0,(D11-E11)/E11)</f>
        <v>0</v>
      </c>
      <c r="I11" s="2088" t="s">
        <v>499</v>
      </c>
      <c r="J11" s="1435" t="s">
        <v>3309</v>
      </c>
      <c r="K11" s="945"/>
      <c r="L11" s="945"/>
      <c r="M11" s="946"/>
      <c r="N11" s="941"/>
      <c r="O11" s="941"/>
    </row>
    <row r="12" spans="1:15" s="365" customFormat="1" ht="12.75" x14ac:dyDescent="0.2">
      <c r="A12" s="947" t="s">
        <v>1749</v>
      </c>
      <c r="B12" s="363"/>
      <c r="C12" s="363"/>
      <c r="D12" s="363"/>
      <c r="E12" s="363"/>
      <c r="F12" s="364">
        <f t="shared" si="2"/>
        <v>0</v>
      </c>
      <c r="G12" s="364">
        <f t="shared" si="2"/>
        <v>0</v>
      </c>
      <c r="H12" s="364">
        <f t="shared" si="3"/>
        <v>0</v>
      </c>
      <c r="I12" s="2088"/>
      <c r="J12" s="1436" t="s">
        <v>3310</v>
      </c>
      <c r="K12" s="948"/>
      <c r="L12" s="948"/>
      <c r="M12" s="949"/>
      <c r="N12" s="966"/>
      <c r="O12" s="966"/>
    </row>
    <row r="13" spans="1:15" s="365" customFormat="1" ht="12.75" x14ac:dyDescent="0.2">
      <c r="A13" s="947" t="s">
        <v>1752</v>
      </c>
      <c r="B13" s="363"/>
      <c r="C13" s="363"/>
      <c r="D13" s="363"/>
      <c r="E13" s="363"/>
      <c r="F13" s="364">
        <f t="shared" si="2"/>
        <v>0</v>
      </c>
      <c r="G13" s="364">
        <f t="shared" si="2"/>
        <v>0</v>
      </c>
      <c r="H13" s="364">
        <f t="shared" si="3"/>
        <v>0</v>
      </c>
      <c r="I13" s="2088"/>
      <c r="J13" s="1436" t="s">
        <v>3311</v>
      </c>
      <c r="K13" s="948"/>
      <c r="L13" s="948"/>
      <c r="M13" s="949"/>
      <c r="N13" s="966"/>
      <c r="O13" s="966"/>
    </row>
    <row r="14" spans="1:15" x14ac:dyDescent="0.2">
      <c r="A14" s="944" t="s">
        <v>480</v>
      </c>
      <c r="B14" s="3"/>
      <c r="C14" s="3"/>
      <c r="D14" s="3"/>
      <c r="E14" s="3"/>
      <c r="F14" s="49">
        <f t="shared" si="2"/>
        <v>0</v>
      </c>
      <c r="G14" s="49">
        <f t="shared" si="2"/>
        <v>0</v>
      </c>
      <c r="H14" s="49">
        <f t="shared" si="3"/>
        <v>0</v>
      </c>
      <c r="I14" s="2088"/>
      <c r="J14" s="1435" t="s">
        <v>3312</v>
      </c>
      <c r="K14" s="948"/>
      <c r="L14" s="948"/>
      <c r="M14" s="949"/>
      <c r="N14" s="965"/>
      <c r="O14" s="964"/>
    </row>
    <row r="15" spans="1:15" x14ac:dyDescent="0.2">
      <c r="A15" s="950" t="s">
        <v>481</v>
      </c>
      <c r="B15" s="1"/>
      <c r="C15" s="1"/>
      <c r="D15" s="1"/>
      <c r="E15" s="1"/>
      <c r="F15" s="49">
        <f t="shared" si="2"/>
        <v>0</v>
      </c>
      <c r="G15" s="49">
        <f t="shared" si="2"/>
        <v>0</v>
      </c>
      <c r="H15" s="49">
        <f t="shared" si="3"/>
        <v>0</v>
      </c>
      <c r="I15" s="2088"/>
      <c r="J15" s="1435" t="s">
        <v>3313</v>
      </c>
      <c r="K15" s="949"/>
      <c r="L15" s="949"/>
      <c r="M15" s="949"/>
      <c r="N15" s="965"/>
      <c r="O15" s="964"/>
    </row>
    <row r="16" spans="1:15" ht="15.75" x14ac:dyDescent="0.2">
      <c r="A16" s="952" t="s">
        <v>6</v>
      </c>
      <c r="B16" s="2">
        <f>B15+B11</f>
        <v>0</v>
      </c>
      <c r="C16" s="2">
        <f>C15+C11</f>
        <v>0</v>
      </c>
      <c r="D16" s="2">
        <f>D15+D11</f>
        <v>0</v>
      </c>
      <c r="E16" s="2">
        <f>E15+E11</f>
        <v>0</v>
      </c>
      <c r="F16" s="49">
        <f t="shared" si="2"/>
        <v>0</v>
      </c>
      <c r="G16" s="49">
        <f t="shared" si="2"/>
        <v>0</v>
      </c>
      <c r="H16" s="49">
        <f t="shared" si="3"/>
        <v>0</v>
      </c>
      <c r="I16" s="2088"/>
      <c r="J16" s="1435" t="s">
        <v>3314</v>
      </c>
      <c r="K16" s="949"/>
      <c r="L16" s="949"/>
      <c r="M16" s="949"/>
      <c r="N16" s="965"/>
      <c r="O16" s="964"/>
    </row>
    <row r="17" spans="1:15" x14ac:dyDescent="0.2">
      <c r="A17" s="950" t="s">
        <v>27</v>
      </c>
      <c r="B17" s="1"/>
      <c r="C17" s="1"/>
      <c r="D17" s="1"/>
      <c r="E17" s="1"/>
      <c r="F17" s="49">
        <f t="shared" si="2"/>
        <v>0</v>
      </c>
      <c r="G17" s="49">
        <f t="shared" si="2"/>
        <v>0</v>
      </c>
      <c r="H17" s="49">
        <f t="shared" si="3"/>
        <v>0</v>
      </c>
      <c r="I17" s="2088"/>
      <c r="J17" s="1435" t="s">
        <v>3315</v>
      </c>
      <c r="K17" s="949"/>
      <c r="L17" s="949"/>
      <c r="M17" s="949"/>
      <c r="N17" s="965"/>
      <c r="O17" s="964"/>
    </row>
    <row r="18" spans="1:15" x14ac:dyDescent="0.2">
      <c r="A18" s="950" t="s">
        <v>2019</v>
      </c>
      <c r="B18" s="1"/>
      <c r="C18" s="1"/>
      <c r="D18" s="1"/>
      <c r="E18" s="1"/>
      <c r="F18" s="49">
        <f t="shared" si="2"/>
        <v>0</v>
      </c>
      <c r="G18" s="49">
        <f t="shared" si="2"/>
        <v>0</v>
      </c>
      <c r="H18" s="49">
        <f t="shared" si="3"/>
        <v>0</v>
      </c>
      <c r="I18" s="2088"/>
      <c r="J18" s="1435" t="s">
        <v>3316</v>
      </c>
      <c r="K18" s="949"/>
      <c r="L18" s="949"/>
      <c r="M18" s="949"/>
      <c r="N18" s="965"/>
      <c r="O18" s="964"/>
    </row>
    <row r="19" spans="1:15" s="113" customFormat="1" x14ac:dyDescent="0.2">
      <c r="A19" s="950" t="s">
        <v>1761</v>
      </c>
      <c r="B19" s="1"/>
      <c r="C19" s="1"/>
      <c r="D19" s="1"/>
      <c r="E19" s="1"/>
      <c r="F19" s="49">
        <f t="shared" si="2"/>
        <v>0</v>
      </c>
      <c r="G19" s="49">
        <f t="shared" si="2"/>
        <v>0</v>
      </c>
      <c r="H19" s="49">
        <f t="shared" si="3"/>
        <v>0</v>
      </c>
      <c r="I19" s="2088"/>
      <c r="J19" s="1435" t="s">
        <v>3317</v>
      </c>
      <c r="K19" s="946"/>
      <c r="L19" s="946"/>
      <c r="M19" s="946"/>
      <c r="N19" s="941"/>
      <c r="O19" s="941"/>
    </row>
    <row r="20" spans="1:15" ht="15.75" x14ac:dyDescent="0.2">
      <c r="A20" s="952" t="s">
        <v>28</v>
      </c>
      <c r="B20" s="2">
        <f>B11-(B17+B18)</f>
        <v>0</v>
      </c>
      <c r="C20" s="2">
        <f>C11-(C17+C18)</f>
        <v>0</v>
      </c>
      <c r="D20" s="2">
        <f t="shared" ref="D20:E20" si="4">D11-(D17+D18)</f>
        <v>0</v>
      </c>
      <c r="E20" s="2">
        <f t="shared" si="4"/>
        <v>0</v>
      </c>
      <c r="F20" s="49">
        <f t="shared" si="2"/>
        <v>0</v>
      </c>
      <c r="G20" s="49">
        <f t="shared" si="2"/>
        <v>0</v>
      </c>
      <c r="H20" s="49">
        <f t="shared" si="3"/>
        <v>0</v>
      </c>
      <c r="I20" s="2088"/>
      <c r="J20" s="1435" t="s">
        <v>3318</v>
      </c>
      <c r="K20" s="949"/>
      <c r="L20" s="949"/>
      <c r="M20" s="949"/>
      <c r="N20" s="965"/>
      <c r="O20" s="964"/>
    </row>
    <row r="21" spans="1:15" ht="15.75" x14ac:dyDescent="0.2">
      <c r="A21" s="952" t="s">
        <v>30</v>
      </c>
      <c r="B21" s="17" t="e">
        <f>B20/B11</f>
        <v>#DIV/0!</v>
      </c>
      <c r="C21" s="17" t="e">
        <f>C20/C11</f>
        <v>#DIV/0!</v>
      </c>
      <c r="D21" s="17" t="e">
        <f>D20/D11</f>
        <v>#DIV/0!</v>
      </c>
      <c r="E21" s="17" t="e">
        <f>E20/E11</f>
        <v>#DIV/0!</v>
      </c>
      <c r="F21" s="49">
        <f t="shared" si="2"/>
        <v>0</v>
      </c>
      <c r="G21" s="49">
        <f t="shared" si="2"/>
        <v>0</v>
      </c>
      <c r="H21" s="49">
        <f t="shared" si="3"/>
        <v>0</v>
      </c>
      <c r="I21" s="2088"/>
      <c r="J21" s="1435" t="s">
        <v>3319</v>
      </c>
      <c r="K21" s="948"/>
      <c r="L21" s="948"/>
      <c r="M21" s="949"/>
      <c r="N21" s="965"/>
      <c r="O21" s="964"/>
    </row>
    <row r="22" spans="1:15" x14ac:dyDescent="0.2">
      <c r="A22" s="950" t="s">
        <v>81</v>
      </c>
      <c r="B22" s="1"/>
      <c r="C22" s="1"/>
      <c r="D22" s="1"/>
      <c r="E22" s="1"/>
      <c r="F22" s="49">
        <f t="shared" si="2"/>
        <v>0</v>
      </c>
      <c r="G22" s="49">
        <f t="shared" si="2"/>
        <v>0</v>
      </c>
      <c r="H22" s="49">
        <f t="shared" si="3"/>
        <v>0</v>
      </c>
      <c r="I22" s="2088"/>
      <c r="J22" s="1435" t="s">
        <v>3320</v>
      </c>
      <c r="K22" s="949"/>
      <c r="L22" s="949"/>
      <c r="M22" s="949"/>
      <c r="N22" s="965"/>
      <c r="O22" s="964"/>
    </row>
    <row r="23" spans="1:15" x14ac:dyDescent="0.2">
      <c r="A23" s="950" t="s">
        <v>82</v>
      </c>
      <c r="B23" s="1"/>
      <c r="C23" s="1"/>
      <c r="D23" s="1"/>
      <c r="E23" s="1"/>
      <c r="F23" s="49">
        <f t="shared" si="2"/>
        <v>0</v>
      </c>
      <c r="G23" s="49">
        <f t="shared" si="2"/>
        <v>0</v>
      </c>
      <c r="H23" s="49">
        <f t="shared" si="3"/>
        <v>0</v>
      </c>
      <c r="I23" s="2088"/>
      <c r="J23" s="1435" t="s">
        <v>3321</v>
      </c>
      <c r="K23" s="949"/>
      <c r="L23" s="949"/>
      <c r="M23" s="949"/>
      <c r="N23" s="965"/>
      <c r="O23" s="964"/>
    </row>
    <row r="24" spans="1:15" ht="30" x14ac:dyDescent="0.2">
      <c r="A24" s="953" t="s">
        <v>83</v>
      </c>
      <c r="B24" s="1"/>
      <c r="C24" s="1"/>
      <c r="D24" s="1"/>
      <c r="E24" s="1"/>
      <c r="F24" s="49">
        <f t="shared" si="2"/>
        <v>0</v>
      </c>
      <c r="G24" s="49">
        <f t="shared" si="2"/>
        <v>0</v>
      </c>
      <c r="H24" s="49">
        <f t="shared" si="3"/>
        <v>0</v>
      </c>
      <c r="I24" s="2088"/>
      <c r="J24" s="1435" t="s">
        <v>3322</v>
      </c>
      <c r="K24" s="949"/>
      <c r="L24" s="949"/>
      <c r="M24" s="949"/>
      <c r="N24" s="965"/>
      <c r="O24" s="964"/>
    </row>
    <row r="25" spans="1:15" s="113" customFormat="1" ht="15.75" x14ac:dyDescent="0.2">
      <c r="A25" s="952" t="s">
        <v>7</v>
      </c>
      <c r="B25" s="2">
        <f>(B20+B19+B15)-B24-B22-B23</f>
        <v>0</v>
      </c>
      <c r="C25" s="2">
        <f>(C20+C19+C15)-C24-C22-C23</f>
        <v>0</v>
      </c>
      <c r="D25" s="2">
        <f t="shared" ref="D25:E25" si="5">(D20+D19+D15)-D24-D22-D23</f>
        <v>0</v>
      </c>
      <c r="E25" s="2">
        <f t="shared" si="5"/>
        <v>0</v>
      </c>
      <c r="F25" s="49">
        <f t="shared" si="2"/>
        <v>0</v>
      </c>
      <c r="G25" s="49">
        <f t="shared" si="2"/>
        <v>0</v>
      </c>
      <c r="H25" s="49">
        <f t="shared" si="3"/>
        <v>0</v>
      </c>
      <c r="I25" s="2088"/>
      <c r="J25" s="1435" t="s">
        <v>3323</v>
      </c>
      <c r="K25" s="946"/>
      <c r="L25" s="946"/>
      <c r="M25" s="946"/>
      <c r="N25" s="941"/>
      <c r="O25" s="941"/>
    </row>
    <row r="26" spans="1:15" ht="15.75" x14ac:dyDescent="0.2">
      <c r="A26" s="952" t="s">
        <v>183</v>
      </c>
      <c r="B26" s="17" t="e">
        <f>B25/B11</f>
        <v>#DIV/0!</v>
      </c>
      <c r="C26" s="17" t="e">
        <f>C25/C11</f>
        <v>#DIV/0!</v>
      </c>
      <c r="D26" s="17" t="e">
        <f>D25/D11</f>
        <v>#DIV/0!</v>
      </c>
      <c r="E26" s="17" t="e">
        <f>E25/E11</f>
        <v>#DIV/0!</v>
      </c>
      <c r="F26" s="49">
        <f t="shared" si="2"/>
        <v>0</v>
      </c>
      <c r="G26" s="49">
        <f t="shared" si="2"/>
        <v>0</v>
      </c>
      <c r="H26" s="49">
        <f t="shared" si="3"/>
        <v>0</v>
      </c>
      <c r="I26" s="2088"/>
      <c r="J26" s="1435" t="s">
        <v>3324</v>
      </c>
      <c r="K26" s="948"/>
      <c r="L26" s="948"/>
      <c r="M26" s="949"/>
      <c r="N26" s="965"/>
      <c r="O26" s="964"/>
    </row>
    <row r="27" spans="1:15" x14ac:dyDescent="0.2">
      <c r="A27" s="950" t="s">
        <v>9</v>
      </c>
      <c r="B27" s="1"/>
      <c r="C27" s="1"/>
      <c r="D27" s="1"/>
      <c r="E27" s="1"/>
      <c r="F27" s="49">
        <f t="shared" si="2"/>
        <v>0</v>
      </c>
      <c r="G27" s="49">
        <f t="shared" si="2"/>
        <v>0</v>
      </c>
      <c r="H27" s="49">
        <f t="shared" si="3"/>
        <v>0</v>
      </c>
      <c r="I27" s="2088"/>
      <c r="J27" s="1435" t="s">
        <v>3325</v>
      </c>
      <c r="K27" s="949"/>
      <c r="L27" s="949"/>
      <c r="M27" s="949"/>
      <c r="N27" s="965"/>
      <c r="O27" s="964"/>
    </row>
    <row r="28" spans="1:15" x14ac:dyDescent="0.2">
      <c r="A28" s="950" t="s">
        <v>22</v>
      </c>
      <c r="B28" s="1"/>
      <c r="C28" s="1"/>
      <c r="D28" s="1"/>
      <c r="E28" s="1"/>
      <c r="F28" s="49">
        <f t="shared" si="2"/>
        <v>0</v>
      </c>
      <c r="G28" s="49">
        <f t="shared" si="2"/>
        <v>0</v>
      </c>
      <c r="H28" s="49">
        <f t="shared" si="3"/>
        <v>0</v>
      </c>
      <c r="I28" s="2088"/>
      <c r="J28" s="1435" t="s">
        <v>3326</v>
      </c>
      <c r="K28" s="949"/>
      <c r="L28" s="949"/>
      <c r="M28" s="949"/>
      <c r="N28" s="965"/>
      <c r="O28" s="964"/>
    </row>
    <row r="29" spans="1:15" ht="15.75" x14ac:dyDescent="0.2">
      <c r="A29" s="954" t="s">
        <v>39</v>
      </c>
      <c r="B29" s="11">
        <f>B25-B27-B28</f>
        <v>0</v>
      </c>
      <c r="C29" s="11">
        <f>C25-C27-C28</f>
        <v>0</v>
      </c>
      <c r="D29" s="11">
        <f>D25-D27-D28</f>
        <v>0</v>
      </c>
      <c r="E29" s="12">
        <f>E25-E27-E28</f>
        <v>0</v>
      </c>
      <c r="F29" s="49">
        <f t="shared" si="2"/>
        <v>0</v>
      </c>
      <c r="G29" s="49">
        <f t="shared" si="2"/>
        <v>0</v>
      </c>
      <c r="H29" s="49">
        <f t="shared" si="3"/>
        <v>0</v>
      </c>
      <c r="I29" s="2088"/>
      <c r="J29" s="1435" t="s">
        <v>3327</v>
      </c>
      <c r="K29" s="949"/>
      <c r="L29" s="949"/>
      <c r="M29" s="949"/>
      <c r="N29" s="965"/>
      <c r="O29" s="964"/>
    </row>
    <row r="30" spans="1:15" ht="15.75" x14ac:dyDescent="0.2">
      <c r="A30" s="952" t="s">
        <v>199</v>
      </c>
      <c r="B30" s="17" t="e">
        <f>B29/B11</f>
        <v>#DIV/0!</v>
      </c>
      <c r="C30" s="17" t="e">
        <f>C29/C11</f>
        <v>#DIV/0!</v>
      </c>
      <c r="D30" s="17" t="e">
        <f>D29/D11</f>
        <v>#DIV/0!</v>
      </c>
      <c r="E30" s="17" t="e">
        <f>E29/E11</f>
        <v>#DIV/0!</v>
      </c>
      <c r="F30" s="49">
        <f t="shared" si="2"/>
        <v>0</v>
      </c>
      <c r="G30" s="49">
        <f t="shared" si="2"/>
        <v>0</v>
      </c>
      <c r="H30" s="49">
        <f t="shared" si="3"/>
        <v>0</v>
      </c>
      <c r="I30" s="2088"/>
      <c r="J30" s="1435" t="s">
        <v>3328</v>
      </c>
      <c r="K30" s="948"/>
      <c r="L30" s="948"/>
      <c r="M30" s="949"/>
      <c r="N30" s="965"/>
      <c r="O30" s="964"/>
    </row>
    <row r="31" spans="1:15" x14ac:dyDescent="0.2">
      <c r="A31" s="950" t="s">
        <v>8</v>
      </c>
      <c r="B31" s="1"/>
      <c r="C31" s="1"/>
      <c r="D31" s="1"/>
      <c r="E31" s="1"/>
      <c r="F31" s="49">
        <f t="shared" si="2"/>
        <v>0</v>
      </c>
      <c r="G31" s="49">
        <f t="shared" si="2"/>
        <v>0</v>
      </c>
      <c r="H31" s="49">
        <f t="shared" si="3"/>
        <v>0</v>
      </c>
      <c r="I31" s="2088"/>
      <c r="J31" s="1435" t="s">
        <v>3329</v>
      </c>
      <c r="K31" s="949"/>
      <c r="L31" s="949"/>
      <c r="M31" s="949"/>
      <c r="N31" s="965"/>
      <c r="O31" s="964"/>
    </row>
    <row r="32" spans="1:15" ht="15.75" x14ac:dyDescent="0.2">
      <c r="A32" s="952" t="s">
        <v>10</v>
      </c>
      <c r="B32" s="2">
        <f>B29-B31</f>
        <v>0</v>
      </c>
      <c r="C32" s="2">
        <f>C29-C31</f>
        <v>0</v>
      </c>
      <c r="D32" s="2">
        <f>D29-D31</f>
        <v>0</v>
      </c>
      <c r="E32" s="2">
        <f>E29-E31</f>
        <v>0</v>
      </c>
      <c r="F32" s="49">
        <f t="shared" si="2"/>
        <v>0</v>
      </c>
      <c r="G32" s="49">
        <f t="shared" si="2"/>
        <v>0</v>
      </c>
      <c r="H32" s="49">
        <f t="shared" si="3"/>
        <v>0</v>
      </c>
      <c r="I32" s="2088"/>
      <c r="J32" s="1435" t="s">
        <v>3330</v>
      </c>
      <c r="K32" s="949"/>
      <c r="L32" s="949"/>
      <c r="M32" s="949"/>
      <c r="N32" s="965"/>
      <c r="O32" s="964"/>
    </row>
    <row r="33" spans="1:15" ht="15.75" x14ac:dyDescent="0.2">
      <c r="A33" s="952" t="s">
        <v>198</v>
      </c>
      <c r="B33" s="17" t="e">
        <f>B32/B11</f>
        <v>#DIV/0!</v>
      </c>
      <c r="C33" s="17" t="e">
        <f>C32/C11</f>
        <v>#DIV/0!</v>
      </c>
      <c r="D33" s="17" t="e">
        <f>D32/D11</f>
        <v>#DIV/0!</v>
      </c>
      <c r="E33" s="17" t="e">
        <f>E32/E11</f>
        <v>#DIV/0!</v>
      </c>
      <c r="F33" s="49">
        <f t="shared" si="2"/>
        <v>0</v>
      </c>
      <c r="G33" s="49">
        <f t="shared" si="2"/>
        <v>0</v>
      </c>
      <c r="H33" s="49">
        <f t="shared" si="3"/>
        <v>0</v>
      </c>
      <c r="I33" s="2088"/>
      <c r="J33" s="1435" t="s">
        <v>3331</v>
      </c>
      <c r="K33" s="949"/>
      <c r="L33" s="949"/>
      <c r="M33" s="949"/>
      <c r="N33" s="965"/>
      <c r="O33" s="964"/>
    </row>
    <row r="34" spans="1:15" ht="15.75" x14ac:dyDescent="0.2">
      <c r="A34" s="952" t="s">
        <v>233</v>
      </c>
      <c r="B34" s="2">
        <f>B32+B27+B28+B22+B23</f>
        <v>0</v>
      </c>
      <c r="C34" s="2">
        <f>C32+C27+C28+C22+C23</f>
        <v>0</v>
      </c>
      <c r="D34" s="2">
        <f>D32+D27+D28+D22+D23</f>
        <v>0</v>
      </c>
      <c r="E34" s="2">
        <f>E32+E27+E28+E22+E23</f>
        <v>0</v>
      </c>
      <c r="F34" s="49">
        <f t="shared" si="2"/>
        <v>0</v>
      </c>
      <c r="G34" s="49">
        <f t="shared" si="2"/>
        <v>0</v>
      </c>
      <c r="H34" s="49">
        <f t="shared" si="3"/>
        <v>0</v>
      </c>
      <c r="I34" s="2088"/>
      <c r="J34" s="1435" t="s">
        <v>3332</v>
      </c>
      <c r="K34" s="949"/>
      <c r="L34" s="949"/>
      <c r="M34" s="949"/>
      <c r="N34" s="965"/>
      <c r="O34" s="964"/>
    </row>
    <row r="35" spans="1:15" x14ac:dyDescent="0.2">
      <c r="A35" s="950" t="s">
        <v>23</v>
      </c>
      <c r="B35" s="1"/>
      <c r="C35" s="1"/>
      <c r="D35" s="1"/>
      <c r="E35" s="1"/>
      <c r="F35" s="49">
        <f t="shared" si="2"/>
        <v>0</v>
      </c>
      <c r="G35" s="49">
        <f t="shared" si="2"/>
        <v>0</v>
      </c>
      <c r="H35" s="49">
        <f t="shared" si="3"/>
        <v>0</v>
      </c>
      <c r="I35" s="2088"/>
      <c r="J35" s="1435" t="s">
        <v>3333</v>
      </c>
      <c r="K35" s="949"/>
      <c r="L35" s="949"/>
      <c r="M35" s="949"/>
      <c r="N35" s="965"/>
      <c r="O35" s="964"/>
    </row>
    <row r="36" spans="1:15" ht="15.75" x14ac:dyDescent="0.2">
      <c r="A36" s="954" t="s">
        <v>176</v>
      </c>
      <c r="B36" s="5"/>
      <c r="C36" s="5"/>
      <c r="D36" s="5"/>
      <c r="E36" s="5"/>
      <c r="F36" s="951"/>
      <c r="G36" s="951"/>
      <c r="H36" s="951"/>
      <c r="I36" s="2088"/>
      <c r="J36" s="1435" t="s">
        <v>3334</v>
      </c>
      <c r="K36" s="949"/>
      <c r="L36" s="949"/>
      <c r="M36" s="949"/>
      <c r="N36" s="965"/>
      <c r="O36" s="964"/>
    </row>
    <row r="37" spans="1:15" ht="15.75" x14ac:dyDescent="0.2">
      <c r="A37" s="955" t="s">
        <v>11</v>
      </c>
      <c r="B37" s="13">
        <f>+B32-B35</f>
        <v>0</v>
      </c>
      <c r="C37" s="13">
        <f>+C32-C35</f>
        <v>0</v>
      </c>
      <c r="D37" s="13">
        <f>+D32-D35</f>
        <v>0</v>
      </c>
      <c r="E37" s="13">
        <f>+E32-E35</f>
        <v>0</v>
      </c>
      <c r="F37" s="49">
        <f t="shared" ref="F37:H38" si="6">IF(ISERROR((B37-C37)/C37),0,(B37-C37)/C37)</f>
        <v>0</v>
      </c>
      <c r="G37" s="49">
        <f t="shared" si="6"/>
        <v>0</v>
      </c>
      <c r="H37" s="49">
        <f t="shared" si="6"/>
        <v>0</v>
      </c>
      <c r="I37" s="2088"/>
      <c r="J37" s="1435" t="s">
        <v>3335</v>
      </c>
      <c r="K37" s="949"/>
      <c r="L37" s="949"/>
      <c r="M37" s="949"/>
      <c r="N37" s="965"/>
      <c r="O37" s="964"/>
    </row>
    <row r="38" spans="1:15" ht="16.5" thickBot="1" x14ac:dyDescent="0.25">
      <c r="A38" s="956" t="s">
        <v>80</v>
      </c>
      <c r="B38" s="18" t="e">
        <f>B37/B11</f>
        <v>#DIV/0!</v>
      </c>
      <c r="C38" s="18" t="e">
        <f>C37/C11</f>
        <v>#DIV/0!</v>
      </c>
      <c r="D38" s="18" t="e">
        <f>D37/D11</f>
        <v>#DIV/0!</v>
      </c>
      <c r="E38" s="18" t="e">
        <f>E37/E11</f>
        <v>#DIV/0!</v>
      </c>
      <c r="F38" s="49">
        <f t="shared" si="6"/>
        <v>0</v>
      </c>
      <c r="G38" s="49">
        <f t="shared" si="6"/>
        <v>0</v>
      </c>
      <c r="H38" s="49">
        <f t="shared" si="6"/>
        <v>0</v>
      </c>
      <c r="I38" s="2118"/>
      <c r="J38" s="1435" t="s">
        <v>3336</v>
      </c>
      <c r="K38" s="948"/>
      <c r="L38" s="948"/>
      <c r="M38" s="949"/>
      <c r="N38" s="965"/>
      <c r="O38" s="964"/>
    </row>
    <row r="39" spans="1:15" ht="16.5" thickBot="1" x14ac:dyDescent="0.25">
      <c r="A39" s="2066" t="s">
        <v>70</v>
      </c>
      <c r="B39" s="2067"/>
      <c r="C39" s="2067"/>
      <c r="D39" s="2067"/>
      <c r="E39" s="2067"/>
      <c r="F39" s="2067"/>
      <c r="G39" s="2067"/>
      <c r="H39" s="2067"/>
      <c r="I39" s="2068"/>
      <c r="K39" s="949"/>
      <c r="L39" s="949"/>
      <c r="M39" s="949"/>
      <c r="N39" s="965"/>
      <c r="O39" s="964"/>
    </row>
    <row r="40" spans="1:15" ht="15.75" x14ac:dyDescent="0.2">
      <c r="A40" s="2069" t="s">
        <v>77</v>
      </c>
      <c r="B40" s="2070"/>
      <c r="C40" s="2070"/>
      <c r="D40" s="2070"/>
      <c r="E40" s="2070"/>
      <c r="F40" s="2070"/>
      <c r="G40" s="2070"/>
      <c r="H40" s="2070"/>
      <c r="I40" s="2071"/>
      <c r="K40" s="949"/>
      <c r="L40" s="949"/>
      <c r="M40" s="949"/>
      <c r="N40" s="965"/>
      <c r="O40" s="964"/>
    </row>
    <row r="41" spans="1:15" ht="15" customHeight="1" x14ac:dyDescent="0.2">
      <c r="A41" s="950" t="s">
        <v>66</v>
      </c>
      <c r="B41" s="1"/>
      <c r="C41" s="1"/>
      <c r="D41" s="1"/>
      <c r="E41" s="1"/>
      <c r="F41" s="49">
        <f t="shared" ref="F41:H42" si="7">IF(ISERROR((B41-C41)/C41),0,(B41-C41)/C41)</f>
        <v>0</v>
      </c>
      <c r="G41" s="49">
        <f t="shared" si="7"/>
        <v>0</v>
      </c>
      <c r="H41" s="49">
        <f t="shared" si="7"/>
        <v>0</v>
      </c>
      <c r="I41" s="2072" t="s">
        <v>524</v>
      </c>
      <c r="J41" s="1435" t="s">
        <v>3337</v>
      </c>
      <c r="K41" s="949"/>
      <c r="L41" s="949"/>
      <c r="M41" s="949"/>
      <c r="N41" s="965"/>
      <c r="O41" s="964"/>
    </row>
    <row r="42" spans="1:15" ht="15" customHeight="1" x14ac:dyDescent="0.2">
      <c r="A42" s="950" t="s">
        <v>68</v>
      </c>
      <c r="B42" s="1"/>
      <c r="C42" s="1"/>
      <c r="D42" s="1"/>
      <c r="E42" s="1"/>
      <c r="F42" s="49">
        <f t="shared" si="7"/>
        <v>0</v>
      </c>
      <c r="G42" s="49">
        <f t="shared" si="7"/>
        <v>0</v>
      </c>
      <c r="H42" s="49">
        <f t="shared" si="7"/>
        <v>0</v>
      </c>
      <c r="I42" s="2112"/>
      <c r="J42" s="1435" t="s">
        <v>3338</v>
      </c>
      <c r="K42" s="949"/>
      <c r="L42" s="949"/>
      <c r="M42" s="949"/>
      <c r="N42" s="965"/>
      <c r="O42" s="964"/>
    </row>
    <row r="43" spans="1:15" ht="15.75" x14ac:dyDescent="0.2">
      <c r="A43" s="2075" t="s">
        <v>72</v>
      </c>
      <c r="B43" s="2076"/>
      <c r="C43" s="2076"/>
      <c r="D43" s="2076"/>
      <c r="E43" s="2076"/>
      <c r="F43" s="2076"/>
      <c r="G43" s="2076"/>
      <c r="H43" s="957"/>
      <c r="I43" s="2112"/>
      <c r="K43" s="949"/>
      <c r="L43" s="949"/>
      <c r="M43" s="949"/>
      <c r="N43" s="965"/>
      <c r="O43" s="964"/>
    </row>
    <row r="44" spans="1:15" ht="15" customHeight="1" x14ac:dyDescent="0.2">
      <c r="A44" s="950" t="s">
        <v>71</v>
      </c>
      <c r="B44" s="1"/>
      <c r="C44" s="1"/>
      <c r="D44" s="1"/>
      <c r="E44" s="1"/>
      <c r="F44" s="49">
        <f t="shared" ref="F44:G52" si="8">IF(ISERROR((B44-C44)/C44),0,(B44-C44)/C44)</f>
        <v>0</v>
      </c>
      <c r="G44" s="49">
        <f t="shared" si="8"/>
        <v>0</v>
      </c>
      <c r="H44" s="49">
        <f t="shared" ref="H44:H52" si="9">IF(ISERROR((D44-E44)/E44),0,(D44-E44)/E44)</f>
        <v>0</v>
      </c>
      <c r="I44" s="2112"/>
      <c r="J44" s="1435" t="s">
        <v>3339</v>
      </c>
      <c r="K44" s="949"/>
      <c r="L44" s="949"/>
      <c r="M44" s="949"/>
      <c r="N44" s="965"/>
      <c r="O44" s="964"/>
    </row>
    <row r="45" spans="1:15" ht="15" customHeight="1" x14ac:dyDescent="0.2">
      <c r="A45" s="950" t="s">
        <v>65</v>
      </c>
      <c r="B45" s="1"/>
      <c r="C45" s="1"/>
      <c r="D45" s="1"/>
      <c r="E45" s="1"/>
      <c r="F45" s="49">
        <f t="shared" si="8"/>
        <v>0</v>
      </c>
      <c r="G45" s="49">
        <f t="shared" si="8"/>
        <v>0</v>
      </c>
      <c r="H45" s="49">
        <f t="shared" si="9"/>
        <v>0</v>
      </c>
      <c r="I45" s="2112"/>
      <c r="J45" s="1435" t="s">
        <v>3340</v>
      </c>
      <c r="K45" s="949"/>
      <c r="L45" s="949"/>
      <c r="M45" s="949"/>
      <c r="N45" s="965"/>
      <c r="O45" s="964"/>
    </row>
    <row r="46" spans="1:15" ht="15" customHeight="1" x14ac:dyDescent="0.2">
      <c r="A46" s="950" t="s">
        <v>205</v>
      </c>
      <c r="B46" s="1"/>
      <c r="C46" s="1"/>
      <c r="D46" s="1"/>
      <c r="E46" s="1"/>
      <c r="F46" s="49">
        <f t="shared" si="8"/>
        <v>0</v>
      </c>
      <c r="G46" s="49">
        <f t="shared" si="8"/>
        <v>0</v>
      </c>
      <c r="H46" s="49">
        <f t="shared" si="9"/>
        <v>0</v>
      </c>
      <c r="I46" s="2112"/>
      <c r="J46" s="1435" t="s">
        <v>3341</v>
      </c>
      <c r="K46" s="949" t="s">
        <v>207</v>
      </c>
      <c r="L46" s="949"/>
      <c r="M46" s="949"/>
      <c r="N46" s="965"/>
      <c r="O46" s="964"/>
    </row>
    <row r="47" spans="1:15" ht="15" customHeight="1" x14ac:dyDescent="0.2">
      <c r="A47" s="950" t="s">
        <v>177</v>
      </c>
      <c r="B47" s="1"/>
      <c r="C47" s="1"/>
      <c r="D47" s="1"/>
      <c r="E47" s="1"/>
      <c r="F47" s="49">
        <f t="shared" si="8"/>
        <v>0</v>
      </c>
      <c r="G47" s="49">
        <f t="shared" si="8"/>
        <v>0</v>
      </c>
      <c r="H47" s="49">
        <f t="shared" si="9"/>
        <v>0</v>
      </c>
      <c r="I47" s="2112"/>
      <c r="J47" s="1435" t="s">
        <v>3342</v>
      </c>
      <c r="K47" s="949"/>
      <c r="L47" s="949"/>
      <c r="M47" s="949"/>
      <c r="N47" s="965"/>
      <c r="O47" s="964"/>
    </row>
    <row r="48" spans="1:15" ht="15" customHeight="1" x14ac:dyDescent="0.2">
      <c r="A48" s="950" t="s">
        <v>59</v>
      </c>
      <c r="B48" s="1"/>
      <c r="C48" s="1"/>
      <c r="D48" s="1"/>
      <c r="E48" s="1"/>
      <c r="F48" s="49">
        <f t="shared" si="8"/>
        <v>0</v>
      </c>
      <c r="G48" s="49">
        <f t="shared" si="8"/>
        <v>0</v>
      </c>
      <c r="H48" s="49">
        <f t="shared" si="9"/>
        <v>0</v>
      </c>
      <c r="I48" s="2112"/>
      <c r="J48" s="1435" t="s">
        <v>3343</v>
      </c>
      <c r="K48" s="949"/>
      <c r="L48" s="949"/>
      <c r="M48" s="949"/>
      <c r="N48" s="965"/>
      <c r="O48" s="964"/>
    </row>
    <row r="49" spans="1:15" ht="15.75" x14ac:dyDescent="0.2">
      <c r="A49" s="952" t="s">
        <v>60</v>
      </c>
      <c r="B49" s="2">
        <f>SUM(B44:B48)</f>
        <v>0</v>
      </c>
      <c r="C49" s="2">
        <f>SUM(C44:C48)</f>
        <v>0</v>
      </c>
      <c r="D49" s="2">
        <f>SUM(D44:D48)</f>
        <v>0</v>
      </c>
      <c r="E49" s="2">
        <f>SUM(E44:E48)</f>
        <v>0</v>
      </c>
      <c r="F49" s="49">
        <f t="shared" si="8"/>
        <v>0</v>
      </c>
      <c r="G49" s="49">
        <f t="shared" si="8"/>
        <v>0</v>
      </c>
      <c r="H49" s="49">
        <f t="shared" si="9"/>
        <v>0</v>
      </c>
      <c r="I49" s="2112"/>
      <c r="J49" s="1435" t="s">
        <v>3344</v>
      </c>
      <c r="K49" s="946" t="s">
        <v>702</v>
      </c>
      <c r="L49" s="949"/>
      <c r="M49" s="949"/>
      <c r="N49" s="965"/>
      <c r="O49" s="964"/>
    </row>
    <row r="50" spans="1:15" ht="15" customHeight="1" x14ac:dyDescent="0.2">
      <c r="A50" s="950" t="s">
        <v>73</v>
      </c>
      <c r="B50" s="1"/>
      <c r="C50" s="1"/>
      <c r="D50" s="1"/>
      <c r="E50" s="1"/>
      <c r="F50" s="49">
        <f t="shared" si="8"/>
        <v>0</v>
      </c>
      <c r="G50" s="49">
        <f t="shared" si="8"/>
        <v>0</v>
      </c>
      <c r="H50" s="49">
        <f t="shared" si="9"/>
        <v>0</v>
      </c>
      <c r="I50" s="2112"/>
      <c r="J50" s="1435" t="s">
        <v>3345</v>
      </c>
      <c r="K50" s="949"/>
      <c r="L50" s="949"/>
      <c r="M50" s="949"/>
      <c r="N50" s="965"/>
      <c r="O50" s="964"/>
    </row>
    <row r="51" spans="1:15" ht="15" customHeight="1" x14ac:dyDescent="0.2">
      <c r="A51" s="950" t="s">
        <v>137</v>
      </c>
      <c r="B51" s="1"/>
      <c r="C51" s="1"/>
      <c r="D51" s="1"/>
      <c r="E51" s="1"/>
      <c r="F51" s="49">
        <f t="shared" si="8"/>
        <v>0</v>
      </c>
      <c r="G51" s="49">
        <f t="shared" si="8"/>
        <v>0</v>
      </c>
      <c r="H51" s="49">
        <f t="shared" si="9"/>
        <v>0</v>
      </c>
      <c r="I51" s="2112"/>
      <c r="J51" s="1435" t="s">
        <v>3346</v>
      </c>
      <c r="K51" s="949"/>
      <c r="L51" s="949"/>
      <c r="M51" s="949"/>
      <c r="N51" s="965"/>
      <c r="O51" s="964"/>
    </row>
    <row r="52" spans="1:15" ht="15.75" x14ac:dyDescent="0.2">
      <c r="A52" s="958" t="s">
        <v>74</v>
      </c>
      <c r="B52" s="2">
        <f>B41+B42+B49+B50+B51</f>
        <v>0</v>
      </c>
      <c r="C52" s="2">
        <f>C41+C42+C49+C50+C51</f>
        <v>0</v>
      </c>
      <c r="D52" s="2">
        <f>D41+D42+D49+D50+D51</f>
        <v>0</v>
      </c>
      <c r="E52" s="2">
        <f>E41+E42+E49+E50+E51</f>
        <v>0</v>
      </c>
      <c r="F52" s="49">
        <f t="shared" si="8"/>
        <v>0</v>
      </c>
      <c r="G52" s="49">
        <f t="shared" si="8"/>
        <v>0</v>
      </c>
      <c r="H52" s="49">
        <f t="shared" si="9"/>
        <v>0</v>
      </c>
      <c r="I52" s="2113"/>
      <c r="J52" s="1435" t="s">
        <v>3347</v>
      </c>
      <c r="K52" s="949"/>
      <c r="L52" s="949"/>
      <c r="M52" s="949"/>
      <c r="N52" s="965"/>
      <c r="O52" s="964"/>
    </row>
    <row r="53" spans="1:15" ht="15.75" x14ac:dyDescent="0.2">
      <c r="A53" s="959"/>
      <c r="B53" s="960"/>
      <c r="C53" s="960"/>
      <c r="D53" s="960"/>
      <c r="E53" s="960"/>
      <c r="F53" s="960"/>
      <c r="G53" s="960"/>
      <c r="H53" s="960"/>
      <c r="I53" s="961"/>
      <c r="K53" s="949"/>
      <c r="L53" s="949"/>
      <c r="M53" s="949"/>
      <c r="N53" s="965"/>
      <c r="O53" s="964"/>
    </row>
    <row r="54" spans="1:15" ht="15.75" x14ac:dyDescent="0.2">
      <c r="A54" s="2114" t="s">
        <v>78</v>
      </c>
      <c r="B54" s="2115"/>
      <c r="C54" s="2115"/>
      <c r="D54" s="2115"/>
      <c r="E54" s="2115"/>
      <c r="F54" s="2115"/>
      <c r="G54" s="2115"/>
      <c r="H54" s="2115"/>
      <c r="I54" s="2116"/>
      <c r="K54" s="949"/>
      <c r="L54" s="949"/>
      <c r="M54" s="949"/>
      <c r="N54" s="965"/>
      <c r="O54" s="964"/>
    </row>
    <row r="55" spans="1:15" ht="15" customHeight="1" x14ac:dyDescent="0.2">
      <c r="A55" s="950" t="s">
        <v>18</v>
      </c>
      <c r="B55" s="1"/>
      <c r="C55" s="1"/>
      <c r="D55" s="1"/>
      <c r="E55" s="1"/>
      <c r="F55" s="49">
        <f t="shared" ref="F55:G63" si="10">IF(ISERROR((B55-C55)/C55),0,(B55-C55)/C55)</f>
        <v>0</v>
      </c>
      <c r="G55" s="49">
        <f t="shared" si="10"/>
        <v>0</v>
      </c>
      <c r="H55" s="49">
        <f t="shared" ref="H55:H63" si="11">IF(ISERROR((D55-E55)/E55),0,(D55-E55)/E55)</f>
        <v>0</v>
      </c>
      <c r="I55" s="2080" t="s">
        <v>525</v>
      </c>
      <c r="J55" s="1435" t="s">
        <v>3348</v>
      </c>
      <c r="K55" s="949"/>
      <c r="L55" s="949"/>
      <c r="M55" s="949"/>
      <c r="N55" s="965"/>
      <c r="O55" s="964"/>
    </row>
    <row r="56" spans="1:15" ht="15" customHeight="1" x14ac:dyDescent="0.2">
      <c r="A56" s="950" t="s">
        <v>14</v>
      </c>
      <c r="B56" s="1"/>
      <c r="C56" s="1"/>
      <c r="D56" s="1"/>
      <c r="E56" s="1"/>
      <c r="F56" s="49">
        <f t="shared" si="10"/>
        <v>0</v>
      </c>
      <c r="G56" s="49">
        <f t="shared" si="10"/>
        <v>0</v>
      </c>
      <c r="H56" s="49">
        <f t="shared" si="11"/>
        <v>0</v>
      </c>
      <c r="I56" s="2086"/>
      <c r="J56" s="1435" t="s">
        <v>3349</v>
      </c>
      <c r="K56" s="949"/>
      <c r="L56" s="949"/>
      <c r="M56" s="949"/>
      <c r="N56" s="965"/>
      <c r="O56" s="964"/>
    </row>
    <row r="57" spans="1:15" ht="15" customHeight="1" x14ac:dyDescent="0.2">
      <c r="A57" s="953" t="s">
        <v>179</v>
      </c>
      <c r="B57" s="1"/>
      <c r="C57" s="1"/>
      <c r="D57" s="1"/>
      <c r="E57" s="1"/>
      <c r="F57" s="49">
        <f t="shared" si="10"/>
        <v>0</v>
      </c>
      <c r="G57" s="49">
        <f t="shared" si="10"/>
        <v>0</v>
      </c>
      <c r="H57" s="49">
        <f t="shared" si="11"/>
        <v>0</v>
      </c>
      <c r="I57" s="2086"/>
      <c r="J57" s="1435" t="s">
        <v>3350</v>
      </c>
      <c r="K57" s="949"/>
      <c r="L57" s="949"/>
      <c r="M57" s="949"/>
      <c r="N57" s="965"/>
      <c r="O57" s="964"/>
    </row>
    <row r="58" spans="1:15" ht="15" customHeight="1" x14ac:dyDescent="0.2">
      <c r="A58" s="950" t="s">
        <v>203</v>
      </c>
      <c r="B58" s="1"/>
      <c r="C58" s="1"/>
      <c r="D58" s="1"/>
      <c r="E58" s="1"/>
      <c r="F58" s="49">
        <f t="shared" si="10"/>
        <v>0</v>
      </c>
      <c r="G58" s="49">
        <f t="shared" si="10"/>
        <v>0</v>
      </c>
      <c r="H58" s="49">
        <f t="shared" si="11"/>
        <v>0</v>
      </c>
      <c r="I58" s="2086"/>
      <c r="J58" s="1435" t="s">
        <v>3351</v>
      </c>
      <c r="K58" s="949"/>
      <c r="L58" s="949"/>
      <c r="M58" s="949"/>
      <c r="N58" s="965"/>
      <c r="O58" s="964"/>
    </row>
    <row r="59" spans="1:15" ht="15.75" x14ac:dyDescent="0.2">
      <c r="A59" s="952" t="s">
        <v>15</v>
      </c>
      <c r="B59" s="2">
        <f t="shared" ref="B59:C59" si="12">B55+B56+B57-B58-B45</f>
        <v>0</v>
      </c>
      <c r="C59" s="2">
        <f t="shared" si="12"/>
        <v>0</v>
      </c>
      <c r="D59" s="2">
        <f>D55+D56+D57-D58-D45</f>
        <v>0</v>
      </c>
      <c r="E59" s="2">
        <f t="shared" ref="E59" si="13">E55+E56+E57-E58-E45</f>
        <v>0</v>
      </c>
      <c r="F59" s="49">
        <f t="shared" si="10"/>
        <v>0</v>
      </c>
      <c r="G59" s="49">
        <f t="shared" si="10"/>
        <v>0</v>
      </c>
      <c r="H59" s="49">
        <f t="shared" si="11"/>
        <v>0</v>
      </c>
      <c r="I59" s="2086"/>
      <c r="J59" s="1435" t="s">
        <v>3352</v>
      </c>
      <c r="K59" s="946" t="s">
        <v>703</v>
      </c>
      <c r="L59" s="949"/>
      <c r="M59" s="949"/>
      <c r="N59" s="965"/>
      <c r="O59" s="964"/>
    </row>
    <row r="60" spans="1:15" ht="15" customHeight="1" x14ac:dyDescent="0.2">
      <c r="A60" s="950" t="s">
        <v>185</v>
      </c>
      <c r="B60" s="1"/>
      <c r="C60" s="1"/>
      <c r="D60" s="1"/>
      <c r="E60" s="1"/>
      <c r="F60" s="49">
        <f t="shared" si="10"/>
        <v>0</v>
      </c>
      <c r="G60" s="49">
        <f t="shared" si="10"/>
        <v>0</v>
      </c>
      <c r="H60" s="49">
        <f t="shared" si="11"/>
        <v>0</v>
      </c>
      <c r="I60" s="2086"/>
      <c r="J60" s="1435" t="s">
        <v>3353</v>
      </c>
      <c r="K60" s="949"/>
      <c r="L60" s="949"/>
      <c r="M60" s="949"/>
      <c r="N60" s="965"/>
      <c r="O60" s="964"/>
    </row>
    <row r="61" spans="1:15" ht="15" customHeight="1" x14ac:dyDescent="0.2">
      <c r="A61" s="950" t="s">
        <v>5</v>
      </c>
      <c r="B61" s="1"/>
      <c r="C61" s="1"/>
      <c r="D61" s="1"/>
      <c r="E61" s="1"/>
      <c r="F61" s="49">
        <f t="shared" si="10"/>
        <v>0</v>
      </c>
      <c r="G61" s="49">
        <f t="shared" si="10"/>
        <v>0</v>
      </c>
      <c r="H61" s="49">
        <f t="shared" si="11"/>
        <v>0</v>
      </c>
      <c r="I61" s="2086"/>
      <c r="J61" s="1435" t="s">
        <v>3354</v>
      </c>
      <c r="K61" s="949"/>
      <c r="L61" s="949"/>
      <c r="M61" s="949"/>
      <c r="N61" s="965"/>
      <c r="O61" s="964"/>
    </row>
    <row r="62" spans="1:15" ht="15" customHeight="1" x14ac:dyDescent="0.2">
      <c r="A62" s="950" t="s">
        <v>12</v>
      </c>
      <c r="B62" s="1"/>
      <c r="C62" s="1"/>
      <c r="D62" s="1"/>
      <c r="E62" s="1"/>
      <c r="F62" s="49">
        <f t="shared" si="10"/>
        <v>0</v>
      </c>
      <c r="G62" s="49">
        <f t="shared" si="10"/>
        <v>0</v>
      </c>
      <c r="H62" s="49">
        <f t="shared" si="11"/>
        <v>0</v>
      </c>
      <c r="I62" s="2086"/>
      <c r="J62" s="1435" t="s">
        <v>3355</v>
      </c>
      <c r="K62" s="949"/>
      <c r="L62" s="949"/>
      <c r="M62" s="949"/>
      <c r="N62" s="965"/>
      <c r="O62" s="964"/>
    </row>
    <row r="63" spans="1:15" ht="15.75" x14ac:dyDescent="0.2">
      <c r="A63" s="952" t="s">
        <v>13</v>
      </c>
      <c r="B63" s="2">
        <f>B62+B61+B60</f>
        <v>0</v>
      </c>
      <c r="C63" s="2">
        <f>C62+C61+C60</f>
        <v>0</v>
      </c>
      <c r="D63" s="2">
        <f>D62+D61+D60</f>
        <v>0</v>
      </c>
      <c r="E63" s="2">
        <f>E62+E61+E60</f>
        <v>0</v>
      </c>
      <c r="F63" s="49">
        <f t="shared" si="10"/>
        <v>0</v>
      </c>
      <c r="G63" s="49">
        <f t="shared" si="10"/>
        <v>0</v>
      </c>
      <c r="H63" s="49">
        <f t="shared" si="11"/>
        <v>0</v>
      </c>
      <c r="I63" s="2117"/>
      <c r="J63" s="1435" t="s">
        <v>3356</v>
      </c>
      <c r="K63" s="949"/>
      <c r="L63" s="949"/>
      <c r="M63" s="949"/>
      <c r="N63" s="965"/>
      <c r="O63" s="964"/>
    </row>
    <row r="64" spans="1:15" ht="15.75" x14ac:dyDescent="0.2">
      <c r="A64" s="2083" t="s">
        <v>75</v>
      </c>
      <c r="B64" s="2084"/>
      <c r="C64" s="2084"/>
      <c r="D64" s="2084"/>
      <c r="E64" s="2084"/>
      <c r="F64" s="2084"/>
      <c r="G64" s="2084"/>
      <c r="H64" s="2084"/>
      <c r="I64" s="2085"/>
      <c r="K64" s="949"/>
      <c r="L64" s="949"/>
      <c r="M64" s="949"/>
      <c r="N64" s="965"/>
      <c r="O64" s="964"/>
    </row>
    <row r="65" spans="1:15" ht="15" customHeight="1" x14ac:dyDescent="0.2">
      <c r="A65" s="950" t="s">
        <v>206</v>
      </c>
      <c r="B65" s="1"/>
      <c r="C65" s="1"/>
      <c r="D65" s="1"/>
      <c r="E65" s="1"/>
      <c r="F65" s="49">
        <f t="shared" ref="F65:H71" si="14">IF(ISERROR((B65-C65)/C65),0,(B65-C65)/C65)</f>
        <v>0</v>
      </c>
      <c r="G65" s="49">
        <f t="shared" si="14"/>
        <v>0</v>
      </c>
      <c r="H65" s="49">
        <f t="shared" si="14"/>
        <v>0</v>
      </c>
      <c r="I65" s="2080" t="s">
        <v>526</v>
      </c>
      <c r="J65" s="1435" t="s">
        <v>3357</v>
      </c>
      <c r="K65" s="949" t="s">
        <v>208</v>
      </c>
      <c r="L65" s="949"/>
      <c r="M65" s="949"/>
      <c r="N65" s="965"/>
      <c r="O65" s="964"/>
    </row>
    <row r="66" spans="1:15" ht="15" customHeight="1" x14ac:dyDescent="0.2">
      <c r="A66" s="950" t="s">
        <v>184</v>
      </c>
      <c r="B66" s="1"/>
      <c r="C66" s="1"/>
      <c r="D66" s="1"/>
      <c r="E66" s="1"/>
      <c r="F66" s="49">
        <f t="shared" si="14"/>
        <v>0</v>
      </c>
      <c r="G66" s="49">
        <f t="shared" si="14"/>
        <v>0</v>
      </c>
      <c r="H66" s="49">
        <f t="shared" si="14"/>
        <v>0</v>
      </c>
      <c r="I66" s="2086"/>
      <c r="J66" s="1435" t="s">
        <v>3358</v>
      </c>
      <c r="K66" s="949"/>
      <c r="L66" s="949"/>
      <c r="M66" s="949"/>
      <c r="N66" s="965"/>
      <c r="O66" s="964"/>
    </row>
    <row r="67" spans="1:15" ht="15" customHeight="1" x14ac:dyDescent="0.2">
      <c r="A67" s="950" t="s">
        <v>61</v>
      </c>
      <c r="B67" s="1"/>
      <c r="C67" s="1"/>
      <c r="D67" s="1"/>
      <c r="E67" s="1"/>
      <c r="F67" s="49">
        <f t="shared" si="14"/>
        <v>0</v>
      </c>
      <c r="G67" s="49">
        <f t="shared" si="14"/>
        <v>0</v>
      </c>
      <c r="H67" s="49">
        <f t="shared" si="14"/>
        <v>0</v>
      </c>
      <c r="I67" s="2086"/>
      <c r="J67" s="1435" t="s">
        <v>3359</v>
      </c>
      <c r="K67" s="949"/>
      <c r="L67" s="949"/>
      <c r="M67" s="949"/>
      <c r="N67" s="965"/>
      <c r="O67" s="964"/>
    </row>
    <row r="68" spans="1:15" ht="15.75" x14ac:dyDescent="0.2">
      <c r="A68" s="952" t="s">
        <v>62</v>
      </c>
      <c r="B68" s="2">
        <f>SUM(B65:B67)</f>
        <v>0</v>
      </c>
      <c r="C68" s="2">
        <f>SUM(C65:C67)</f>
        <v>0</v>
      </c>
      <c r="D68" s="2">
        <f>SUM(D65:D67)</f>
        <v>0</v>
      </c>
      <c r="E68" s="2">
        <f>SUM(E65:E67)</f>
        <v>0</v>
      </c>
      <c r="F68" s="49">
        <f t="shared" si="14"/>
        <v>0</v>
      </c>
      <c r="G68" s="49">
        <f t="shared" si="14"/>
        <v>0</v>
      </c>
      <c r="H68" s="49">
        <f t="shared" si="14"/>
        <v>0</v>
      </c>
      <c r="I68" s="2086"/>
      <c r="J68" s="1435" t="s">
        <v>3360</v>
      </c>
      <c r="K68" s="949"/>
      <c r="L68" s="949"/>
      <c r="M68" s="949"/>
      <c r="N68" s="965"/>
      <c r="O68" s="964"/>
    </row>
    <row r="69" spans="1:15" ht="15" customHeight="1" x14ac:dyDescent="0.2">
      <c r="A69" s="950" t="s">
        <v>139</v>
      </c>
      <c r="B69" s="1"/>
      <c r="C69" s="1"/>
      <c r="D69" s="1"/>
      <c r="E69" s="1"/>
      <c r="F69" s="49">
        <f t="shared" si="14"/>
        <v>0</v>
      </c>
      <c r="G69" s="49">
        <f t="shared" si="14"/>
        <v>0</v>
      </c>
      <c r="H69" s="49">
        <f t="shared" si="14"/>
        <v>0</v>
      </c>
      <c r="I69" s="2086"/>
      <c r="J69" s="1435" t="s">
        <v>3361</v>
      </c>
      <c r="K69" s="949"/>
      <c r="L69" s="949"/>
      <c r="M69" s="949"/>
      <c r="N69" s="965"/>
      <c r="O69" s="964"/>
    </row>
    <row r="70" spans="1:15" ht="15.75" x14ac:dyDescent="0.2">
      <c r="A70" s="958" t="s">
        <v>76</v>
      </c>
      <c r="B70" s="2">
        <f>B59+B63+B68+B69</f>
        <v>0</v>
      </c>
      <c r="C70" s="2">
        <f>C59+C63+C68+C69</f>
        <v>0</v>
      </c>
      <c r="D70" s="2">
        <f>D59+D63+D68+D69</f>
        <v>0</v>
      </c>
      <c r="E70" s="2">
        <f>E59+E63+E68+E69</f>
        <v>0</v>
      </c>
      <c r="F70" s="49">
        <f t="shared" si="14"/>
        <v>0</v>
      </c>
      <c r="G70" s="49">
        <f t="shared" si="14"/>
        <v>0</v>
      </c>
      <c r="H70" s="49">
        <f t="shared" si="14"/>
        <v>0</v>
      </c>
      <c r="I70" s="2086"/>
      <c r="J70" s="1435" t="s">
        <v>3362</v>
      </c>
      <c r="K70" s="949"/>
      <c r="L70" s="949"/>
      <c r="M70" s="949"/>
      <c r="N70" s="965"/>
      <c r="O70" s="964"/>
    </row>
    <row r="71" spans="1:15" ht="15" customHeight="1" thickBot="1" x14ac:dyDescent="0.25">
      <c r="A71" s="950" t="s">
        <v>64</v>
      </c>
      <c r="B71" s="1"/>
      <c r="C71" s="1"/>
      <c r="D71" s="1"/>
      <c r="E71" s="1"/>
      <c r="F71" s="49">
        <f t="shared" si="14"/>
        <v>0</v>
      </c>
      <c r="G71" s="49">
        <f t="shared" si="14"/>
        <v>0</v>
      </c>
      <c r="H71" s="49">
        <f t="shared" si="14"/>
        <v>0</v>
      </c>
      <c r="I71" s="2086"/>
      <c r="J71" s="1435" t="s">
        <v>3363</v>
      </c>
      <c r="K71" s="949"/>
      <c r="L71" s="949"/>
      <c r="M71" s="949"/>
      <c r="N71" s="965"/>
      <c r="O71" s="964"/>
    </row>
    <row r="72" spans="1:15" ht="17.25" thickTop="1" thickBot="1" x14ac:dyDescent="0.3">
      <c r="A72" s="954" t="s">
        <v>611</v>
      </c>
      <c r="B72" s="968">
        <f>B70-B52+B45</f>
        <v>0</v>
      </c>
      <c r="C72" s="968">
        <f>C70-C52+C45</f>
        <v>0</v>
      </c>
      <c r="D72" s="968">
        <f>D70-D52+D45</f>
        <v>0</v>
      </c>
      <c r="E72" s="968">
        <f>E70-E52+E45</f>
        <v>0</v>
      </c>
      <c r="F72" s="5"/>
      <c r="G72" s="5"/>
      <c r="H72" s="5"/>
      <c r="I72" s="915"/>
      <c r="J72" s="1435" t="s">
        <v>3364</v>
      </c>
      <c r="K72" s="949"/>
      <c r="L72" s="949"/>
      <c r="M72" s="949"/>
      <c r="N72" s="965"/>
      <c r="O72" s="964"/>
    </row>
    <row r="73" spans="1:15" ht="16.5" thickTop="1" x14ac:dyDescent="0.2">
      <c r="A73" s="2077" t="s">
        <v>79</v>
      </c>
      <c r="B73" s="2078"/>
      <c r="C73" s="2078"/>
      <c r="D73" s="2078"/>
      <c r="E73" s="2078"/>
      <c r="F73" s="2078"/>
      <c r="G73" s="2078"/>
      <c r="H73" s="2078"/>
      <c r="I73" s="2079"/>
      <c r="K73" s="949"/>
      <c r="L73" s="949"/>
      <c r="M73" s="949"/>
      <c r="N73" s="965"/>
      <c r="O73" s="964"/>
    </row>
    <row r="74" spans="1:15" ht="15.75" customHeight="1" x14ac:dyDescent="0.2">
      <c r="A74" s="952" t="s">
        <v>63</v>
      </c>
      <c r="B74" s="14" t="e">
        <f>B49/B68</f>
        <v>#DIV/0!</v>
      </c>
      <c r="C74" s="14" t="e">
        <f>C49/C68</f>
        <v>#DIV/0!</v>
      </c>
      <c r="D74" s="14" t="e">
        <f>D49/D68</f>
        <v>#DIV/0!</v>
      </c>
      <c r="E74" s="14" t="e">
        <f>E49/E68</f>
        <v>#DIV/0!</v>
      </c>
      <c r="F74" s="388">
        <f t="shared" ref="F74:G89" si="15">IF(ISERROR((B74-C74)/C74),0,(B74-C74)/C74)</f>
        <v>0</v>
      </c>
      <c r="G74" s="388">
        <f t="shared" si="15"/>
        <v>0</v>
      </c>
      <c r="H74" s="388">
        <f t="shared" ref="H74:H89" si="16">IF(ISERROR((D74-E74)/E74),0,(D74-E74)/E74)</f>
        <v>0</v>
      </c>
      <c r="I74" s="2087" t="s">
        <v>500</v>
      </c>
      <c r="J74" s="1435" t="s">
        <v>3365</v>
      </c>
      <c r="K74" s="949" t="s">
        <v>527</v>
      </c>
      <c r="L74" s="949"/>
      <c r="M74" s="949"/>
      <c r="N74" s="965"/>
      <c r="O74" s="964"/>
    </row>
    <row r="75" spans="1:15" ht="15.75" x14ac:dyDescent="0.2">
      <c r="A75" s="952" t="s">
        <v>16</v>
      </c>
      <c r="B75" s="14" t="e">
        <f>B63/B59</f>
        <v>#DIV/0!</v>
      </c>
      <c r="C75" s="14" t="e">
        <f>C63/C59</f>
        <v>#DIV/0!</v>
      </c>
      <c r="D75" s="14" t="e">
        <f>D63/D59</f>
        <v>#DIV/0!</v>
      </c>
      <c r="E75" s="14" t="e">
        <f>E63/E59</f>
        <v>#DIV/0!</v>
      </c>
      <c r="F75" s="388">
        <f t="shared" si="15"/>
        <v>0</v>
      </c>
      <c r="G75" s="388">
        <f t="shared" si="15"/>
        <v>0</v>
      </c>
      <c r="H75" s="388">
        <f t="shared" si="16"/>
        <v>0</v>
      </c>
      <c r="I75" s="2088"/>
      <c r="J75" s="1435" t="s">
        <v>3366</v>
      </c>
      <c r="K75" s="949" t="s">
        <v>528</v>
      </c>
      <c r="L75" s="949"/>
      <c r="M75" s="949"/>
      <c r="N75" s="965"/>
      <c r="O75" s="964"/>
    </row>
    <row r="76" spans="1:15" ht="15.75" x14ac:dyDescent="0.2">
      <c r="A76" s="952" t="s">
        <v>17</v>
      </c>
      <c r="B76" s="14" t="e">
        <f>(B63+B68+B69)/B59</f>
        <v>#DIV/0!</v>
      </c>
      <c r="C76" s="14" t="e">
        <f>(C63+C68+C69)/C59</f>
        <v>#DIV/0!</v>
      </c>
      <c r="D76" s="14" t="e">
        <f>(D63+D68+D69)/D59</f>
        <v>#DIV/0!</v>
      </c>
      <c r="E76" s="14" t="e">
        <f>(E63+E68+E69)/E59</f>
        <v>#DIV/0!</v>
      </c>
      <c r="F76" s="388">
        <f t="shared" si="15"/>
        <v>0</v>
      </c>
      <c r="G76" s="388">
        <f t="shared" si="15"/>
        <v>0</v>
      </c>
      <c r="H76" s="388">
        <f t="shared" si="16"/>
        <v>0</v>
      </c>
      <c r="I76" s="2088"/>
      <c r="J76" s="1435" t="s">
        <v>3367</v>
      </c>
      <c r="K76" s="949" t="s">
        <v>529</v>
      </c>
      <c r="L76" s="949"/>
      <c r="M76" s="949"/>
      <c r="N76" s="965"/>
      <c r="O76" s="964"/>
    </row>
    <row r="77" spans="1:15" ht="15.75" x14ac:dyDescent="0.2">
      <c r="A77" s="952" t="s">
        <v>1855</v>
      </c>
      <c r="B77" s="14" t="e">
        <f>B63/(B59+B45)</f>
        <v>#DIV/0!</v>
      </c>
      <c r="C77" s="14" t="e">
        <f>C63/(C59+C45)</f>
        <v>#DIV/0!</v>
      </c>
      <c r="D77" s="14" t="e">
        <f t="shared" ref="D77:E77" si="17">D63/(D59+D45)</f>
        <v>#DIV/0!</v>
      </c>
      <c r="E77" s="14" t="e">
        <f t="shared" si="17"/>
        <v>#DIV/0!</v>
      </c>
      <c r="F77" s="388">
        <f t="shared" si="15"/>
        <v>0</v>
      </c>
      <c r="G77" s="388">
        <f t="shared" si="15"/>
        <v>0</v>
      </c>
      <c r="H77" s="388">
        <f t="shared" si="16"/>
        <v>0</v>
      </c>
      <c r="I77" s="2088"/>
      <c r="J77" s="1435" t="s">
        <v>3368</v>
      </c>
      <c r="K77" s="949"/>
      <c r="L77" s="949"/>
      <c r="M77" s="949"/>
      <c r="N77" s="965"/>
      <c r="O77" s="964"/>
    </row>
    <row r="78" spans="1:15" ht="15.75" x14ac:dyDescent="0.2">
      <c r="A78" s="952" t="s">
        <v>1856</v>
      </c>
      <c r="B78" s="14" t="e">
        <f>(B63+B68+B69)/(B59+B45)</f>
        <v>#DIV/0!</v>
      </c>
      <c r="C78" s="14" t="e">
        <f>(C63+C68+C69)/(C59+C45)</f>
        <v>#DIV/0!</v>
      </c>
      <c r="D78" s="14" t="e">
        <f t="shared" ref="D78:E78" si="18">(D63+D68+D69)/(D59+D45)</f>
        <v>#DIV/0!</v>
      </c>
      <c r="E78" s="14" t="e">
        <f t="shared" si="18"/>
        <v>#DIV/0!</v>
      </c>
      <c r="F78" s="388">
        <f t="shared" si="15"/>
        <v>0</v>
      </c>
      <c r="G78" s="388">
        <f t="shared" si="15"/>
        <v>0</v>
      </c>
      <c r="H78" s="388">
        <f t="shared" si="16"/>
        <v>0</v>
      </c>
      <c r="I78" s="2088"/>
      <c r="J78" s="1435" t="s">
        <v>3369</v>
      </c>
      <c r="K78" s="949"/>
      <c r="L78" s="949"/>
      <c r="M78" s="949"/>
      <c r="N78" s="965"/>
      <c r="O78" s="964"/>
    </row>
    <row r="79" spans="1:15" ht="15.75" x14ac:dyDescent="0.2">
      <c r="A79" s="952" t="s">
        <v>19</v>
      </c>
      <c r="B79" s="14" t="e">
        <f>B63/B25</f>
        <v>#DIV/0!</v>
      </c>
      <c r="C79" s="14" t="e">
        <f>C63/C25</f>
        <v>#DIV/0!</v>
      </c>
      <c r="D79" s="14" t="e">
        <f>D63/D25</f>
        <v>#DIV/0!</v>
      </c>
      <c r="E79" s="14" t="e">
        <f>E63/E25</f>
        <v>#DIV/0!</v>
      </c>
      <c r="F79" s="388">
        <f t="shared" si="15"/>
        <v>0</v>
      </c>
      <c r="G79" s="388">
        <f t="shared" si="15"/>
        <v>0</v>
      </c>
      <c r="H79" s="388">
        <f t="shared" si="16"/>
        <v>0</v>
      </c>
      <c r="I79" s="2088"/>
      <c r="J79" s="1435" t="s">
        <v>3370</v>
      </c>
      <c r="K79" s="949"/>
      <c r="L79" s="949"/>
      <c r="M79" s="949"/>
      <c r="N79" s="965"/>
      <c r="O79" s="964"/>
    </row>
    <row r="80" spans="1:15" ht="15.75" x14ac:dyDescent="0.2">
      <c r="A80" s="952" t="s">
        <v>1032</v>
      </c>
      <c r="B80" s="14" t="e">
        <f>(B63+B66-B47)/B59</f>
        <v>#DIV/0!</v>
      </c>
      <c r="C80" s="14" t="e">
        <f>(C63+C66-C47)/C59</f>
        <v>#DIV/0!</v>
      </c>
      <c r="D80" s="14" t="e">
        <f>(D63+D66-D47)/D59</f>
        <v>#DIV/0!</v>
      </c>
      <c r="E80" s="14" t="e">
        <f>(E63+E66-E47)/E59</f>
        <v>#DIV/0!</v>
      </c>
      <c r="F80" s="388">
        <f t="shared" si="15"/>
        <v>0</v>
      </c>
      <c r="G80" s="388">
        <f t="shared" si="15"/>
        <v>0</v>
      </c>
      <c r="H80" s="388">
        <f t="shared" si="16"/>
        <v>0</v>
      </c>
      <c r="I80" s="2088"/>
      <c r="J80" s="1435" t="s">
        <v>3371</v>
      </c>
      <c r="K80" s="949"/>
      <c r="L80" s="949"/>
      <c r="M80" s="949"/>
      <c r="N80" s="965"/>
      <c r="O80" s="964"/>
    </row>
    <row r="81" spans="1:15" ht="15.75" x14ac:dyDescent="0.2">
      <c r="A81" s="952" t="s">
        <v>1031</v>
      </c>
      <c r="B81" s="14" t="e">
        <f>(B63+B66-B47)/B25</f>
        <v>#DIV/0!</v>
      </c>
      <c r="C81" s="14" t="e">
        <f>(C63+C66-C47)/C25</f>
        <v>#DIV/0!</v>
      </c>
      <c r="D81" s="14" t="e">
        <f>(D63+D66-D47)/D25</f>
        <v>#DIV/0!</v>
      </c>
      <c r="E81" s="14" t="e">
        <f>(E63+E66-E47)/E25</f>
        <v>#DIV/0!</v>
      </c>
      <c r="F81" s="388">
        <f t="shared" si="15"/>
        <v>0</v>
      </c>
      <c r="G81" s="388">
        <f t="shared" si="15"/>
        <v>0</v>
      </c>
      <c r="H81" s="388">
        <f t="shared" si="16"/>
        <v>0</v>
      </c>
      <c r="I81" s="2088"/>
      <c r="J81" s="1435" t="s">
        <v>3372</v>
      </c>
      <c r="K81" s="949"/>
      <c r="L81" s="949"/>
      <c r="M81" s="949"/>
      <c r="N81" s="965"/>
      <c r="O81" s="964"/>
    </row>
    <row r="82" spans="1:15" ht="15.75" x14ac:dyDescent="0.2">
      <c r="A82" s="952" t="s">
        <v>29</v>
      </c>
      <c r="B82" s="14" t="e">
        <f>B29/B31</f>
        <v>#DIV/0!</v>
      </c>
      <c r="C82" s="14" t="e">
        <f>C29/C31</f>
        <v>#DIV/0!</v>
      </c>
      <c r="D82" s="14" t="e">
        <f>D29/D31</f>
        <v>#DIV/0!</v>
      </c>
      <c r="E82" s="14" t="e">
        <f>E29/E31</f>
        <v>#DIV/0!</v>
      </c>
      <c r="F82" s="388">
        <f t="shared" si="15"/>
        <v>0</v>
      </c>
      <c r="G82" s="388">
        <f t="shared" si="15"/>
        <v>0</v>
      </c>
      <c r="H82" s="388">
        <f t="shared" si="16"/>
        <v>0</v>
      </c>
      <c r="I82" s="2088"/>
      <c r="J82" s="1435" t="s">
        <v>3373</v>
      </c>
      <c r="K82" s="949"/>
      <c r="L82" s="949"/>
      <c r="M82" s="949"/>
      <c r="N82" s="965"/>
      <c r="O82" s="964"/>
    </row>
    <row r="83" spans="1:15" ht="15.75" x14ac:dyDescent="0.2">
      <c r="A83" s="952" t="s">
        <v>1857</v>
      </c>
      <c r="B83" s="14" t="e">
        <f>(B37+B27+B28)/(B63+B68)</f>
        <v>#DIV/0!</v>
      </c>
      <c r="C83" s="14" t="e">
        <f>(C37+C27+C28)/(C63+C68)</f>
        <v>#DIV/0!</v>
      </c>
      <c r="D83" s="14" t="e">
        <f t="shared" ref="D83:E83" si="19">(D37+D27+D28)/(D63+D68)</f>
        <v>#DIV/0!</v>
      </c>
      <c r="E83" s="14" t="e">
        <f t="shared" si="19"/>
        <v>#DIV/0!</v>
      </c>
      <c r="F83" s="388">
        <f t="shared" si="15"/>
        <v>0</v>
      </c>
      <c r="G83" s="388">
        <f t="shared" si="15"/>
        <v>0</v>
      </c>
      <c r="H83" s="388">
        <f t="shared" si="16"/>
        <v>0</v>
      </c>
      <c r="I83" s="2088"/>
      <c r="J83" s="1435" t="s">
        <v>3374</v>
      </c>
      <c r="K83" s="949"/>
      <c r="L83" s="949"/>
      <c r="M83" s="949"/>
      <c r="N83" s="965"/>
      <c r="O83" s="964"/>
    </row>
    <row r="84" spans="1:15" ht="15.75" x14ac:dyDescent="0.2">
      <c r="A84" s="952" t="s">
        <v>67</v>
      </c>
      <c r="B84" s="14" t="e">
        <f>B59/B52</f>
        <v>#DIV/0!</v>
      </c>
      <c r="C84" s="14" t="e">
        <f>C59/C52</f>
        <v>#DIV/0!</v>
      </c>
      <c r="D84" s="14" t="e">
        <f>D59/D52</f>
        <v>#DIV/0!</v>
      </c>
      <c r="E84" s="14" t="e">
        <f>E59/E52</f>
        <v>#DIV/0!</v>
      </c>
      <c r="F84" s="388">
        <f t="shared" si="15"/>
        <v>0</v>
      </c>
      <c r="G84" s="388">
        <f t="shared" si="15"/>
        <v>0</v>
      </c>
      <c r="H84" s="388">
        <f t="shared" si="16"/>
        <v>0</v>
      </c>
      <c r="I84" s="2088"/>
      <c r="J84" s="1435" t="s">
        <v>3375</v>
      </c>
      <c r="K84" s="949"/>
      <c r="L84" s="949"/>
      <c r="M84" s="949"/>
      <c r="N84" s="965"/>
      <c r="O84" s="964"/>
    </row>
    <row r="85" spans="1:15" ht="15.75" x14ac:dyDescent="0.2">
      <c r="A85" s="952" t="s">
        <v>31</v>
      </c>
      <c r="B85" s="2" t="e">
        <f>(B44*365)/(B17+B18)</f>
        <v>#DIV/0!</v>
      </c>
      <c r="C85" s="2" t="e">
        <f t="shared" ref="C85:E85" si="20">(C44*365)/(C17+C18)</f>
        <v>#DIV/0!</v>
      </c>
      <c r="D85" s="2" t="e">
        <f t="shared" si="20"/>
        <v>#DIV/0!</v>
      </c>
      <c r="E85" s="2" t="e">
        <f t="shared" si="20"/>
        <v>#DIV/0!</v>
      </c>
      <c r="F85" s="388">
        <f t="shared" si="15"/>
        <v>0</v>
      </c>
      <c r="G85" s="388">
        <f t="shared" si="15"/>
        <v>0</v>
      </c>
      <c r="H85" s="388">
        <f t="shared" si="16"/>
        <v>0</v>
      </c>
      <c r="I85" s="2088"/>
      <c r="J85" s="1435" t="s">
        <v>3376</v>
      </c>
      <c r="K85" s="949"/>
      <c r="L85" s="949"/>
      <c r="M85" s="949"/>
      <c r="N85" s="965"/>
      <c r="O85" s="964"/>
    </row>
    <row r="86" spans="1:15" ht="15.75" x14ac:dyDescent="0.2">
      <c r="A86" s="952" t="s">
        <v>32</v>
      </c>
      <c r="B86" s="2" t="e">
        <f>(B46*365)/B11</f>
        <v>#DIV/0!</v>
      </c>
      <c r="C86" s="2" t="e">
        <f>(C46*365)/C11</f>
        <v>#DIV/0!</v>
      </c>
      <c r="D86" s="2" t="e">
        <f>(D46*365)/D11</f>
        <v>#DIV/0!</v>
      </c>
      <c r="E86" s="2" t="e">
        <f>(E46*365)/E11</f>
        <v>#DIV/0!</v>
      </c>
      <c r="F86" s="388">
        <f t="shared" si="15"/>
        <v>0</v>
      </c>
      <c r="G86" s="388">
        <f t="shared" si="15"/>
        <v>0</v>
      </c>
      <c r="H86" s="388">
        <f t="shared" si="16"/>
        <v>0</v>
      </c>
      <c r="I86" s="2088"/>
      <c r="J86" s="1435" t="s">
        <v>3377</v>
      </c>
      <c r="K86" s="949"/>
      <c r="L86" s="949"/>
      <c r="M86" s="949"/>
      <c r="N86" s="965"/>
      <c r="O86" s="964"/>
    </row>
    <row r="87" spans="1:15" ht="15.75" x14ac:dyDescent="0.2">
      <c r="A87" s="952" t="s">
        <v>33</v>
      </c>
      <c r="B87" s="2" t="e">
        <f>(B65*365)/(B17+B18)</f>
        <v>#DIV/0!</v>
      </c>
      <c r="C87" s="2" t="e">
        <f>(C65*365)/(C17+C18)</f>
        <v>#DIV/0!</v>
      </c>
      <c r="D87" s="2" t="e">
        <f>(D65*365)/(D17+D18)</f>
        <v>#DIV/0!</v>
      </c>
      <c r="E87" s="2" t="e">
        <f>(E65*365)/(E17+E18)</f>
        <v>#DIV/0!</v>
      </c>
      <c r="F87" s="388">
        <f t="shared" si="15"/>
        <v>0</v>
      </c>
      <c r="G87" s="388">
        <f t="shared" si="15"/>
        <v>0</v>
      </c>
      <c r="H87" s="388">
        <f t="shared" si="16"/>
        <v>0</v>
      </c>
      <c r="I87" s="2088"/>
      <c r="J87" s="1435" t="s">
        <v>3378</v>
      </c>
      <c r="K87" s="949"/>
      <c r="L87" s="949"/>
      <c r="M87" s="949"/>
      <c r="N87" s="965"/>
      <c r="O87" s="964"/>
    </row>
    <row r="88" spans="1:15" ht="15.75" x14ac:dyDescent="0.2">
      <c r="A88" s="952" t="s">
        <v>34</v>
      </c>
      <c r="B88" s="2" t="e">
        <f>B85+B86-B87</f>
        <v>#DIV/0!</v>
      </c>
      <c r="C88" s="2" t="e">
        <f>C85+C86-C87</f>
        <v>#DIV/0!</v>
      </c>
      <c r="D88" s="2" t="e">
        <f>D85+D86-D87</f>
        <v>#DIV/0!</v>
      </c>
      <c r="E88" s="2" t="e">
        <f>E85+E86-E87</f>
        <v>#DIV/0!</v>
      </c>
      <c r="F88" s="388">
        <f t="shared" si="15"/>
        <v>0</v>
      </c>
      <c r="G88" s="388">
        <f t="shared" si="15"/>
        <v>0</v>
      </c>
      <c r="H88" s="388">
        <f t="shared" si="16"/>
        <v>0</v>
      </c>
      <c r="I88" s="2088"/>
      <c r="J88" s="1435" t="s">
        <v>3379</v>
      </c>
      <c r="K88" s="949"/>
      <c r="L88" s="949"/>
      <c r="M88" s="949"/>
      <c r="N88" s="965"/>
      <c r="O88" s="964"/>
    </row>
    <row r="89" spans="1:15" ht="15.75" x14ac:dyDescent="0.2">
      <c r="A89" s="952" t="s">
        <v>2017</v>
      </c>
      <c r="B89" s="2" t="e">
        <f>(B88/365)*B11*75%</f>
        <v>#DIV/0!</v>
      </c>
      <c r="C89" s="2" t="e">
        <f>(C88/365)*C11*75%</f>
        <v>#DIV/0!</v>
      </c>
      <c r="D89" s="2" t="e">
        <f t="shared" ref="D89:E89" si="21">(D88/365)*D11*75%</f>
        <v>#DIV/0!</v>
      </c>
      <c r="E89" s="2" t="e">
        <f t="shared" si="21"/>
        <v>#DIV/0!</v>
      </c>
      <c r="F89" s="388">
        <f t="shared" si="15"/>
        <v>0</v>
      </c>
      <c r="G89" s="388">
        <f t="shared" si="15"/>
        <v>0</v>
      </c>
      <c r="H89" s="388">
        <f t="shared" si="16"/>
        <v>0</v>
      </c>
      <c r="I89" s="2088"/>
      <c r="J89" s="1435" t="s">
        <v>3380</v>
      </c>
      <c r="K89" s="949"/>
      <c r="L89" s="949"/>
      <c r="M89" s="949"/>
      <c r="N89" s="965"/>
      <c r="O89" s="964"/>
    </row>
    <row r="90" spans="1:15" ht="15.75" x14ac:dyDescent="0.2">
      <c r="A90" s="952" t="s">
        <v>2018</v>
      </c>
      <c r="B90" s="2" t="e">
        <f>(B88/365)*B11</f>
        <v>#DIV/0!</v>
      </c>
      <c r="C90" s="2" t="e">
        <f>(C88/365)*C11</f>
        <v>#DIV/0!</v>
      </c>
      <c r="D90" s="2" t="e">
        <f t="shared" ref="D90:E90" si="22">(D88/365)*D11</f>
        <v>#DIV/0!</v>
      </c>
      <c r="E90" s="2" t="e">
        <f t="shared" si="22"/>
        <v>#DIV/0!</v>
      </c>
      <c r="F90" s="388">
        <f t="shared" ref="F90:H92" si="23">IF(ISERROR((B90-C90)/C90),0,(B90-C90)/C90)</f>
        <v>0</v>
      </c>
      <c r="G90" s="388">
        <f t="shared" si="23"/>
        <v>0</v>
      </c>
      <c r="H90" s="388">
        <f t="shared" si="23"/>
        <v>0</v>
      </c>
      <c r="I90" s="2088"/>
      <c r="J90" s="1435" t="s">
        <v>3381</v>
      </c>
      <c r="K90" s="949"/>
      <c r="L90" s="949"/>
      <c r="M90" s="949"/>
      <c r="N90" s="965"/>
      <c r="O90" s="964"/>
    </row>
    <row r="91" spans="1:15" ht="15.75" x14ac:dyDescent="0.2">
      <c r="A91" s="962" t="s">
        <v>187</v>
      </c>
      <c r="B91" s="1"/>
      <c r="C91" s="1"/>
      <c r="D91" s="1"/>
      <c r="E91" s="1"/>
      <c r="F91" s="49">
        <f t="shared" si="23"/>
        <v>0</v>
      </c>
      <c r="G91" s="49">
        <f t="shared" si="23"/>
        <v>0</v>
      </c>
      <c r="H91" s="49">
        <f t="shared" si="23"/>
        <v>0</v>
      </c>
      <c r="I91" s="2089"/>
      <c r="J91" s="1435" t="s">
        <v>3382</v>
      </c>
      <c r="K91" s="949"/>
      <c r="L91" s="949"/>
      <c r="M91" s="949"/>
      <c r="N91" s="965"/>
      <c r="O91" s="964"/>
    </row>
    <row r="92" spans="1:15" s="113" customFormat="1" ht="15.75" x14ac:dyDescent="0.2">
      <c r="A92" s="952" t="s">
        <v>3124</v>
      </c>
      <c r="B92" s="2" t="e">
        <f>B89-B91</f>
        <v>#DIV/0!</v>
      </c>
      <c r="C92" s="2" t="e">
        <f t="shared" ref="C92:E92" si="24">C89-C91</f>
        <v>#DIV/0!</v>
      </c>
      <c r="D92" s="2" t="e">
        <f t="shared" si="24"/>
        <v>#DIV/0!</v>
      </c>
      <c r="E92" s="2" t="e">
        <f t="shared" si="24"/>
        <v>#DIV/0!</v>
      </c>
      <c r="F92" s="388">
        <f t="shared" si="23"/>
        <v>0</v>
      </c>
      <c r="G92" s="388">
        <f t="shared" si="23"/>
        <v>0</v>
      </c>
      <c r="H92" s="388">
        <f t="shared" si="23"/>
        <v>0</v>
      </c>
      <c r="I92" s="899"/>
      <c r="J92" s="1435" t="s">
        <v>3383</v>
      </c>
      <c r="K92" s="946"/>
      <c r="L92" s="946"/>
      <c r="M92" s="946"/>
      <c r="N92" s="941"/>
      <c r="O92" s="941"/>
    </row>
    <row r="93" spans="1:15" ht="15.75" x14ac:dyDescent="0.2">
      <c r="A93" s="51" t="s">
        <v>530</v>
      </c>
      <c r="B93" s="668"/>
      <c r="C93" s="2090"/>
      <c r="D93" s="2091"/>
      <c r="E93" s="2091"/>
      <c r="F93" s="2091"/>
      <c r="G93" s="2091"/>
      <c r="H93" s="2091"/>
      <c r="I93" s="2092"/>
      <c r="K93" s="949"/>
      <c r="L93" s="949"/>
      <c r="M93" s="949"/>
      <c r="N93" s="965"/>
      <c r="O93" s="964"/>
    </row>
    <row r="94" spans="1:15" ht="73.5" customHeight="1" thickBot="1" x14ac:dyDescent="0.25">
      <c r="A94" s="94" t="s">
        <v>53</v>
      </c>
      <c r="B94" s="669"/>
      <c r="C94" s="2063" t="s">
        <v>610</v>
      </c>
      <c r="D94" s="2064"/>
      <c r="E94" s="2064"/>
      <c r="F94" s="2064"/>
      <c r="G94" s="2064"/>
      <c r="H94" s="2064"/>
      <c r="I94" s="2065"/>
      <c r="K94" s="949"/>
      <c r="L94" s="949"/>
      <c r="M94" s="949"/>
      <c r="N94" s="965"/>
      <c r="O94" s="964"/>
    </row>
    <row r="95" spans="1:15" s="114" customFormat="1" x14ac:dyDescent="0.2">
      <c r="A95" s="967"/>
      <c r="B95" s="967"/>
      <c r="C95" s="967"/>
      <c r="D95" s="967"/>
      <c r="E95" s="967"/>
      <c r="F95" s="967"/>
      <c r="G95" s="967"/>
      <c r="H95" s="967"/>
      <c r="I95" s="967"/>
      <c r="J95" s="1435"/>
      <c r="K95" s="965"/>
      <c r="L95" s="965"/>
      <c r="M95" s="965"/>
      <c r="N95" s="965"/>
      <c r="O95" s="965"/>
    </row>
    <row r="96" spans="1:15" s="114" customFormat="1" x14ac:dyDescent="0.2">
      <c r="A96" s="967"/>
      <c r="B96" s="967"/>
      <c r="C96" s="967"/>
      <c r="D96" s="967"/>
      <c r="E96" s="967"/>
      <c r="F96" s="967"/>
      <c r="G96" s="967"/>
      <c r="H96" s="967"/>
      <c r="I96" s="967"/>
      <c r="J96" s="1435"/>
      <c r="K96" s="965"/>
      <c r="L96" s="965"/>
      <c r="M96" s="965"/>
      <c r="N96" s="965"/>
      <c r="O96" s="965"/>
    </row>
    <row r="97" spans="1:15" s="114" customFormat="1" x14ac:dyDescent="0.2">
      <c r="A97" s="967"/>
      <c r="B97" s="967"/>
      <c r="C97" s="967"/>
      <c r="D97" s="967"/>
      <c r="E97" s="967"/>
      <c r="F97" s="967"/>
      <c r="G97" s="967"/>
      <c r="H97" s="967"/>
      <c r="I97" s="967"/>
      <c r="J97" s="1435"/>
      <c r="K97" s="965"/>
      <c r="L97" s="965"/>
      <c r="M97" s="965"/>
      <c r="N97" s="965"/>
      <c r="O97" s="965"/>
    </row>
    <row r="98" spans="1:15" s="114" customFormat="1" x14ac:dyDescent="0.2">
      <c r="A98" s="965"/>
      <c r="B98" s="965"/>
      <c r="C98" s="965"/>
      <c r="D98" s="965"/>
      <c r="E98" s="965"/>
      <c r="F98" s="965"/>
      <c r="G98" s="965"/>
      <c r="H98" s="965"/>
      <c r="I98" s="965"/>
      <c r="J98" s="1435"/>
      <c r="K98" s="965"/>
      <c r="L98" s="965"/>
      <c r="M98" s="965"/>
      <c r="N98" s="965"/>
      <c r="O98" s="965"/>
    </row>
    <row r="99" spans="1:15" s="114" customFormat="1" x14ac:dyDescent="0.2">
      <c r="A99" s="965"/>
      <c r="B99" s="965"/>
      <c r="C99" s="965"/>
      <c r="D99" s="965"/>
      <c r="E99" s="965"/>
      <c r="F99" s="965"/>
      <c r="G99" s="965"/>
      <c r="H99" s="965"/>
      <c r="I99" s="965"/>
      <c r="J99" s="1435"/>
      <c r="K99" s="965"/>
      <c r="L99" s="965"/>
      <c r="M99" s="965"/>
      <c r="N99" s="965"/>
      <c r="O99" s="965"/>
    </row>
    <row r="100" spans="1:15" s="114" customFormat="1" x14ac:dyDescent="0.2">
      <c r="A100" s="965"/>
      <c r="B100" s="965"/>
      <c r="C100" s="965"/>
      <c r="D100" s="965"/>
      <c r="E100" s="965"/>
      <c r="F100" s="965"/>
      <c r="G100" s="965"/>
      <c r="H100" s="965"/>
      <c r="I100" s="965"/>
      <c r="J100" s="1435"/>
      <c r="K100" s="965"/>
      <c r="L100" s="965"/>
      <c r="M100" s="965"/>
      <c r="N100" s="965"/>
      <c r="O100" s="965"/>
    </row>
    <row r="101" spans="1:15" s="114" customFormat="1" x14ac:dyDescent="0.2">
      <c r="A101" s="965"/>
      <c r="B101" s="965"/>
      <c r="C101" s="965"/>
      <c r="D101" s="965"/>
      <c r="E101" s="965"/>
      <c r="F101" s="965"/>
      <c r="G101" s="965"/>
      <c r="H101" s="965"/>
      <c r="I101" s="965"/>
      <c r="J101" s="1435"/>
      <c r="K101" s="965"/>
      <c r="L101" s="965"/>
      <c r="M101" s="965"/>
      <c r="N101" s="965"/>
      <c r="O101" s="965"/>
    </row>
    <row r="102" spans="1:15" s="114" customFormat="1" x14ac:dyDescent="0.2">
      <c r="A102" s="965"/>
      <c r="B102" s="965"/>
      <c r="C102" s="965"/>
      <c r="D102" s="965"/>
      <c r="E102" s="965"/>
      <c r="F102" s="965"/>
      <c r="G102" s="965"/>
      <c r="H102" s="965"/>
      <c r="I102" s="965"/>
      <c r="J102" s="1435"/>
      <c r="K102" s="965"/>
      <c r="L102" s="965"/>
      <c r="M102" s="965"/>
      <c r="N102" s="965"/>
      <c r="O102" s="965"/>
    </row>
    <row r="103" spans="1:15" s="114" customFormat="1" x14ac:dyDescent="0.2">
      <c r="A103" s="965"/>
      <c r="B103" s="965"/>
      <c r="C103" s="965"/>
      <c r="D103" s="965"/>
      <c r="E103" s="965"/>
      <c r="F103" s="965"/>
      <c r="G103" s="965"/>
      <c r="H103" s="965"/>
      <c r="I103" s="965"/>
      <c r="J103" s="1435"/>
      <c r="K103" s="965"/>
      <c r="L103" s="965"/>
      <c r="M103" s="965"/>
      <c r="N103" s="965"/>
      <c r="O103" s="965"/>
    </row>
    <row r="104" spans="1:15" s="114" customFormat="1" x14ac:dyDescent="0.2">
      <c r="A104" s="965"/>
      <c r="B104" s="965"/>
      <c r="C104" s="965"/>
      <c r="D104" s="965"/>
      <c r="E104" s="965"/>
      <c r="F104" s="965"/>
      <c r="G104" s="965"/>
      <c r="H104" s="965"/>
      <c r="I104" s="965"/>
      <c r="J104" s="1435"/>
      <c r="K104" s="965"/>
      <c r="L104" s="965"/>
      <c r="M104" s="965"/>
      <c r="N104" s="965"/>
      <c r="O104" s="965"/>
    </row>
    <row r="105" spans="1:15" x14ac:dyDescent="0.2">
      <c r="A105" s="385"/>
      <c r="B105" s="385"/>
      <c r="C105" s="385"/>
      <c r="D105" s="385"/>
      <c r="E105" s="385"/>
      <c r="F105" s="385"/>
      <c r="G105" s="385"/>
      <c r="H105" s="385"/>
      <c r="I105" s="385"/>
      <c r="K105" s="965"/>
      <c r="L105" s="965"/>
      <c r="M105" s="965"/>
      <c r="N105" s="965"/>
      <c r="O105" s="964"/>
    </row>
  </sheetData>
  <sheetProtection algorithmName="SHA-512" hashValue="SYkASzTkRnjU57Ivbc/w2GNxylSd4YZd2/xb2Tu1ljX9tvyj7ADrIsj+0xnJWViEF7VZhYgwdNMZY3ZBMTuPSA==" saltValue="r55fPx3CJpGhtjPWS1gLLw==" spinCount="100000" sheet="1" formatCells="0" formatColumns="0" formatRows="0" insertColumns="0" insertRows="0" insertHyperlinks="0" deleteColumns="0" deleteRows="0" autoFilter="0"/>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06" priority="7" operator="equal">
      <formula>"True"</formula>
    </cfRule>
    <cfRule type="cellIs" dxfId="305" priority="8" operator="equal">
      <formula>"False"</formula>
    </cfRule>
    <cfRule type="cellIs" dxfId="304" priority="9" operator="equal">
      <formula>"Pending"</formula>
    </cfRule>
  </conditionalFormatting>
  <conditionalFormatting sqref="B72">
    <cfRule type="cellIs" dxfId="303" priority="1" operator="equal">
      <formula>"True"</formula>
    </cfRule>
    <cfRule type="cellIs" dxfId="302" priority="2" operator="equal">
      <formula>"False"</formula>
    </cfRule>
    <cfRule type="cellIs" dxfId="301" priority="3" operator="equal">
      <formula>"Pending"</formula>
    </cfRule>
  </conditionalFormatting>
  <dataValidations count="2">
    <dataValidation type="list" allowBlank="1" showInputMessage="1" showErrorMessage="1" sqref="C8:E8" xr:uid="{00000000-0002-0000-1B00-000000000000}">
      <formula1>"Audited,Unaudited,Provisional,Projection"</formula1>
    </dataValidation>
    <dataValidation type="list" allowBlank="1" showInputMessage="1" showErrorMessage="1" sqref="B8" xr:uid="{B160E551-F1AD-4509-AFE9-5BF55ED44BC3}">
      <formula1>"Provisional,Projection"</formula1>
    </dataValidation>
  </dataValidations>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C16:E16 C14:C15 C21:E21 C26:E26 C22:C24 E22:E24 C29:E30 C27:C28 E27:E28 C32:E34 C31 E31 C37:E38 C35 E35 E14:E15 I10 I16 I14:I15 I20:I21 I17 I26 I22:I24 I29:I30 I27:I28 I32:I34 I31 I37:I38 I35 C10:E10 G10 A10 A37:A38 A26:A35 A21:A24 A14:A16"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1000000}">
          <x14:formula1>
            <xm:f>'Industry Margins'!$P$3:$P$153</xm:f>
          </x14:formula1>
          <xm:sqref>I4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
    <pageSetUpPr fitToPage="1"/>
  </sheetPr>
  <dimension ref="A1:P109"/>
  <sheetViews>
    <sheetView showGridLines="0" zoomScale="71" zoomScaleNormal="71" workbookViewId="0">
      <pane ySplit="7" topLeftCell="A8" activePane="bottomLeft" state="frozen"/>
      <selection activeCell="R1" sqref="R1:R1048576"/>
      <selection pane="bottomLeft" activeCell="R1" sqref="R1:R1048576"/>
    </sheetView>
  </sheetViews>
  <sheetFormatPr defaultColWidth="0" defaultRowHeight="15" zeroHeight="1" x14ac:dyDescent="0.2"/>
  <cols>
    <col min="1" max="1" width="54.85546875" style="50" customWidth="1"/>
    <col min="2" max="3" width="20.28515625" style="50" customWidth="1"/>
    <col min="4" max="4" width="20.5703125" style="50" customWidth="1"/>
    <col min="5" max="5" width="21.140625" style="50" customWidth="1"/>
    <col min="6" max="8" width="18.28515625" style="50" customWidth="1"/>
    <col min="9" max="9" width="38.42578125" style="50" customWidth="1"/>
    <col min="10" max="10" width="16.140625" style="1435" hidden="1" customWidth="1"/>
    <col min="11" max="12" width="9.140625" style="48" customWidth="1"/>
    <col min="13" max="13" width="25.140625" style="48" customWidth="1"/>
    <col min="14" max="14" width="9.140625" style="48" customWidth="1"/>
    <col min="15" max="16384" width="0" style="48" hidden="1"/>
  </cols>
  <sheetData>
    <row r="1" spans="1:16" ht="14.25" customHeight="1" x14ac:dyDescent="0.2">
      <c r="A1" s="2095" t="str">
        <f>'Borrower Details'!A2</f>
        <v>Mortgage-Magnus-Unsecured</v>
      </c>
      <c r="B1" s="2096"/>
      <c r="C1" s="2096"/>
      <c r="D1" s="2096"/>
      <c r="E1" s="2096"/>
      <c r="F1" s="933"/>
      <c r="G1" s="933"/>
      <c r="H1" s="933"/>
      <c r="I1" s="934"/>
      <c r="K1" s="2101" t="s">
        <v>186</v>
      </c>
      <c r="L1" s="2101"/>
      <c r="M1" s="2101"/>
      <c r="N1" s="6"/>
      <c r="O1" s="6"/>
      <c r="P1" s="6"/>
    </row>
    <row r="2" spans="1:16" ht="18" x14ac:dyDescent="0.2">
      <c r="A2" s="2097"/>
      <c r="B2" s="2098"/>
      <c r="C2" s="2098"/>
      <c r="D2" s="2098"/>
      <c r="E2" s="2098"/>
      <c r="F2" s="935"/>
      <c r="G2" s="935"/>
      <c r="H2" s="935"/>
      <c r="I2" s="936" t="s">
        <v>3</v>
      </c>
      <c r="K2" s="2101"/>
      <c r="L2" s="2101"/>
      <c r="M2" s="2101"/>
      <c r="N2" s="6"/>
      <c r="O2" s="6"/>
      <c r="P2" s="6"/>
    </row>
    <row r="3" spans="1:16" ht="14.25" customHeight="1" x14ac:dyDescent="0.2">
      <c r="A3" s="2099"/>
      <c r="B3" s="2100"/>
      <c r="C3" s="2100"/>
      <c r="D3" s="2100"/>
      <c r="E3" s="2100"/>
      <c r="F3" s="935"/>
      <c r="G3" s="935"/>
      <c r="H3" s="935"/>
      <c r="I3" s="937"/>
      <c r="K3" s="2101"/>
      <c r="L3" s="2101"/>
      <c r="M3" s="2101"/>
      <c r="N3" s="6"/>
      <c r="O3" s="6"/>
      <c r="P3" s="6"/>
    </row>
    <row r="4" spans="1:16" s="47" customFormat="1" ht="15.75" x14ac:dyDescent="0.2">
      <c r="A4" s="19" t="str">
        <f>'Borrower Details'!A8</f>
        <v>Name of  Main Applicant</v>
      </c>
      <c r="B4" s="939"/>
      <c r="C4" s="2122" t="str">
        <f>'Borrower Details'!B8</f>
        <v>AARBUR</v>
      </c>
      <c r="D4" s="2123"/>
      <c r="E4" s="2123"/>
      <c r="F4" s="2123"/>
      <c r="G4" s="2123"/>
      <c r="H4" s="2123"/>
      <c r="I4" s="2123"/>
      <c r="J4" s="1435"/>
      <c r="K4" s="6"/>
      <c r="L4" s="6"/>
      <c r="M4" s="6"/>
      <c r="N4" s="6"/>
      <c r="O4" s="6"/>
      <c r="P4" s="6"/>
    </row>
    <row r="5" spans="1:16" ht="24.95" customHeight="1" x14ac:dyDescent="0.2">
      <c r="A5" s="2102" t="s">
        <v>58</v>
      </c>
      <c r="B5" s="2103"/>
      <c r="C5" s="2103"/>
      <c r="D5" s="2103"/>
      <c r="E5" s="2104"/>
      <c r="F5" s="2104"/>
      <c r="G5" s="2104"/>
      <c r="H5" s="2105"/>
      <c r="I5" s="2106"/>
      <c r="K5" s="964"/>
      <c r="L5" s="964"/>
      <c r="M5" s="964"/>
      <c r="N5" s="964"/>
      <c r="O5" s="964"/>
      <c r="P5" s="964"/>
    </row>
    <row r="6" spans="1:16" s="113" customFormat="1" ht="24.95" customHeight="1" x14ac:dyDescent="0.2">
      <c r="A6" s="942" t="s">
        <v>3233</v>
      </c>
      <c r="B6" s="1380" t="s">
        <v>3234</v>
      </c>
      <c r="C6" s="1380" t="s">
        <v>3235</v>
      </c>
      <c r="D6" s="1381" t="s">
        <v>3236</v>
      </c>
      <c r="E6" s="1381" t="s">
        <v>3237</v>
      </c>
      <c r="F6" s="1382"/>
      <c r="G6" s="1382"/>
      <c r="H6" s="1382"/>
      <c r="I6" s="78"/>
      <c r="J6" s="1435" t="s">
        <v>3305</v>
      </c>
      <c r="K6" s="941"/>
      <c r="L6" s="941"/>
      <c r="M6" s="941"/>
    </row>
    <row r="7" spans="1:16" ht="39.75" customHeight="1" thickBot="1" x14ac:dyDescent="0.25">
      <c r="A7" s="969" t="s">
        <v>3238</v>
      </c>
      <c r="B7" s="1383">
        <f>Financials1!B7</f>
        <v>44286</v>
      </c>
      <c r="C7" s="1383">
        <f>Financials1!C7</f>
        <v>43921</v>
      </c>
      <c r="D7" s="1383">
        <f>Financials1!D7</f>
        <v>43555</v>
      </c>
      <c r="E7" s="1383">
        <f>Financials1!E7</f>
        <v>43190</v>
      </c>
      <c r="F7" s="115" t="str">
        <f>Financials1!F7</f>
        <v>2021 to 2020</v>
      </c>
      <c r="G7" s="115" t="str">
        <f>Financials1!G7</f>
        <v>2020 to 2019</v>
      </c>
      <c r="H7" s="115" t="str">
        <f>Financials1!H7</f>
        <v>2019 to 2018</v>
      </c>
      <c r="I7" s="970" t="s">
        <v>296</v>
      </c>
      <c r="J7" s="1435" t="s">
        <v>3306</v>
      </c>
      <c r="K7" s="964"/>
      <c r="L7" s="964"/>
      <c r="M7" s="964"/>
      <c r="N7" s="964"/>
      <c r="O7" s="964"/>
      <c r="P7" s="964"/>
    </row>
    <row r="8" spans="1:16" ht="3" customHeight="1" thickBot="1" x14ac:dyDescent="0.25">
      <c r="A8" s="971"/>
      <c r="B8" s="886"/>
      <c r="C8" s="886"/>
      <c r="D8" s="886"/>
      <c r="E8" s="886"/>
      <c r="F8" s="972"/>
      <c r="G8" s="972"/>
      <c r="H8" s="972"/>
      <c r="I8" s="973"/>
      <c r="K8" s="964"/>
      <c r="L8" s="964"/>
      <c r="M8" s="964"/>
      <c r="N8" s="964"/>
      <c r="O8" s="964"/>
      <c r="P8" s="964"/>
    </row>
    <row r="9" spans="1:16" ht="39.75" hidden="1" customHeight="1" thickBot="1" x14ac:dyDescent="0.25">
      <c r="A9" s="971"/>
      <c r="B9" s="886"/>
      <c r="C9" s="886"/>
      <c r="D9" s="886"/>
      <c r="E9" s="886"/>
      <c r="F9" s="972"/>
      <c r="G9" s="972"/>
      <c r="H9" s="972"/>
      <c r="I9" s="973"/>
      <c r="J9" s="1435" t="s">
        <v>3308</v>
      </c>
      <c r="K9" s="964"/>
      <c r="L9" s="964"/>
      <c r="M9" s="964"/>
      <c r="N9" s="964"/>
      <c r="O9" s="964"/>
      <c r="P9" s="964"/>
    </row>
    <row r="10" spans="1:16" ht="16.5" thickBot="1" x14ac:dyDescent="0.25">
      <c r="A10" s="2107" t="s">
        <v>69</v>
      </c>
      <c r="B10" s="2120"/>
      <c r="C10" s="2120"/>
      <c r="D10" s="2120"/>
      <c r="E10" s="2120"/>
      <c r="F10" s="2120"/>
      <c r="G10" s="2108"/>
      <c r="H10" s="2108"/>
      <c r="I10" s="2109"/>
      <c r="K10" s="964"/>
      <c r="L10" s="964"/>
      <c r="M10" s="964"/>
      <c r="N10" s="964"/>
      <c r="O10" s="964"/>
      <c r="P10" s="964"/>
    </row>
    <row r="11" spans="1:16" x14ac:dyDescent="0.2">
      <c r="A11" s="974" t="s">
        <v>4</v>
      </c>
      <c r="B11" s="95">
        <f>Financials1!B11+Financials2!B11+Financials3!B11</f>
        <v>0</v>
      </c>
      <c r="C11" s="95">
        <f>Financials1!C11+Financials2!C11+Financials3!C11</f>
        <v>67905203.25</v>
      </c>
      <c r="D11" s="95">
        <f>Financials1!D11+Financials2!D11+Financials3!D11</f>
        <v>77950161.870000005</v>
      </c>
      <c r="E11" s="95">
        <f>Financials1!E11+Financials2!E11+Financials3!E11</f>
        <v>0</v>
      </c>
      <c r="F11" s="49">
        <f>IF(ISERROR((B11-C11)/C11),0,(B11-C11)/C11)</f>
        <v>-1</v>
      </c>
      <c r="G11" s="49">
        <f t="shared" ref="F11:G37" si="0">IF(ISERROR((C11-D11)/D11),0,(C11-D11)/D11)</f>
        <v>-0.12886385838110645</v>
      </c>
      <c r="H11" s="49">
        <f t="shared" ref="H11:H37" si="1">IF(ISERROR((D11-E11)/E11),0,(D11-E11)/E11)</f>
        <v>0</v>
      </c>
      <c r="I11" s="2121" t="s">
        <v>499</v>
      </c>
      <c r="J11" s="1435" t="s">
        <v>3309</v>
      </c>
      <c r="K11" s="975"/>
      <c r="L11" s="975"/>
      <c r="M11" s="976"/>
      <c r="N11" s="964"/>
      <c r="O11" s="964"/>
      <c r="P11" s="964"/>
    </row>
    <row r="12" spans="1:16" s="365" customFormat="1" x14ac:dyDescent="0.2">
      <c r="A12" s="947" t="s">
        <v>1749</v>
      </c>
      <c r="B12" s="95">
        <f>Financials1!B12+Financials2!B12+Financials3!B12</f>
        <v>0</v>
      </c>
      <c r="C12" s="95">
        <f>Financials1!C12+Financials2!C12+Financials3!C12</f>
        <v>57148575.670000002</v>
      </c>
      <c r="D12" s="95">
        <f>Financials1!D12+Financials2!D12+Financials3!D12</f>
        <v>66572818.57</v>
      </c>
      <c r="E12" s="95">
        <f>Financials1!E12+Financials2!E12+Financials3!E12</f>
        <v>0</v>
      </c>
      <c r="F12" s="364">
        <f t="shared" si="0"/>
        <v>-1</v>
      </c>
      <c r="G12" s="364">
        <f t="shared" si="0"/>
        <v>-0.14156292466557643</v>
      </c>
      <c r="H12" s="364">
        <f t="shared" si="1"/>
        <v>0</v>
      </c>
      <c r="I12" s="2088"/>
      <c r="J12" s="1436" t="s">
        <v>3310</v>
      </c>
      <c r="K12" s="948"/>
      <c r="L12" s="948"/>
      <c r="M12" s="949"/>
      <c r="N12" s="966"/>
      <c r="O12" s="966"/>
      <c r="P12" s="966"/>
    </row>
    <row r="13" spans="1:16" s="365" customFormat="1" x14ac:dyDescent="0.2">
      <c r="A13" s="947" t="s">
        <v>1752</v>
      </c>
      <c r="B13" s="95">
        <f>Financials1!B13+Financials2!B13+Financials3!B13</f>
        <v>0</v>
      </c>
      <c r="C13" s="95">
        <f>Financials1!C13+Financials2!C13+Financials3!C13</f>
        <v>10756627.58</v>
      </c>
      <c r="D13" s="95">
        <f>Financials1!D13+Financials2!D13+Financials3!D13</f>
        <v>11377343.300000001</v>
      </c>
      <c r="E13" s="95">
        <f>Financials1!E13+Financials2!E13+Financials3!E13</f>
        <v>0</v>
      </c>
      <c r="F13" s="364">
        <f t="shared" si="0"/>
        <v>-1</v>
      </c>
      <c r="G13" s="364">
        <f t="shared" si="0"/>
        <v>-5.4557175927002273E-2</v>
      </c>
      <c r="H13" s="364">
        <f t="shared" si="1"/>
        <v>0</v>
      </c>
      <c r="I13" s="2088"/>
      <c r="J13" s="1436" t="s">
        <v>3311</v>
      </c>
      <c r="K13" s="948"/>
      <c r="L13" s="948"/>
      <c r="M13" s="949"/>
      <c r="N13" s="966"/>
      <c r="O13" s="966"/>
      <c r="P13" s="966"/>
    </row>
    <row r="14" spans="1:16" x14ac:dyDescent="0.2">
      <c r="A14" s="944" t="s">
        <v>480</v>
      </c>
      <c r="B14" s="95">
        <f>Financials1!B14+Financials2!B14+Financials3!B14</f>
        <v>0</v>
      </c>
      <c r="C14" s="95">
        <f>Financials1!C14+Financials2!C14+Financials3!C14</f>
        <v>8027185.0800000001</v>
      </c>
      <c r="D14" s="95">
        <f>Financials1!D14+Financials2!D14+Financials3!D14</f>
        <v>3630203.5700000003</v>
      </c>
      <c r="E14" s="95">
        <f>Financials1!E14+Financials2!E14+Financials3!E14</f>
        <v>0</v>
      </c>
      <c r="F14" s="49">
        <f t="shared" si="0"/>
        <v>-1</v>
      </c>
      <c r="G14" s="49">
        <f t="shared" si="0"/>
        <v>1.2112217469942048</v>
      </c>
      <c r="H14" s="49">
        <f t="shared" si="1"/>
        <v>0</v>
      </c>
      <c r="I14" s="2093"/>
      <c r="J14" s="1435" t="s">
        <v>3312</v>
      </c>
      <c r="K14" s="948"/>
      <c r="L14" s="948"/>
      <c r="M14" s="949"/>
      <c r="N14" s="965"/>
      <c r="O14" s="964"/>
      <c r="P14" s="964"/>
    </row>
    <row r="15" spans="1:16" x14ac:dyDescent="0.2">
      <c r="A15" s="950" t="s">
        <v>481</v>
      </c>
      <c r="B15" s="95">
        <f>Financials1!B15+Financials2!B15+Financials3!B15</f>
        <v>0</v>
      </c>
      <c r="C15" s="95">
        <f>Financials1!C15+Financials2!C15+Financials3!C15</f>
        <v>4932710.9000000004</v>
      </c>
      <c r="D15" s="95">
        <f>Financials1!D15+Financials2!D15+Financials3!D15</f>
        <v>3681977.02</v>
      </c>
      <c r="E15" s="95">
        <f>Financials1!E15+Financials2!E15+Financials3!E15</f>
        <v>0</v>
      </c>
      <c r="F15" s="49">
        <f t="shared" si="0"/>
        <v>-1</v>
      </c>
      <c r="G15" s="49">
        <f t="shared" si="0"/>
        <v>0.33969084358924118</v>
      </c>
      <c r="H15" s="49">
        <f t="shared" si="1"/>
        <v>0</v>
      </c>
      <c r="I15" s="2093"/>
      <c r="J15" s="1435" t="s">
        <v>3313</v>
      </c>
      <c r="K15" s="976"/>
      <c r="L15" s="976"/>
      <c r="M15" s="976"/>
      <c r="N15" s="964"/>
      <c r="O15" s="964"/>
      <c r="P15" s="964"/>
    </row>
    <row r="16" spans="1:16" ht="15.75" x14ac:dyDescent="0.2">
      <c r="A16" s="952" t="s">
        <v>6</v>
      </c>
      <c r="B16" s="2">
        <f>B15+B11</f>
        <v>0</v>
      </c>
      <c r="C16" s="2">
        <f>C15+C11</f>
        <v>72837914.150000006</v>
      </c>
      <c r="D16" s="2">
        <f>D15+D11</f>
        <v>81632138.890000001</v>
      </c>
      <c r="E16" s="2">
        <f>E15+E11</f>
        <v>0</v>
      </c>
      <c r="F16" s="49">
        <f t="shared" si="0"/>
        <v>-1</v>
      </c>
      <c r="G16" s="49">
        <f t="shared" si="0"/>
        <v>-0.10772993161247786</v>
      </c>
      <c r="H16" s="49">
        <f t="shared" si="1"/>
        <v>0</v>
      </c>
      <c r="I16" s="2093"/>
      <c r="J16" s="1435" t="s">
        <v>3314</v>
      </c>
      <c r="K16" s="976"/>
      <c r="L16" s="976"/>
      <c r="M16" s="976"/>
      <c r="N16" s="964"/>
      <c r="O16" s="964"/>
      <c r="P16" s="964"/>
    </row>
    <row r="17" spans="1:16" x14ac:dyDescent="0.2">
      <c r="A17" s="950" t="s">
        <v>27</v>
      </c>
      <c r="B17" s="95">
        <f>Financials1!B17+Financials2!B17+Financials3!B17</f>
        <v>0</v>
      </c>
      <c r="C17" s="95">
        <f>Financials1!C17+Financials2!C17+Financials3!C17</f>
        <v>40738528.969999999</v>
      </c>
      <c r="D17" s="95">
        <f>Financials1!D17+Financials2!D17+Financials3!D17</f>
        <v>36394424.450000003</v>
      </c>
      <c r="E17" s="95">
        <f>Financials1!E17+Financials2!E17+Financials3!E17</f>
        <v>0</v>
      </c>
      <c r="F17" s="49">
        <f t="shared" si="0"/>
        <v>-1</v>
      </c>
      <c r="G17" s="49">
        <f t="shared" si="0"/>
        <v>0.11936181394949895</v>
      </c>
      <c r="H17" s="49">
        <f t="shared" si="1"/>
        <v>0</v>
      </c>
      <c r="I17" s="2093"/>
      <c r="J17" s="1435" t="s">
        <v>3315</v>
      </c>
      <c r="K17" s="976"/>
      <c r="L17" s="976"/>
      <c r="M17" s="976"/>
      <c r="N17" s="964"/>
      <c r="O17" s="964"/>
      <c r="P17" s="964"/>
    </row>
    <row r="18" spans="1:16" x14ac:dyDescent="0.2">
      <c r="A18" s="950" t="s">
        <v>2019</v>
      </c>
      <c r="B18" s="95">
        <f>Financials1!B18+Financials2!B18+Financials3!B18</f>
        <v>0</v>
      </c>
      <c r="C18" s="95">
        <f>Financials1!C18+Financials2!C18+Financials3!C18</f>
        <v>18949844.119999997</v>
      </c>
      <c r="D18" s="95">
        <f>Financials1!D18+Financials2!D18+Financials3!D18</f>
        <v>27055468.520000003</v>
      </c>
      <c r="E18" s="95">
        <f>Financials1!E18+Financials2!E18+Financials3!E18</f>
        <v>0</v>
      </c>
      <c r="F18" s="49">
        <f>IF(ISERROR((B18-C18)/C18),0,(B18-C18)/C18)</f>
        <v>-1</v>
      </c>
      <c r="G18" s="49">
        <f t="shared" si="0"/>
        <v>-0.29959283070659626</v>
      </c>
      <c r="H18" s="49">
        <f t="shared" si="1"/>
        <v>0</v>
      </c>
      <c r="I18" s="2093"/>
      <c r="J18" s="1435" t="s">
        <v>3316</v>
      </c>
      <c r="K18" s="976"/>
      <c r="L18" s="976"/>
      <c r="M18" s="976"/>
      <c r="N18" s="964"/>
      <c r="O18" s="964"/>
      <c r="P18" s="964"/>
    </row>
    <row r="19" spans="1:16" x14ac:dyDescent="0.2">
      <c r="A19" s="950" t="s">
        <v>1761</v>
      </c>
      <c r="B19" s="95">
        <f>Financials1!B19+Financials2!B19+Financials3!B19</f>
        <v>0</v>
      </c>
      <c r="C19" s="95">
        <f>Financials1!C19+Financials2!C19+Financials3!C19</f>
        <v>-791646</v>
      </c>
      <c r="D19" s="95">
        <f>Financials1!D19+Financials2!D19+Financials3!D19</f>
        <v>1741023.39</v>
      </c>
      <c r="E19" s="95">
        <f>Financials1!E19+Financials2!E19+Financials3!E19</f>
        <v>0</v>
      </c>
      <c r="F19" s="49">
        <f t="shared" si="0"/>
        <v>-1</v>
      </c>
      <c r="G19" s="49">
        <f t="shared" si="0"/>
        <v>-1.4547015304601967</v>
      </c>
      <c r="H19" s="49">
        <f t="shared" si="1"/>
        <v>0</v>
      </c>
      <c r="I19" s="2093"/>
      <c r="J19" s="1435" t="s">
        <v>3317</v>
      </c>
      <c r="K19" s="976"/>
      <c r="L19" s="976"/>
      <c r="M19" s="976"/>
      <c r="N19" s="964"/>
      <c r="O19" s="964"/>
      <c r="P19" s="964"/>
    </row>
    <row r="20" spans="1:16" ht="15.75" x14ac:dyDescent="0.2">
      <c r="A20" s="952" t="s">
        <v>28</v>
      </c>
      <c r="B20" s="2">
        <f>B11-(B17+B18)</f>
        <v>0</v>
      </c>
      <c r="C20" s="2">
        <f>C11-(C17+C18)</f>
        <v>8216830.1600000039</v>
      </c>
      <c r="D20" s="2">
        <f t="shared" ref="D20:E20" si="2">D11-(D17+D18)</f>
        <v>14500268.899999999</v>
      </c>
      <c r="E20" s="2">
        <f t="shared" si="2"/>
        <v>0</v>
      </c>
      <c r="F20" s="49">
        <f t="shared" si="0"/>
        <v>-1</v>
      </c>
      <c r="G20" s="49">
        <f t="shared" si="0"/>
        <v>-0.43333256668088377</v>
      </c>
      <c r="H20" s="49">
        <f t="shared" si="1"/>
        <v>0</v>
      </c>
      <c r="I20" s="2093"/>
      <c r="J20" s="1435" t="s">
        <v>3318</v>
      </c>
      <c r="K20" s="976"/>
      <c r="L20" s="976"/>
      <c r="M20" s="976"/>
      <c r="N20" s="964"/>
      <c r="O20" s="964"/>
      <c r="P20" s="964"/>
    </row>
    <row r="21" spans="1:16" ht="15.75" x14ac:dyDescent="0.2">
      <c r="A21" s="952" t="s">
        <v>30</v>
      </c>
      <c r="B21" s="17" t="e">
        <f>B20/B11</f>
        <v>#DIV/0!</v>
      </c>
      <c r="C21" s="17">
        <f>C20/C11</f>
        <v>0.12100442626979405</v>
      </c>
      <c r="D21" s="17">
        <f>D20/D11</f>
        <v>0.18601974071821126</v>
      </c>
      <c r="E21" s="17" t="e">
        <f>E20/E11</f>
        <v>#DIV/0!</v>
      </c>
      <c r="F21" s="49">
        <f t="shared" si="0"/>
        <v>0</v>
      </c>
      <c r="G21" s="49">
        <f t="shared" si="0"/>
        <v>-0.34950760708189849</v>
      </c>
      <c r="H21" s="49">
        <f t="shared" si="1"/>
        <v>0</v>
      </c>
      <c r="I21" s="2093"/>
      <c r="J21" s="1435" t="s">
        <v>3319</v>
      </c>
      <c r="K21" s="975"/>
      <c r="L21" s="975"/>
      <c r="M21" s="976"/>
      <c r="N21" s="964"/>
      <c r="O21" s="964"/>
      <c r="P21" s="964"/>
    </row>
    <row r="22" spans="1:16" x14ac:dyDescent="0.2">
      <c r="A22" s="950" t="s">
        <v>81</v>
      </c>
      <c r="B22" s="95">
        <f>Financials1!B22+Financials2!B22+Financials3!B22</f>
        <v>0</v>
      </c>
      <c r="C22" s="95">
        <f>Financials1!C22+Financials2!C22+Financials3!C22</f>
        <v>0</v>
      </c>
      <c r="D22" s="95">
        <f>Financials1!D22+Financials2!D22+Financials3!D22</f>
        <v>0</v>
      </c>
      <c r="E22" s="95">
        <f>Financials1!E22+Financials2!E22+Financials3!E22</f>
        <v>0</v>
      </c>
      <c r="F22" s="49">
        <f t="shared" si="0"/>
        <v>0</v>
      </c>
      <c r="G22" s="49">
        <f t="shared" si="0"/>
        <v>0</v>
      </c>
      <c r="H22" s="49">
        <f t="shared" si="1"/>
        <v>0</v>
      </c>
      <c r="I22" s="2093"/>
      <c r="J22" s="1435" t="s">
        <v>3320</v>
      </c>
      <c r="K22" s="976"/>
      <c r="L22" s="976"/>
      <c r="M22" s="976"/>
      <c r="N22" s="964"/>
      <c r="O22" s="964"/>
      <c r="P22" s="964"/>
    </row>
    <row r="23" spans="1:16" x14ac:dyDescent="0.2">
      <c r="A23" s="950" t="s">
        <v>82</v>
      </c>
      <c r="B23" s="95">
        <f>Financials1!B23+Financials2!B23+Financials3!B23</f>
        <v>0</v>
      </c>
      <c r="C23" s="95">
        <f>Financials1!C23+Financials2!C23+Financials3!C23</f>
        <v>0</v>
      </c>
      <c r="D23" s="95">
        <f>Financials1!D23+Financials2!D23+Financials3!D23</f>
        <v>0</v>
      </c>
      <c r="E23" s="95">
        <f>Financials1!E23+Financials2!E23+Financials3!E23</f>
        <v>0</v>
      </c>
      <c r="F23" s="49">
        <f t="shared" si="0"/>
        <v>0</v>
      </c>
      <c r="G23" s="49">
        <f t="shared" si="0"/>
        <v>0</v>
      </c>
      <c r="H23" s="49">
        <f t="shared" si="1"/>
        <v>0</v>
      </c>
      <c r="I23" s="2093"/>
      <c r="J23" s="1435" t="s">
        <v>3321</v>
      </c>
      <c r="K23" s="976"/>
      <c r="L23" s="976"/>
      <c r="M23" s="976"/>
      <c r="N23" s="964"/>
      <c r="O23" s="964"/>
      <c r="P23" s="964"/>
    </row>
    <row r="24" spans="1:16" ht="30" x14ac:dyDescent="0.2">
      <c r="A24" s="953" t="s">
        <v>83</v>
      </c>
      <c r="B24" s="95">
        <f>Financials1!B24+Financials2!B24+Financials3!B24</f>
        <v>0</v>
      </c>
      <c r="C24" s="95">
        <f>Financials1!C24+Financials2!C24+Financials3!C24</f>
        <v>13089020.589999998</v>
      </c>
      <c r="D24" s="95">
        <f>Financials1!D24+Financials2!D24+Financials3!D24</f>
        <v>14588842.049999999</v>
      </c>
      <c r="E24" s="95">
        <f>Financials1!E24+Financials2!E24+Financials3!E24</f>
        <v>0</v>
      </c>
      <c r="F24" s="49">
        <f t="shared" si="0"/>
        <v>-1</v>
      </c>
      <c r="G24" s="49">
        <f t="shared" si="0"/>
        <v>-0.10280606609213382</v>
      </c>
      <c r="H24" s="49">
        <f t="shared" si="1"/>
        <v>0</v>
      </c>
      <c r="I24" s="2093"/>
      <c r="J24" s="1435" t="s">
        <v>3322</v>
      </c>
      <c r="K24" s="976"/>
      <c r="L24" s="976"/>
      <c r="M24" s="976"/>
      <c r="N24" s="964"/>
      <c r="O24" s="964"/>
      <c r="P24" s="964"/>
    </row>
    <row r="25" spans="1:16" s="113" customFormat="1" ht="15.75" x14ac:dyDescent="0.2">
      <c r="A25" s="952" t="s">
        <v>7</v>
      </c>
      <c r="B25" s="2">
        <f>(B20+B19+B15)-B24-B22-B23</f>
        <v>0</v>
      </c>
      <c r="C25" s="2">
        <f>(C20+C19+C15)-C24-C22-C23</f>
        <v>-731125.52999999374</v>
      </c>
      <c r="D25" s="2">
        <f t="shared" ref="D25:E25" si="3">(D20+D19+D15)-D24-D22-D23</f>
        <v>5334427.26</v>
      </c>
      <c r="E25" s="2">
        <f t="shared" si="3"/>
        <v>0</v>
      </c>
      <c r="F25" s="49">
        <f t="shared" si="0"/>
        <v>-1</v>
      </c>
      <c r="G25" s="49">
        <f t="shared" si="0"/>
        <v>-1.1370579247527304</v>
      </c>
      <c r="H25" s="49">
        <f t="shared" si="1"/>
        <v>0</v>
      </c>
      <c r="I25" s="2093"/>
      <c r="J25" s="1435" t="s">
        <v>3323</v>
      </c>
      <c r="K25" s="946"/>
      <c r="L25" s="946"/>
      <c r="M25" s="946"/>
      <c r="N25" s="941"/>
      <c r="O25" s="941"/>
      <c r="P25" s="941"/>
    </row>
    <row r="26" spans="1:16" ht="15.75" x14ac:dyDescent="0.2">
      <c r="A26" s="952" t="s">
        <v>183</v>
      </c>
      <c r="B26" s="17" t="e">
        <f>B25/B11</f>
        <v>#DIV/0!</v>
      </c>
      <c r="C26" s="17">
        <f>C25/C11</f>
        <v>-1.0766855778463393E-2</v>
      </c>
      <c r="D26" s="17">
        <f>D25/D11</f>
        <v>6.8433818891824705E-2</v>
      </c>
      <c r="E26" s="17" t="e">
        <f>E25/E11</f>
        <v>#DIV/0!</v>
      </c>
      <c r="F26" s="49">
        <f t="shared" si="0"/>
        <v>0</v>
      </c>
      <c r="G26" s="49">
        <f t="shared" si="0"/>
        <v>-1.1573323826262403</v>
      </c>
      <c r="H26" s="49">
        <f t="shared" si="1"/>
        <v>0</v>
      </c>
      <c r="I26" s="2093"/>
      <c r="J26" s="1435" t="s">
        <v>3324</v>
      </c>
      <c r="K26" s="975"/>
      <c r="L26" s="975"/>
      <c r="M26" s="976"/>
      <c r="N26" s="964"/>
      <c r="O26" s="964"/>
      <c r="P26" s="964"/>
    </row>
    <row r="27" spans="1:16" x14ac:dyDescent="0.2">
      <c r="A27" s="950" t="s">
        <v>9</v>
      </c>
      <c r="B27" s="95">
        <f>Financials1!B27+Financials2!B27+Financials3!B27</f>
        <v>0</v>
      </c>
      <c r="C27" s="95">
        <f>Financials1!C27+Financials2!C27+Financials3!C27</f>
        <v>1989388</v>
      </c>
      <c r="D27" s="95">
        <f>Financials1!D27+Financials2!D27+Financials3!D27</f>
        <v>2287718</v>
      </c>
      <c r="E27" s="95">
        <f>Financials1!E27+Financials2!E27+Financials3!E27</f>
        <v>0</v>
      </c>
      <c r="F27" s="49">
        <f t="shared" si="0"/>
        <v>-1</v>
      </c>
      <c r="G27" s="49">
        <f t="shared" si="0"/>
        <v>-0.13040505866544741</v>
      </c>
      <c r="H27" s="49">
        <f t="shared" si="1"/>
        <v>0</v>
      </c>
      <c r="I27" s="2093"/>
      <c r="J27" s="1435" t="s">
        <v>3325</v>
      </c>
      <c r="K27" s="976"/>
      <c r="L27" s="976"/>
      <c r="M27" s="976"/>
      <c r="N27" s="964"/>
      <c r="O27" s="964"/>
      <c r="P27" s="964"/>
    </row>
    <row r="28" spans="1:16" x14ac:dyDescent="0.2">
      <c r="A28" s="950" t="s">
        <v>22</v>
      </c>
      <c r="B28" s="95">
        <f>Financials1!B28+Financials2!B28+Financials3!B28</f>
        <v>0</v>
      </c>
      <c r="C28" s="95">
        <f>Financials1!C28+Financials2!C28+Financials3!C28</f>
        <v>0</v>
      </c>
      <c r="D28" s="95">
        <f>Financials1!D28+Financials2!D28+Financials3!D28</f>
        <v>0</v>
      </c>
      <c r="E28" s="95">
        <f>Financials1!E28+Financials2!E28+Financials3!E28</f>
        <v>0</v>
      </c>
      <c r="F28" s="49">
        <f t="shared" si="0"/>
        <v>0</v>
      </c>
      <c r="G28" s="49">
        <f t="shared" si="0"/>
        <v>0</v>
      </c>
      <c r="H28" s="49">
        <f t="shared" si="1"/>
        <v>0</v>
      </c>
      <c r="I28" s="2093"/>
      <c r="J28" s="1435" t="s">
        <v>3326</v>
      </c>
      <c r="K28" s="976"/>
      <c r="L28" s="976"/>
      <c r="M28" s="976"/>
      <c r="N28" s="964"/>
      <c r="O28" s="964"/>
      <c r="P28" s="964"/>
    </row>
    <row r="29" spans="1:16" ht="15.75" x14ac:dyDescent="0.2">
      <c r="A29" s="954" t="s">
        <v>39</v>
      </c>
      <c r="B29" s="11">
        <f>B25-B27-B28</f>
        <v>0</v>
      </c>
      <c r="C29" s="11">
        <f>C25-C27-C28</f>
        <v>-2720513.5299999937</v>
      </c>
      <c r="D29" s="11">
        <f>D25-D27-D28</f>
        <v>3046709.26</v>
      </c>
      <c r="E29" s="12">
        <f>E25-E27-E28</f>
        <v>0</v>
      </c>
      <c r="F29" s="49">
        <f t="shared" si="0"/>
        <v>-1</v>
      </c>
      <c r="G29" s="49">
        <f t="shared" si="0"/>
        <v>-1.8929350646342913</v>
      </c>
      <c r="H29" s="49">
        <f t="shared" si="1"/>
        <v>0</v>
      </c>
      <c r="I29" s="2093"/>
      <c r="J29" s="1435" t="s">
        <v>3327</v>
      </c>
      <c r="K29" s="976"/>
      <c r="L29" s="976"/>
      <c r="M29" s="976"/>
      <c r="N29" s="964"/>
      <c r="O29" s="964"/>
      <c r="P29" s="964"/>
    </row>
    <row r="30" spans="1:16" ht="15.75" x14ac:dyDescent="0.2">
      <c r="A30" s="952" t="s">
        <v>199</v>
      </c>
      <c r="B30" s="17" t="e">
        <f>B29/B11</f>
        <v>#DIV/0!</v>
      </c>
      <c r="C30" s="17">
        <f>C29/C11</f>
        <v>-4.0063403094224501E-2</v>
      </c>
      <c r="D30" s="17">
        <f>D29/D11</f>
        <v>3.908534872680694E-2</v>
      </c>
      <c r="E30" s="17" t="e">
        <f>E29/E11</f>
        <v>#DIV/0!</v>
      </c>
      <c r="F30" s="49">
        <f t="shared" si="0"/>
        <v>0</v>
      </c>
      <c r="G30" s="49">
        <f t="shared" si="0"/>
        <v>-2.0250235548428601</v>
      </c>
      <c r="H30" s="49">
        <f t="shared" si="1"/>
        <v>0</v>
      </c>
      <c r="I30" s="2093"/>
      <c r="J30" s="1435" t="s">
        <v>3328</v>
      </c>
      <c r="K30" s="975"/>
      <c r="L30" s="975"/>
      <c r="M30" s="976"/>
      <c r="N30" s="964"/>
      <c r="O30" s="964"/>
      <c r="P30" s="964"/>
    </row>
    <row r="31" spans="1:16" x14ac:dyDescent="0.2">
      <c r="A31" s="950" t="s">
        <v>8</v>
      </c>
      <c r="B31" s="95">
        <f>Financials1!B31+Financials2!B31+Financials3!B31</f>
        <v>0</v>
      </c>
      <c r="C31" s="95">
        <f>Financials1!C31+Financials2!C31+Financials3!C31</f>
        <v>4971108.01</v>
      </c>
      <c r="D31" s="95">
        <f>Financials1!D31+Financials2!D31+Financials3!D31</f>
        <v>5247141.5999999996</v>
      </c>
      <c r="E31" s="95">
        <f>Financials1!E31+Financials2!E31+Financials3!E31</f>
        <v>0</v>
      </c>
      <c r="F31" s="49">
        <f t="shared" si="0"/>
        <v>-1</v>
      </c>
      <c r="G31" s="49">
        <f t="shared" si="0"/>
        <v>-5.2606468634275066E-2</v>
      </c>
      <c r="H31" s="49">
        <f t="shared" si="1"/>
        <v>0</v>
      </c>
      <c r="I31" s="2093"/>
      <c r="J31" s="1435" t="s">
        <v>3329</v>
      </c>
      <c r="K31" s="976"/>
      <c r="L31" s="976"/>
      <c r="M31" s="976"/>
      <c r="N31" s="964"/>
      <c r="O31" s="964"/>
      <c r="P31" s="964"/>
    </row>
    <row r="32" spans="1:16" ht="15.75" x14ac:dyDescent="0.2">
      <c r="A32" s="952" t="s">
        <v>10</v>
      </c>
      <c r="B32" s="2">
        <f>B29-B31</f>
        <v>0</v>
      </c>
      <c r="C32" s="2">
        <f>C29-C31</f>
        <v>-7691621.5399999935</v>
      </c>
      <c r="D32" s="2">
        <f>D29-D31</f>
        <v>-2200432.34</v>
      </c>
      <c r="E32" s="2">
        <f>E29-E31</f>
        <v>0</v>
      </c>
      <c r="F32" s="49">
        <f t="shared" si="0"/>
        <v>-1</v>
      </c>
      <c r="G32" s="49">
        <f t="shared" si="0"/>
        <v>2.4955046788668787</v>
      </c>
      <c r="H32" s="49">
        <f t="shared" si="1"/>
        <v>0</v>
      </c>
      <c r="I32" s="2093"/>
      <c r="J32" s="1435" t="s">
        <v>3330</v>
      </c>
      <c r="K32" s="976"/>
      <c r="L32" s="976"/>
      <c r="M32" s="976"/>
      <c r="N32" s="964"/>
      <c r="O32" s="964"/>
      <c r="P32" s="964"/>
    </row>
    <row r="33" spans="1:16" ht="15.75" x14ac:dyDescent="0.2">
      <c r="A33" s="952" t="s">
        <v>198</v>
      </c>
      <c r="B33" s="17" t="e">
        <f>B32/B11</f>
        <v>#DIV/0!</v>
      </c>
      <c r="C33" s="17">
        <f>C32/C11</f>
        <v>-0.11326998774574751</v>
      </c>
      <c r="D33" s="17">
        <f>D32/D11</f>
        <v>-2.822870776932743E-2</v>
      </c>
      <c r="E33" s="17" t="e">
        <f>E32/E11</f>
        <v>#DIV/0!</v>
      </c>
      <c r="F33" s="49">
        <f t="shared" si="0"/>
        <v>0</v>
      </c>
      <c r="G33" s="49">
        <f t="shared" si="0"/>
        <v>3.0125814001597231</v>
      </c>
      <c r="H33" s="49">
        <f t="shared" si="1"/>
        <v>0</v>
      </c>
      <c r="I33" s="2093"/>
      <c r="J33" s="1435" t="s">
        <v>3331</v>
      </c>
      <c r="K33" s="976"/>
      <c r="L33" s="976"/>
      <c r="M33" s="976"/>
      <c r="N33" s="964"/>
      <c r="O33" s="964"/>
      <c r="P33" s="964"/>
    </row>
    <row r="34" spans="1:16" ht="15.75" x14ac:dyDescent="0.2">
      <c r="A34" s="952" t="s">
        <v>233</v>
      </c>
      <c r="B34" s="2">
        <f>B32+B27+B28+B22+B23</f>
        <v>0</v>
      </c>
      <c r="C34" s="2">
        <f>C32+C27+C28+C22+C23</f>
        <v>-5702233.5399999935</v>
      </c>
      <c r="D34" s="2">
        <f>D32+D27+D28+D22+D23</f>
        <v>87285.660000000149</v>
      </c>
      <c r="E34" s="2">
        <f>E32+E27+E28+E22+E23</f>
        <v>0</v>
      </c>
      <c r="F34" s="49">
        <f t="shared" si="0"/>
        <v>-1</v>
      </c>
      <c r="G34" s="49">
        <f t="shared" si="0"/>
        <v>-66.328411791810751</v>
      </c>
      <c r="H34" s="49">
        <f t="shared" si="1"/>
        <v>0</v>
      </c>
      <c r="I34" s="2093"/>
      <c r="J34" s="1435" t="s">
        <v>3332</v>
      </c>
      <c r="K34" s="976"/>
      <c r="L34" s="976"/>
      <c r="M34" s="976"/>
      <c r="N34" s="964"/>
      <c r="O34" s="964"/>
      <c r="P34" s="964"/>
    </row>
    <row r="35" spans="1:16" x14ac:dyDescent="0.2">
      <c r="A35" s="950" t="s">
        <v>23</v>
      </c>
      <c r="B35" s="95">
        <f>Financials1!B35+Financials2!B35+Financials3!B35</f>
        <v>0</v>
      </c>
      <c r="C35" s="95">
        <f>Financials1!C35+Financials2!C35+Financials3!C35</f>
        <v>141663</v>
      </c>
      <c r="D35" s="95">
        <f>Financials1!D35+Financials2!D35+Financials3!D35</f>
        <v>453874</v>
      </c>
      <c r="E35" s="95">
        <f>Financials1!E35+Financials2!E35+Financials3!E35</f>
        <v>0</v>
      </c>
      <c r="F35" s="49">
        <f t="shared" si="0"/>
        <v>-1</v>
      </c>
      <c r="G35" s="49">
        <f t="shared" si="0"/>
        <v>-0.68788033683357053</v>
      </c>
      <c r="H35" s="49">
        <f t="shared" si="1"/>
        <v>0</v>
      </c>
      <c r="I35" s="2093"/>
      <c r="J35" s="1435" t="s">
        <v>3333</v>
      </c>
      <c r="K35" s="976"/>
      <c r="L35" s="976"/>
      <c r="M35" s="976"/>
      <c r="N35" s="964"/>
      <c r="O35" s="964"/>
      <c r="P35" s="964"/>
    </row>
    <row r="36" spans="1:16" ht="15.75" x14ac:dyDescent="0.2">
      <c r="A36" s="955" t="s">
        <v>11</v>
      </c>
      <c r="B36" s="13">
        <f>+B32-B35</f>
        <v>0</v>
      </c>
      <c r="C36" s="13">
        <f>+C32-C35</f>
        <v>-7833284.5399999935</v>
      </c>
      <c r="D36" s="13">
        <f>+D32-D35</f>
        <v>-2654306.34</v>
      </c>
      <c r="E36" s="13">
        <f>+E32-E35</f>
        <v>0</v>
      </c>
      <c r="F36" s="49">
        <f t="shared" si="0"/>
        <v>-1</v>
      </c>
      <c r="G36" s="49">
        <f t="shared" si="0"/>
        <v>1.9511606938330992</v>
      </c>
      <c r="H36" s="49">
        <f t="shared" si="1"/>
        <v>0</v>
      </c>
      <c r="I36" s="2093"/>
      <c r="J36" s="1435" t="s">
        <v>3335</v>
      </c>
      <c r="K36" s="976"/>
      <c r="L36" s="976"/>
      <c r="M36" s="976"/>
      <c r="N36" s="964"/>
      <c r="O36" s="964"/>
      <c r="P36" s="964"/>
    </row>
    <row r="37" spans="1:16" ht="16.5" thickBot="1" x14ac:dyDescent="0.25">
      <c r="A37" s="956" t="s">
        <v>80</v>
      </c>
      <c r="B37" s="18" t="e">
        <f>B36/B11</f>
        <v>#DIV/0!</v>
      </c>
      <c r="C37" s="18">
        <f>C36/C11</f>
        <v>-0.11535617544889674</v>
      </c>
      <c r="D37" s="18">
        <f>D36/D11</f>
        <v>-3.4051325569107505E-2</v>
      </c>
      <c r="E37" s="18" t="e">
        <f>E36/E11</f>
        <v>#DIV/0!</v>
      </c>
      <c r="F37" s="49">
        <f t="shared" si="0"/>
        <v>0</v>
      </c>
      <c r="G37" s="49">
        <f t="shared" si="0"/>
        <v>2.3877146783839658</v>
      </c>
      <c r="H37" s="49">
        <f t="shared" si="1"/>
        <v>0</v>
      </c>
      <c r="I37" s="2094"/>
      <c r="J37" s="1435" t="s">
        <v>3336</v>
      </c>
      <c r="K37" s="975"/>
      <c r="L37" s="975"/>
      <c r="M37" s="976"/>
      <c r="N37" s="964"/>
      <c r="O37" s="964"/>
      <c r="P37" s="964"/>
    </row>
    <row r="38" spans="1:16" ht="16.5" thickBot="1" x14ac:dyDescent="0.25">
      <c r="A38" s="2066" t="s">
        <v>70</v>
      </c>
      <c r="B38" s="2067"/>
      <c r="C38" s="2067"/>
      <c r="D38" s="2067"/>
      <c r="E38" s="2067"/>
      <c r="F38" s="2067"/>
      <c r="G38" s="2067"/>
      <c r="H38" s="2067"/>
      <c r="I38" s="2068"/>
      <c r="K38" s="976"/>
      <c r="L38" s="976"/>
      <c r="M38" s="976"/>
      <c r="N38" s="964"/>
      <c r="O38" s="964"/>
      <c r="P38" s="964"/>
    </row>
    <row r="39" spans="1:16" ht="15.75" x14ac:dyDescent="0.2">
      <c r="A39" s="2069" t="s">
        <v>77</v>
      </c>
      <c r="B39" s="2070"/>
      <c r="C39" s="2070"/>
      <c r="D39" s="2070"/>
      <c r="E39" s="2070"/>
      <c r="F39" s="2070"/>
      <c r="G39" s="2070"/>
      <c r="H39" s="2070"/>
      <c r="I39" s="2071"/>
      <c r="K39" s="976"/>
      <c r="L39" s="976"/>
      <c r="M39" s="976"/>
      <c r="N39" s="964"/>
      <c r="O39" s="964"/>
      <c r="P39" s="964"/>
    </row>
    <row r="40" spans="1:16" x14ac:dyDescent="0.2">
      <c r="A40" s="944" t="s">
        <v>66</v>
      </c>
      <c r="B40" s="95">
        <f>Financials1!B41+Financials2!B41+Financials3!B41</f>
        <v>0</v>
      </c>
      <c r="C40" s="95">
        <f>Financials1!C41+Financials2!C41+Financials3!C41</f>
        <v>17858704.129999999</v>
      </c>
      <c r="D40" s="95">
        <f>Financials1!D41+Financials2!D41+Financials3!D41</f>
        <v>19681024.66</v>
      </c>
      <c r="E40" s="95">
        <f>Financials1!E41+Financials2!E41+Financials3!E41</f>
        <v>0</v>
      </c>
      <c r="F40" s="49">
        <f t="shared" ref="F40:H41" si="4">IF(ISERROR((B40-C40)/C40),0,(B40-C40)/C40)</f>
        <v>-1</v>
      </c>
      <c r="G40" s="49">
        <f t="shared" si="4"/>
        <v>-9.2592766966229756E-2</v>
      </c>
      <c r="H40" s="49">
        <f t="shared" si="4"/>
        <v>0</v>
      </c>
      <c r="I40" s="2112" t="s">
        <v>524</v>
      </c>
      <c r="J40" s="1435" t="s">
        <v>3337</v>
      </c>
      <c r="K40" s="976"/>
      <c r="L40" s="976"/>
      <c r="M40" s="976"/>
      <c r="N40" s="964"/>
      <c r="O40" s="964"/>
      <c r="P40" s="964"/>
    </row>
    <row r="41" spans="1:16" x14ac:dyDescent="0.2">
      <c r="A41" s="950" t="s">
        <v>68</v>
      </c>
      <c r="B41" s="95">
        <f>Financials1!B42+Financials2!B42+Financials3!B42</f>
        <v>0</v>
      </c>
      <c r="C41" s="95">
        <f>Financials1!C42+Financials2!C42+Financials3!C42</f>
        <v>0</v>
      </c>
      <c r="D41" s="95">
        <f>Financials1!D42+Financials2!D42+Financials3!D42</f>
        <v>0</v>
      </c>
      <c r="E41" s="95">
        <f>Financials1!E42+Financials2!E42+Financials3!E42</f>
        <v>0</v>
      </c>
      <c r="F41" s="49">
        <f t="shared" si="4"/>
        <v>0</v>
      </c>
      <c r="G41" s="49">
        <f t="shared" si="4"/>
        <v>0</v>
      </c>
      <c r="H41" s="49">
        <f t="shared" si="4"/>
        <v>0</v>
      </c>
      <c r="I41" s="2073"/>
      <c r="J41" s="1435" t="s">
        <v>3338</v>
      </c>
      <c r="K41" s="976"/>
      <c r="L41" s="976"/>
      <c r="M41" s="976"/>
      <c r="N41" s="964"/>
      <c r="O41" s="964"/>
      <c r="P41" s="964"/>
    </row>
    <row r="42" spans="1:16" ht="15.75" x14ac:dyDescent="0.2">
      <c r="A42" s="2075" t="s">
        <v>72</v>
      </c>
      <c r="B42" s="2132"/>
      <c r="C42" s="2132"/>
      <c r="D42" s="2132"/>
      <c r="E42" s="2132"/>
      <c r="F42" s="2132"/>
      <c r="G42" s="2076"/>
      <c r="H42" s="957"/>
      <c r="I42" s="2073"/>
      <c r="K42" s="976"/>
      <c r="L42" s="976"/>
      <c r="M42" s="976"/>
      <c r="N42" s="964"/>
      <c r="O42" s="964"/>
      <c r="P42" s="964"/>
    </row>
    <row r="43" spans="1:16" x14ac:dyDescent="0.2">
      <c r="A43" s="950" t="s">
        <v>71</v>
      </c>
      <c r="B43" s="95">
        <f>Financials1!B44+Financials2!B44+Financials3!B44</f>
        <v>0</v>
      </c>
      <c r="C43" s="95">
        <f>Financials1!C44+Financials2!C44+Financials3!C44</f>
        <v>34339063</v>
      </c>
      <c r="D43" s="95">
        <f>Financials1!D44+Financials2!D44+Financials3!D44</f>
        <v>38665987</v>
      </c>
      <c r="E43" s="95">
        <f>Financials1!E44+Financials2!E44+Financials3!E44</f>
        <v>0</v>
      </c>
      <c r="F43" s="49">
        <f t="shared" ref="F43:G51" si="5">IF(ISERROR((B43-C43)/C43),0,(B43-C43)/C43)</f>
        <v>-1</v>
      </c>
      <c r="G43" s="49">
        <f t="shared" si="5"/>
        <v>-0.11190517391939329</v>
      </c>
      <c r="H43" s="49">
        <f t="shared" ref="H43:H51" si="6">IF(ISERROR((D43-E43)/E43),0,(D43-E43)/E43)</f>
        <v>0</v>
      </c>
      <c r="I43" s="2073"/>
      <c r="J43" s="1435" t="s">
        <v>3339</v>
      </c>
      <c r="K43" s="976"/>
      <c r="L43" s="976"/>
      <c r="M43" s="976"/>
      <c r="N43" s="964"/>
      <c r="O43" s="964"/>
      <c r="P43" s="964"/>
    </row>
    <row r="44" spans="1:16" x14ac:dyDescent="0.2">
      <c r="A44" s="950" t="s">
        <v>65</v>
      </c>
      <c r="B44" s="95">
        <f>Financials1!B45+Financials2!B45+Financials3!B45</f>
        <v>0</v>
      </c>
      <c r="C44" s="95">
        <f>Financials1!C45+Financials2!C45+Financials3!C45</f>
        <v>0</v>
      </c>
      <c r="D44" s="95">
        <f>Financials1!D45+Financials2!D45+Financials3!D45</f>
        <v>0</v>
      </c>
      <c r="E44" s="95">
        <f>Financials1!E45+Financials2!E45+Financials3!E45</f>
        <v>0</v>
      </c>
      <c r="F44" s="49">
        <f t="shared" si="5"/>
        <v>0</v>
      </c>
      <c r="G44" s="49">
        <f t="shared" si="5"/>
        <v>0</v>
      </c>
      <c r="H44" s="49">
        <f t="shared" si="6"/>
        <v>0</v>
      </c>
      <c r="I44" s="2073"/>
      <c r="J44" s="1435" t="s">
        <v>3340</v>
      </c>
      <c r="K44" s="976"/>
      <c r="L44" s="976"/>
      <c r="M44" s="976"/>
      <c r="N44" s="964"/>
      <c r="O44" s="964"/>
      <c r="P44" s="964"/>
    </row>
    <row r="45" spans="1:16" x14ac:dyDescent="0.2">
      <c r="A45" s="950" t="s">
        <v>205</v>
      </c>
      <c r="B45" s="95">
        <f>Financials1!B46+Financials2!B46+Financials3!B46</f>
        <v>0</v>
      </c>
      <c r="C45" s="95">
        <f>Financials1!C46+Financials2!C46+Financials3!C46</f>
        <v>9663014.9000000004</v>
      </c>
      <c r="D45" s="95">
        <f>Financials1!D46+Financials2!D46+Financials3!D46</f>
        <v>9283609.5099999998</v>
      </c>
      <c r="E45" s="95">
        <f>Financials1!E46+Financials2!E46+Financials3!E46</f>
        <v>0</v>
      </c>
      <c r="F45" s="49">
        <f t="shared" si="5"/>
        <v>-1</v>
      </c>
      <c r="G45" s="49">
        <f t="shared" si="5"/>
        <v>4.0868305543368399E-2</v>
      </c>
      <c r="H45" s="49">
        <f t="shared" si="6"/>
        <v>0</v>
      </c>
      <c r="I45" s="2073"/>
      <c r="J45" s="1435" t="s">
        <v>3341</v>
      </c>
      <c r="K45" s="976" t="s">
        <v>207</v>
      </c>
      <c r="L45" s="976"/>
      <c r="M45" s="976"/>
      <c r="N45" s="964"/>
      <c r="O45" s="964"/>
      <c r="P45" s="964"/>
    </row>
    <row r="46" spans="1:16" x14ac:dyDescent="0.2">
      <c r="A46" s="950" t="s">
        <v>177</v>
      </c>
      <c r="B46" s="95">
        <f>Financials1!B47+Financials2!B47+Financials3!B47</f>
        <v>0</v>
      </c>
      <c r="C46" s="95">
        <f>Financials1!C47+Financials2!C47+Financials3!C47</f>
        <v>2605512.21</v>
      </c>
      <c r="D46" s="95">
        <f>Financials1!D47+Financials2!D47+Financials3!D47</f>
        <v>3884944.43</v>
      </c>
      <c r="E46" s="95">
        <f>Financials1!E47+Financials2!E47+Financials3!E47</f>
        <v>0</v>
      </c>
      <c r="F46" s="49">
        <f t="shared" si="5"/>
        <v>-1</v>
      </c>
      <c r="G46" s="49">
        <f t="shared" si="5"/>
        <v>-0.32933089341512156</v>
      </c>
      <c r="H46" s="49">
        <f t="shared" si="6"/>
        <v>0</v>
      </c>
      <c r="I46" s="2073"/>
      <c r="J46" s="1435" t="s">
        <v>3342</v>
      </c>
      <c r="K46" s="976"/>
      <c r="L46" s="976"/>
      <c r="M46" s="976"/>
      <c r="N46" s="964"/>
      <c r="O46" s="964"/>
      <c r="P46" s="964"/>
    </row>
    <row r="47" spans="1:16" x14ac:dyDescent="0.2">
      <c r="A47" s="950" t="s">
        <v>59</v>
      </c>
      <c r="B47" s="95">
        <f>Financials1!B48+Financials2!B48+Financials3!B48</f>
        <v>0</v>
      </c>
      <c r="C47" s="95">
        <f>Financials1!C48+Financials2!C48+Financials3!C48</f>
        <v>23547792.150000002</v>
      </c>
      <c r="D47" s="95">
        <f>Financials1!D48+Financials2!D48+Financials3!D48</f>
        <v>19626290.010000002</v>
      </c>
      <c r="E47" s="95">
        <f>Financials1!E48+Financials2!E48+Financials3!E48</f>
        <v>0</v>
      </c>
      <c r="F47" s="49">
        <f t="shared" si="5"/>
        <v>-1</v>
      </c>
      <c r="G47" s="49">
        <f t="shared" si="5"/>
        <v>0.19980863107606756</v>
      </c>
      <c r="H47" s="49">
        <f t="shared" si="6"/>
        <v>0</v>
      </c>
      <c r="I47" s="2073"/>
      <c r="J47" s="1435" t="s">
        <v>3343</v>
      </c>
      <c r="K47" s="976"/>
      <c r="L47" s="976"/>
      <c r="M47" s="976"/>
      <c r="N47" s="964"/>
      <c r="O47" s="964"/>
      <c r="P47" s="964"/>
    </row>
    <row r="48" spans="1:16" ht="15.75" x14ac:dyDescent="0.2">
      <c r="A48" s="952" t="s">
        <v>60</v>
      </c>
      <c r="B48" s="2">
        <f>SUM(B43:B47)</f>
        <v>0</v>
      </c>
      <c r="C48" s="2">
        <f>SUM(C43:C47)</f>
        <v>70155382.260000005</v>
      </c>
      <c r="D48" s="2">
        <f>SUM(D43:D47)</f>
        <v>71460830.950000003</v>
      </c>
      <c r="E48" s="2">
        <f>SUM(E43:E47)</f>
        <v>0</v>
      </c>
      <c r="F48" s="49">
        <f t="shared" si="5"/>
        <v>-1</v>
      </c>
      <c r="G48" s="49">
        <f t="shared" si="5"/>
        <v>-1.8268031208780643E-2</v>
      </c>
      <c r="H48" s="49">
        <f t="shared" si="6"/>
        <v>0</v>
      </c>
      <c r="I48" s="2073"/>
      <c r="J48" s="1435" t="s">
        <v>3344</v>
      </c>
      <c r="K48" s="946" t="s">
        <v>702</v>
      </c>
      <c r="L48" s="976"/>
      <c r="M48" s="976"/>
      <c r="N48" s="964"/>
      <c r="O48" s="964"/>
      <c r="P48" s="964"/>
    </row>
    <row r="49" spans="1:16" x14ac:dyDescent="0.2">
      <c r="A49" s="950" t="s">
        <v>73</v>
      </c>
      <c r="B49" s="95">
        <f>Financials1!B50+Financials2!B50+Financials3!B50</f>
        <v>0</v>
      </c>
      <c r="C49" s="95">
        <f>Financials1!C50+Financials2!C50+Financials3!C50</f>
        <v>10721078.82</v>
      </c>
      <c r="D49" s="95">
        <f>Financials1!D50+Financials2!D50+Financials3!D50</f>
        <v>5517831.4399999995</v>
      </c>
      <c r="E49" s="95">
        <f>Financials1!E50+Financials2!E50+Financials3!E50</f>
        <v>0</v>
      </c>
      <c r="F49" s="49">
        <f t="shared" si="5"/>
        <v>-1</v>
      </c>
      <c r="G49" s="49">
        <f t="shared" si="5"/>
        <v>0.94298773650106305</v>
      </c>
      <c r="H49" s="49">
        <f t="shared" si="6"/>
        <v>0</v>
      </c>
      <c r="I49" s="2073"/>
      <c r="J49" s="1435" t="s">
        <v>3345</v>
      </c>
      <c r="K49" s="976"/>
      <c r="L49" s="976"/>
      <c r="M49" s="976"/>
      <c r="N49" s="964"/>
      <c r="O49" s="964"/>
      <c r="P49" s="964"/>
    </row>
    <row r="50" spans="1:16" x14ac:dyDescent="0.2">
      <c r="A50" s="950" t="s">
        <v>137</v>
      </c>
      <c r="B50" s="95">
        <f>Financials1!B51+Financials2!B51+Financials3!B51</f>
        <v>0</v>
      </c>
      <c r="C50" s="95">
        <f>Financials1!C51+Financials2!C51+Financials3!C51</f>
        <v>0</v>
      </c>
      <c r="D50" s="95">
        <f>Financials1!D51+Financials2!D51+Financials3!D51</f>
        <v>0</v>
      </c>
      <c r="E50" s="95">
        <f>Financials1!E51+Financials2!E51+Financials3!E51</f>
        <v>0</v>
      </c>
      <c r="F50" s="49">
        <f t="shared" si="5"/>
        <v>0</v>
      </c>
      <c r="G50" s="49">
        <f t="shared" si="5"/>
        <v>0</v>
      </c>
      <c r="H50" s="49">
        <f t="shared" si="6"/>
        <v>0</v>
      </c>
      <c r="I50" s="2073"/>
      <c r="J50" s="1435" t="s">
        <v>3346</v>
      </c>
      <c r="K50" s="976"/>
      <c r="L50" s="976"/>
      <c r="M50" s="976"/>
      <c r="N50" s="964"/>
      <c r="O50" s="964"/>
      <c r="P50" s="964"/>
    </row>
    <row r="51" spans="1:16" ht="15.75" x14ac:dyDescent="0.2">
      <c r="A51" s="958" t="s">
        <v>74</v>
      </c>
      <c r="B51" s="2">
        <f>B40+B41+B48+B49+B50</f>
        <v>0</v>
      </c>
      <c r="C51" s="2">
        <f>C40+C41+C48+C49+C50</f>
        <v>98735165.210000008</v>
      </c>
      <c r="D51" s="2">
        <f>D40+D41+D48+D49+D50</f>
        <v>96659687.049999997</v>
      </c>
      <c r="E51" s="2">
        <f>E40+E41+E48+E49+E50</f>
        <v>0</v>
      </c>
      <c r="F51" s="49">
        <f t="shared" si="5"/>
        <v>-1</v>
      </c>
      <c r="G51" s="49">
        <f t="shared" si="5"/>
        <v>2.1472014066488864E-2</v>
      </c>
      <c r="H51" s="49">
        <f t="shared" si="6"/>
        <v>0</v>
      </c>
      <c r="I51" s="2074"/>
      <c r="J51" s="1435" t="s">
        <v>3347</v>
      </c>
      <c r="K51" s="976"/>
      <c r="L51" s="976"/>
      <c r="M51" s="976"/>
      <c r="N51" s="964"/>
      <c r="O51" s="964"/>
      <c r="P51" s="964"/>
    </row>
    <row r="52" spans="1:16" ht="3" customHeight="1" x14ac:dyDescent="0.2">
      <c r="A52" s="959"/>
      <c r="B52" s="960"/>
      <c r="C52" s="960"/>
      <c r="D52" s="960"/>
      <c r="E52" s="960"/>
      <c r="F52" s="960"/>
      <c r="G52" s="960"/>
      <c r="H52" s="960"/>
      <c r="I52" s="961"/>
      <c r="K52" s="976"/>
      <c r="L52" s="976"/>
      <c r="M52" s="976"/>
      <c r="N52" s="964"/>
      <c r="O52" s="964"/>
      <c r="P52" s="964"/>
    </row>
    <row r="53" spans="1:16" ht="15.75" x14ac:dyDescent="0.2">
      <c r="A53" s="2077" t="s">
        <v>78</v>
      </c>
      <c r="B53" s="2131"/>
      <c r="C53" s="2131"/>
      <c r="D53" s="2131"/>
      <c r="E53" s="2131"/>
      <c r="F53" s="2131"/>
      <c r="G53" s="2078"/>
      <c r="H53" s="2078"/>
      <c r="I53" s="2079"/>
      <c r="K53" s="976"/>
      <c r="L53" s="976"/>
      <c r="M53" s="976"/>
      <c r="N53" s="964"/>
      <c r="O53" s="964"/>
      <c r="P53" s="964"/>
    </row>
    <row r="54" spans="1:16" x14ac:dyDescent="0.2">
      <c r="A54" s="950" t="s">
        <v>18</v>
      </c>
      <c r="B54" s="95">
        <f>Financials1!B55+Financials2!B55+Financials3!B55</f>
        <v>0</v>
      </c>
      <c r="C54" s="95">
        <f>Financials1!C55+Financials2!C55+Financials3!C55</f>
        <v>21720039.760000002</v>
      </c>
      <c r="D54" s="95">
        <f>Financials1!D55+Financials2!D55+Financials3!D55</f>
        <v>14223023.390000001</v>
      </c>
      <c r="E54" s="95">
        <f>Financials1!E55+Financials2!E55+Financials3!E55</f>
        <v>0</v>
      </c>
      <c r="F54" s="49">
        <f t="shared" ref="F54:G62" si="7">IF(ISERROR((B54-C54)/C54),0,(B54-C54)/C54)</f>
        <v>-1</v>
      </c>
      <c r="G54" s="49">
        <f t="shared" si="7"/>
        <v>0.52710427062020049</v>
      </c>
      <c r="H54" s="49">
        <f t="shared" ref="H54:H62" si="8">IF(ISERROR((D54-E54)/E54),0,(D54-E54)/E54)</f>
        <v>0</v>
      </c>
      <c r="I54" s="2080" t="s">
        <v>525</v>
      </c>
      <c r="J54" s="1435" t="s">
        <v>3348</v>
      </c>
      <c r="K54" s="976"/>
      <c r="L54" s="976"/>
      <c r="M54" s="976"/>
      <c r="N54" s="964"/>
      <c r="O54" s="964"/>
      <c r="P54" s="964"/>
    </row>
    <row r="55" spans="1:16" x14ac:dyDescent="0.2">
      <c r="A55" s="950" t="s">
        <v>14</v>
      </c>
      <c r="B55" s="95">
        <f>Financials1!B56+Financials2!B56+Financials3!B56</f>
        <v>0</v>
      </c>
      <c r="C55" s="95">
        <f>Financials1!C56+Financials2!C56+Financials3!C56</f>
        <v>0</v>
      </c>
      <c r="D55" s="95">
        <f>Financials1!D56+Financials2!D56+Financials3!D56</f>
        <v>0</v>
      </c>
      <c r="E55" s="95">
        <f>Financials1!E56+Financials2!E56+Financials3!E56</f>
        <v>0</v>
      </c>
      <c r="F55" s="49">
        <f t="shared" si="7"/>
        <v>0</v>
      </c>
      <c r="G55" s="49">
        <f t="shared" si="7"/>
        <v>0</v>
      </c>
      <c r="H55" s="49">
        <f t="shared" si="8"/>
        <v>0</v>
      </c>
      <c r="I55" s="2081"/>
      <c r="J55" s="1435" t="s">
        <v>3349</v>
      </c>
      <c r="K55" s="976"/>
      <c r="L55" s="976"/>
      <c r="M55" s="976"/>
      <c r="N55" s="964"/>
      <c r="O55" s="964"/>
      <c r="P55" s="964"/>
    </row>
    <row r="56" spans="1:16" x14ac:dyDescent="0.2">
      <c r="A56" s="953" t="s">
        <v>179</v>
      </c>
      <c r="B56" s="95">
        <f>Financials1!B57+Financials2!B57+Financials3!B57</f>
        <v>0</v>
      </c>
      <c r="C56" s="95">
        <f>Financials1!C57+Financials2!C57+Financials3!C57</f>
        <v>0</v>
      </c>
      <c r="D56" s="95">
        <f>Financials1!D57+Financials2!D57+Financials3!D57</f>
        <v>0</v>
      </c>
      <c r="E56" s="95">
        <f>Financials1!E57+Financials2!E57+Financials3!E57</f>
        <v>0</v>
      </c>
      <c r="F56" s="49">
        <f t="shared" si="7"/>
        <v>0</v>
      </c>
      <c r="G56" s="49">
        <f t="shared" si="7"/>
        <v>0</v>
      </c>
      <c r="H56" s="49">
        <f t="shared" si="8"/>
        <v>0</v>
      </c>
      <c r="I56" s="2081"/>
      <c r="J56" s="1435" t="s">
        <v>3350</v>
      </c>
      <c r="K56" s="976"/>
      <c r="L56" s="976"/>
      <c r="M56" s="976"/>
      <c r="N56" s="964"/>
      <c r="O56" s="964"/>
      <c r="P56" s="964"/>
    </row>
    <row r="57" spans="1:16" x14ac:dyDescent="0.2">
      <c r="A57" s="950" t="s">
        <v>701</v>
      </c>
      <c r="B57" s="95">
        <f>Financials1!B58+Financials2!B58+Financials3!B58</f>
        <v>0</v>
      </c>
      <c r="C57" s="95">
        <f>Financials1!C58+Financials2!C58+Financials3!C58</f>
        <v>0</v>
      </c>
      <c r="D57" s="95">
        <f>Financials1!D58+Financials2!D58+Financials3!D58</f>
        <v>0</v>
      </c>
      <c r="E57" s="95">
        <f>Financials1!E58+Financials2!E58+Financials3!E58</f>
        <v>0</v>
      </c>
      <c r="F57" s="49">
        <f t="shared" si="7"/>
        <v>0</v>
      </c>
      <c r="G57" s="49">
        <f t="shared" si="7"/>
        <v>0</v>
      </c>
      <c r="H57" s="49">
        <f t="shared" si="8"/>
        <v>0</v>
      </c>
      <c r="I57" s="2081"/>
      <c r="J57" s="1435" t="s">
        <v>3351</v>
      </c>
      <c r="K57" s="976"/>
      <c r="L57" s="976"/>
      <c r="M57" s="976"/>
      <c r="N57" s="964"/>
      <c r="O57" s="964"/>
      <c r="P57" s="964"/>
    </row>
    <row r="58" spans="1:16" ht="15.75" x14ac:dyDescent="0.2">
      <c r="A58" s="952" t="s">
        <v>15</v>
      </c>
      <c r="B58" s="2">
        <f t="shared" ref="B58:C58" si="9">B54+B55+B56-B57-B44</f>
        <v>0</v>
      </c>
      <c r="C58" s="2">
        <f t="shared" si="9"/>
        <v>21720039.760000002</v>
      </c>
      <c r="D58" s="2">
        <f>D54+D55+D56-D57-D44</f>
        <v>14223023.390000001</v>
      </c>
      <c r="E58" s="2">
        <f t="shared" ref="E58" si="10">E54+E55+E56-E57-E44</f>
        <v>0</v>
      </c>
      <c r="F58" s="49">
        <f t="shared" si="7"/>
        <v>-1</v>
      </c>
      <c r="G58" s="49">
        <f t="shared" si="7"/>
        <v>0.52710427062020049</v>
      </c>
      <c r="H58" s="49">
        <f t="shared" si="8"/>
        <v>0</v>
      </c>
      <c r="I58" s="2081"/>
      <c r="J58" s="1435" t="s">
        <v>3352</v>
      </c>
      <c r="K58" s="946" t="s">
        <v>703</v>
      </c>
      <c r="L58" s="976"/>
      <c r="M58" s="976"/>
      <c r="N58" s="964"/>
      <c r="O58" s="964"/>
      <c r="P58" s="964"/>
    </row>
    <row r="59" spans="1:16" x14ac:dyDescent="0.2">
      <c r="A59" s="950" t="s">
        <v>185</v>
      </c>
      <c r="B59" s="95">
        <f>Financials1!B60+Financials2!B60+Financials3!B60</f>
        <v>0</v>
      </c>
      <c r="C59" s="95">
        <f>Financials1!C60+Financials2!C60+Financials3!C60</f>
        <v>14214753.699999999</v>
      </c>
      <c r="D59" s="95">
        <f>Financials1!D60+Financials2!D60+Financials3!D60</f>
        <v>45224866.760000005</v>
      </c>
      <c r="E59" s="95">
        <f>Financials1!E60+Financials2!E60+Financials3!E60</f>
        <v>0</v>
      </c>
      <c r="F59" s="49">
        <f t="shared" si="7"/>
        <v>-1</v>
      </c>
      <c r="G59" s="49">
        <f t="shared" si="7"/>
        <v>-0.68568721771066643</v>
      </c>
      <c r="H59" s="49">
        <f t="shared" si="8"/>
        <v>0</v>
      </c>
      <c r="I59" s="2081"/>
      <c r="J59" s="1435" t="s">
        <v>3353</v>
      </c>
      <c r="K59" s="976"/>
      <c r="L59" s="976"/>
      <c r="M59" s="976"/>
      <c r="N59" s="964"/>
      <c r="O59" s="964"/>
      <c r="P59" s="964"/>
    </row>
    <row r="60" spans="1:16" x14ac:dyDescent="0.2">
      <c r="A60" s="950" t="s">
        <v>5</v>
      </c>
      <c r="B60" s="95">
        <f>Financials1!B61+Financials2!B61+Financials3!B61</f>
        <v>0</v>
      </c>
      <c r="C60" s="95">
        <f>Financials1!C61+Financials2!C61+Financials3!C61</f>
        <v>18736909</v>
      </c>
      <c r="D60" s="95">
        <f>Financials1!D61+Financials2!D61+Financials3!D61</f>
        <v>14730757</v>
      </c>
      <c r="E60" s="95">
        <f>Financials1!E61+Financials2!E61+Financials3!E61</f>
        <v>0</v>
      </c>
      <c r="F60" s="49">
        <f t="shared" si="7"/>
        <v>-1</v>
      </c>
      <c r="G60" s="49">
        <f t="shared" si="7"/>
        <v>0.2719583250202281</v>
      </c>
      <c r="H60" s="49">
        <f t="shared" si="8"/>
        <v>0</v>
      </c>
      <c r="I60" s="2081"/>
      <c r="J60" s="1435" t="s">
        <v>3354</v>
      </c>
      <c r="K60" s="976"/>
      <c r="L60" s="976"/>
      <c r="M60" s="976"/>
      <c r="N60" s="964"/>
      <c r="O60" s="964"/>
      <c r="P60" s="964"/>
    </row>
    <row r="61" spans="1:16" x14ac:dyDescent="0.2">
      <c r="A61" s="950" t="s">
        <v>12</v>
      </c>
      <c r="B61" s="95">
        <f>Financials1!B62+Financials2!B62+Financials3!B62</f>
        <v>0</v>
      </c>
      <c r="C61" s="95">
        <f>Financials1!C62+Financials2!C62+Financials3!C62</f>
        <v>0</v>
      </c>
      <c r="D61" s="95">
        <f>Financials1!D62+Financials2!D62+Financials3!D62</f>
        <v>0</v>
      </c>
      <c r="E61" s="95">
        <f>Financials1!E62+Financials2!E62+Financials3!E62</f>
        <v>0</v>
      </c>
      <c r="F61" s="49">
        <f t="shared" si="7"/>
        <v>0</v>
      </c>
      <c r="G61" s="49">
        <f t="shared" si="7"/>
        <v>0</v>
      </c>
      <c r="H61" s="49">
        <f t="shared" si="8"/>
        <v>0</v>
      </c>
      <c r="I61" s="2081"/>
      <c r="J61" s="1435" t="s">
        <v>3355</v>
      </c>
      <c r="K61" s="976"/>
      <c r="L61" s="976"/>
      <c r="M61" s="976"/>
      <c r="N61" s="964"/>
      <c r="O61" s="964"/>
      <c r="P61" s="964"/>
    </row>
    <row r="62" spans="1:16" ht="15.75" x14ac:dyDescent="0.2">
      <c r="A62" s="952" t="s">
        <v>13</v>
      </c>
      <c r="B62" s="2">
        <f>B61+B60+B59</f>
        <v>0</v>
      </c>
      <c r="C62" s="2">
        <f>C61+C60+C59</f>
        <v>32951662.699999999</v>
      </c>
      <c r="D62" s="2">
        <f>D61+D60+D59</f>
        <v>59955623.760000005</v>
      </c>
      <c r="E62" s="2">
        <f>E61+E60+E59</f>
        <v>0</v>
      </c>
      <c r="F62" s="49">
        <f t="shared" si="7"/>
        <v>-1</v>
      </c>
      <c r="G62" s="49">
        <f t="shared" si="7"/>
        <v>-0.45039913466826392</v>
      </c>
      <c r="H62" s="49">
        <f t="shared" si="8"/>
        <v>0</v>
      </c>
      <c r="I62" s="2082"/>
      <c r="J62" s="1435" t="s">
        <v>3356</v>
      </c>
      <c r="K62" s="976"/>
      <c r="L62" s="976"/>
      <c r="M62" s="976"/>
      <c r="N62" s="964"/>
      <c r="O62" s="964"/>
      <c r="P62" s="964"/>
    </row>
    <row r="63" spans="1:16" ht="15.75" customHeight="1" x14ac:dyDescent="0.2">
      <c r="A63" s="2083" t="s">
        <v>75</v>
      </c>
      <c r="B63" s="2130"/>
      <c r="C63" s="2130"/>
      <c r="D63" s="2130"/>
      <c r="E63" s="2130"/>
      <c r="F63" s="2130"/>
      <c r="G63" s="2084"/>
      <c r="H63" s="2084"/>
      <c r="I63" s="2085"/>
      <c r="K63" s="976"/>
      <c r="L63" s="976"/>
      <c r="M63" s="976"/>
      <c r="N63" s="964"/>
      <c r="O63" s="964"/>
      <c r="P63" s="964"/>
    </row>
    <row r="64" spans="1:16" ht="15" customHeight="1" x14ac:dyDescent="0.2">
      <c r="A64" s="950" t="s">
        <v>206</v>
      </c>
      <c r="B64" s="95">
        <f>Financials1!B65+Financials2!B65+Financials3!B65</f>
        <v>0</v>
      </c>
      <c r="C64" s="95">
        <f>Financials1!C65+Financials2!C65+Financials3!C65</f>
        <v>6450665.3799999999</v>
      </c>
      <c r="D64" s="95">
        <f>Financials1!D65+Financials2!D65+Financials3!D65</f>
        <v>10782112.880000001</v>
      </c>
      <c r="E64" s="95">
        <f>Financials1!E65+Financials2!E65+Financials3!E65</f>
        <v>0</v>
      </c>
      <c r="F64" s="49">
        <f t="shared" ref="F64:H70" si="11">IF(ISERROR((B64-C64)/C64),0,(B64-C64)/C64)</f>
        <v>-1</v>
      </c>
      <c r="G64" s="49">
        <f t="shared" si="11"/>
        <v>-0.40172529709223381</v>
      </c>
      <c r="H64" s="49">
        <f t="shared" si="11"/>
        <v>0</v>
      </c>
      <c r="I64" s="2080" t="s">
        <v>526</v>
      </c>
      <c r="J64" s="1435" t="s">
        <v>3357</v>
      </c>
      <c r="K64" s="976" t="s">
        <v>208</v>
      </c>
      <c r="L64" s="976"/>
      <c r="M64" s="976"/>
      <c r="N64" s="964"/>
      <c r="O64" s="964"/>
      <c r="P64" s="964"/>
    </row>
    <row r="65" spans="1:16" ht="15" customHeight="1" x14ac:dyDescent="0.2">
      <c r="A65" s="950" t="s">
        <v>184</v>
      </c>
      <c r="B65" s="95">
        <f>Financials1!B66+Financials2!B66+Financials3!B66</f>
        <v>0</v>
      </c>
      <c r="C65" s="95">
        <f>Financials1!C66+Financials2!C66+Financials3!C66</f>
        <v>36998190.119999997</v>
      </c>
      <c r="D65" s="95">
        <f>Financials1!D66+Financials2!D66+Financials3!D66</f>
        <v>9194641.8300000001</v>
      </c>
      <c r="E65" s="95">
        <f>Financials1!E66+Financials2!E66+Financials3!E66</f>
        <v>0</v>
      </c>
      <c r="F65" s="49">
        <f t="shared" si="11"/>
        <v>-1</v>
      </c>
      <c r="G65" s="49">
        <f t="shared" si="11"/>
        <v>3.0238859548920569</v>
      </c>
      <c r="H65" s="49">
        <f t="shared" si="11"/>
        <v>0</v>
      </c>
      <c r="I65" s="2086"/>
      <c r="J65" s="1435" t="s">
        <v>3358</v>
      </c>
      <c r="K65" s="976"/>
      <c r="L65" s="976"/>
      <c r="M65" s="976"/>
      <c r="N65" s="964"/>
      <c r="O65" s="964"/>
      <c r="P65" s="964"/>
    </row>
    <row r="66" spans="1:16" ht="15" customHeight="1" x14ac:dyDescent="0.2">
      <c r="A66" s="950" t="s">
        <v>61</v>
      </c>
      <c r="B66" s="95">
        <f>Financials1!B67+Financials2!B67+Financials3!B67</f>
        <v>0</v>
      </c>
      <c r="C66" s="95">
        <f>Financials1!C67+Financials2!C67+Financials3!C67</f>
        <v>614607.25</v>
      </c>
      <c r="D66" s="95">
        <f>Financials1!D67+Financials2!D67+Financials3!D67</f>
        <v>2504285.19</v>
      </c>
      <c r="E66" s="95">
        <f>Financials1!E67+Financials2!E67+Financials3!E67</f>
        <v>0</v>
      </c>
      <c r="F66" s="49">
        <f t="shared" si="11"/>
        <v>-1</v>
      </c>
      <c r="G66" s="49">
        <f t="shared" si="11"/>
        <v>-0.7545777723502809</v>
      </c>
      <c r="H66" s="49">
        <f t="shared" si="11"/>
        <v>0</v>
      </c>
      <c r="I66" s="2086"/>
      <c r="J66" s="1435" t="s">
        <v>3359</v>
      </c>
      <c r="K66" s="976"/>
      <c r="L66" s="976"/>
      <c r="M66" s="976"/>
      <c r="N66" s="964"/>
      <c r="O66" s="964"/>
      <c r="P66" s="964"/>
    </row>
    <row r="67" spans="1:16" ht="15.75" x14ac:dyDescent="0.2">
      <c r="A67" s="952" t="s">
        <v>62</v>
      </c>
      <c r="B67" s="2">
        <f>SUM(B64:B66)</f>
        <v>0</v>
      </c>
      <c r="C67" s="2">
        <f>SUM(C64:C66)</f>
        <v>44063462.75</v>
      </c>
      <c r="D67" s="2">
        <f>SUM(D64:D66)</f>
        <v>22481039.900000002</v>
      </c>
      <c r="E67" s="2">
        <f>SUM(E64:E66)</f>
        <v>0</v>
      </c>
      <c r="F67" s="49">
        <f t="shared" si="11"/>
        <v>-1</v>
      </c>
      <c r="G67" s="49">
        <f t="shared" si="11"/>
        <v>0.96002778101025454</v>
      </c>
      <c r="H67" s="49">
        <f t="shared" si="11"/>
        <v>0</v>
      </c>
      <c r="I67" s="2086"/>
      <c r="J67" s="1435" t="s">
        <v>3360</v>
      </c>
      <c r="K67" s="976"/>
      <c r="L67" s="976"/>
      <c r="M67" s="976"/>
      <c r="N67" s="964"/>
      <c r="O67" s="964"/>
      <c r="P67" s="964"/>
    </row>
    <row r="68" spans="1:16" ht="15" customHeight="1" x14ac:dyDescent="0.2">
      <c r="A68" s="950" t="s">
        <v>139</v>
      </c>
      <c r="B68" s="95">
        <f>Financials1!B69+Financials2!B69+Financials3!B69</f>
        <v>0</v>
      </c>
      <c r="C68" s="95">
        <f>Financials1!C69+Financials2!C69+Financials3!C69</f>
        <v>0</v>
      </c>
      <c r="D68" s="95">
        <f>Financials1!D69+Financials2!D69+Financials3!D69</f>
        <v>0</v>
      </c>
      <c r="E68" s="95">
        <f>Financials1!E69+Financials2!E69+Financials3!E69</f>
        <v>0</v>
      </c>
      <c r="F68" s="49">
        <f t="shared" si="11"/>
        <v>0</v>
      </c>
      <c r="G68" s="49">
        <f t="shared" si="11"/>
        <v>0</v>
      </c>
      <c r="H68" s="49">
        <f t="shared" si="11"/>
        <v>0</v>
      </c>
      <c r="I68" s="2086"/>
      <c r="J68" s="1435" t="s">
        <v>3361</v>
      </c>
      <c r="K68" s="976"/>
      <c r="L68" s="976"/>
      <c r="M68" s="976"/>
      <c r="N68" s="964"/>
      <c r="O68" s="964"/>
      <c r="P68" s="964"/>
    </row>
    <row r="69" spans="1:16" ht="15.75" x14ac:dyDescent="0.2">
      <c r="A69" s="958" t="s">
        <v>76</v>
      </c>
      <c r="B69" s="2">
        <f>B58+B62+B67+B68</f>
        <v>0</v>
      </c>
      <c r="C69" s="2">
        <f>C58+C62+C67+C68</f>
        <v>98735165.210000008</v>
      </c>
      <c r="D69" s="2">
        <f>D58+D62+D67+D68</f>
        <v>96659687.050000012</v>
      </c>
      <c r="E69" s="2">
        <f>E58+E62+E67+E68</f>
        <v>0</v>
      </c>
      <c r="F69" s="49">
        <f t="shared" si="11"/>
        <v>-1</v>
      </c>
      <c r="G69" s="49">
        <f t="shared" si="11"/>
        <v>2.1472014066488705E-2</v>
      </c>
      <c r="H69" s="49">
        <f t="shared" si="11"/>
        <v>0</v>
      </c>
      <c r="I69" s="2086"/>
      <c r="J69" s="1435" t="s">
        <v>3362</v>
      </c>
      <c r="K69" s="976"/>
      <c r="L69" s="976"/>
      <c r="M69" s="976"/>
      <c r="N69" s="964"/>
      <c r="O69" s="964"/>
      <c r="P69" s="964"/>
    </row>
    <row r="70" spans="1:16" ht="15.75" thickBot="1" x14ac:dyDescent="0.25">
      <c r="A70" s="950" t="s">
        <v>64</v>
      </c>
      <c r="B70" s="95">
        <f>Financials1!B71+Financials2!B71+Financials3!B71</f>
        <v>0</v>
      </c>
      <c r="C70" s="95">
        <f>Financials1!C71+Financials2!C71+Financials3!C71</f>
        <v>0</v>
      </c>
      <c r="D70" s="95">
        <f>Financials1!D71+Financials2!D71+Financials3!D71</f>
        <v>0</v>
      </c>
      <c r="E70" s="95">
        <f>Financials1!E71+Financials2!E71+Financials3!E71</f>
        <v>0</v>
      </c>
      <c r="F70" s="49">
        <f t="shared" si="11"/>
        <v>0</v>
      </c>
      <c r="G70" s="49">
        <f t="shared" si="11"/>
        <v>0</v>
      </c>
      <c r="H70" s="49">
        <f t="shared" si="11"/>
        <v>0</v>
      </c>
      <c r="I70" s="2086"/>
      <c r="J70" s="1435" t="s">
        <v>3363</v>
      </c>
      <c r="K70" s="976"/>
      <c r="L70" s="976"/>
      <c r="M70" s="976"/>
      <c r="N70" s="964"/>
      <c r="O70" s="964"/>
      <c r="P70" s="964"/>
    </row>
    <row r="71" spans="1:16" ht="17.25" thickTop="1" thickBot="1" x14ac:dyDescent="0.3">
      <c r="A71" s="954" t="s">
        <v>611</v>
      </c>
      <c r="B71" s="177">
        <f>B69-B51+B44</f>
        <v>0</v>
      </c>
      <c r="C71" s="177">
        <f>C69-C51+C44</f>
        <v>0</v>
      </c>
      <c r="D71" s="177">
        <f>D69-D51+D44</f>
        <v>1.4901161193847656E-8</v>
      </c>
      <c r="E71" s="177">
        <f>E69-E51+E44</f>
        <v>0</v>
      </c>
      <c r="F71" s="5"/>
      <c r="G71" s="5"/>
      <c r="H71" s="5"/>
      <c r="I71" s="915"/>
      <c r="J71" s="1435" t="s">
        <v>3364</v>
      </c>
      <c r="K71" s="976"/>
      <c r="L71" s="976"/>
      <c r="M71" s="976"/>
      <c r="N71" s="964"/>
      <c r="O71" s="964"/>
      <c r="P71" s="964"/>
    </row>
    <row r="72" spans="1:16" ht="16.5" thickTop="1" x14ac:dyDescent="0.2">
      <c r="A72" s="2077" t="s">
        <v>79</v>
      </c>
      <c r="B72" s="2078"/>
      <c r="C72" s="2078"/>
      <c r="D72" s="2078"/>
      <c r="E72" s="2078"/>
      <c r="F72" s="2078"/>
      <c r="G72" s="2078"/>
      <c r="H72" s="2078"/>
      <c r="I72" s="2079"/>
      <c r="K72" s="976"/>
      <c r="L72" s="976"/>
      <c r="M72" s="976"/>
      <c r="N72" s="964"/>
      <c r="O72" s="964"/>
      <c r="P72" s="964"/>
    </row>
    <row r="73" spans="1:16" ht="15.75" x14ac:dyDescent="0.2">
      <c r="A73" s="952" t="s">
        <v>63</v>
      </c>
      <c r="B73" s="14" t="e">
        <f>B48/B67</f>
        <v>#DIV/0!</v>
      </c>
      <c r="C73" s="14">
        <f>C48/C67</f>
        <v>1.5921441003862096</v>
      </c>
      <c r="D73" s="14">
        <f>D48/D67</f>
        <v>3.1787155428695271</v>
      </c>
      <c r="E73" s="14" t="e">
        <f>E48/E67</f>
        <v>#DIV/0!</v>
      </c>
      <c r="F73" s="388">
        <f t="shared" ref="F73:G88" si="12">IF(ISERROR((B73-C73)/C73),0,(B73-C73)/C73)</f>
        <v>0</v>
      </c>
      <c r="G73" s="388">
        <f t="shared" si="12"/>
        <v>-0.49912344187019303</v>
      </c>
      <c r="H73" s="388">
        <f t="shared" ref="H73:H88" si="13">IF(ISERROR((D73-E73)/E73),0,(D73-E73)/E73)</f>
        <v>0</v>
      </c>
      <c r="I73" s="2087" t="s">
        <v>500</v>
      </c>
      <c r="J73" s="1435" t="s">
        <v>3365</v>
      </c>
      <c r="K73" s="976" t="s">
        <v>527</v>
      </c>
      <c r="L73" s="976"/>
      <c r="M73" s="976"/>
      <c r="N73" s="964"/>
      <c r="O73" s="964"/>
      <c r="P73" s="964"/>
    </row>
    <row r="74" spans="1:16" ht="15.75" x14ac:dyDescent="0.2">
      <c r="A74" s="952" t="s">
        <v>16</v>
      </c>
      <c r="B74" s="14" t="e">
        <f>B62/B58</f>
        <v>#DIV/0!</v>
      </c>
      <c r="C74" s="14">
        <f>C62/C58</f>
        <v>1.5171087651821129</v>
      </c>
      <c r="D74" s="14">
        <f>D62/D58</f>
        <v>4.2153923336830008</v>
      </c>
      <c r="E74" s="14" t="e">
        <f>E62/E58</f>
        <v>#DIV/0!</v>
      </c>
      <c r="F74" s="388">
        <f t="shared" si="12"/>
        <v>0</v>
      </c>
      <c r="G74" s="388">
        <f t="shared" si="12"/>
        <v>-0.64010259423311844</v>
      </c>
      <c r="H74" s="388">
        <f t="shared" si="13"/>
        <v>0</v>
      </c>
      <c r="I74" s="2088"/>
      <c r="J74" s="1435" t="s">
        <v>3366</v>
      </c>
      <c r="K74" s="976" t="s">
        <v>528</v>
      </c>
      <c r="L74" s="976"/>
      <c r="M74" s="976"/>
      <c r="N74" s="964"/>
      <c r="O74" s="964"/>
      <c r="P74" s="964"/>
    </row>
    <row r="75" spans="1:16" ht="15.75" x14ac:dyDescent="0.2">
      <c r="A75" s="952" t="s">
        <v>17</v>
      </c>
      <c r="B75" s="14" t="e">
        <f>(B62+B67+B68)/B58</f>
        <v>#DIV/0!</v>
      </c>
      <c r="C75" s="14">
        <f>(C62+C67+C68)/C58</f>
        <v>3.5458095980023194</v>
      </c>
      <c r="D75" s="14">
        <f>(D62+D67+D68)/D58</f>
        <v>5.7960014126082378</v>
      </c>
      <c r="E75" s="14" t="e">
        <f>(E62+E67+E68)/E58</f>
        <v>#DIV/0!</v>
      </c>
      <c r="F75" s="388">
        <f t="shared" si="12"/>
        <v>0</v>
      </c>
      <c r="G75" s="388">
        <f t="shared" si="12"/>
        <v>-0.38823175745109378</v>
      </c>
      <c r="H75" s="388">
        <f t="shared" si="13"/>
        <v>0</v>
      </c>
      <c r="I75" s="2088"/>
      <c r="J75" s="1435" t="s">
        <v>3367</v>
      </c>
      <c r="K75" s="976" t="s">
        <v>529</v>
      </c>
      <c r="L75" s="976"/>
      <c r="M75" s="976"/>
      <c r="N75" s="964"/>
      <c r="O75" s="964"/>
      <c r="P75" s="964"/>
    </row>
    <row r="76" spans="1:16" ht="15.75" x14ac:dyDescent="0.2">
      <c r="A76" s="952" t="s">
        <v>1855</v>
      </c>
      <c r="B76" s="14" t="e">
        <f>B62/(B58+B44)</f>
        <v>#DIV/0!</v>
      </c>
      <c r="C76" s="14">
        <f>C62/(C58+C44)</f>
        <v>1.5171087651821129</v>
      </c>
      <c r="D76" s="14">
        <f t="shared" ref="D76:E76" si="14">D62/(D58+D44)</f>
        <v>4.2153923336830008</v>
      </c>
      <c r="E76" s="14" t="e">
        <f t="shared" si="14"/>
        <v>#DIV/0!</v>
      </c>
      <c r="F76" s="388">
        <f t="shared" si="12"/>
        <v>0</v>
      </c>
      <c r="G76" s="388">
        <f t="shared" si="12"/>
        <v>-0.64010259423311844</v>
      </c>
      <c r="H76" s="388">
        <f t="shared" si="13"/>
        <v>0</v>
      </c>
      <c r="I76" s="2088"/>
      <c r="J76" s="1435" t="s">
        <v>3368</v>
      </c>
      <c r="K76" s="976"/>
      <c r="L76" s="976"/>
      <c r="M76" s="976"/>
      <c r="N76" s="964"/>
      <c r="O76" s="964"/>
      <c r="P76" s="964"/>
    </row>
    <row r="77" spans="1:16" ht="15.75" x14ac:dyDescent="0.2">
      <c r="A77" s="952" t="s">
        <v>1856</v>
      </c>
      <c r="B77" s="14" t="e">
        <f>(B62+B67+B68)/(B58+B44)</f>
        <v>#DIV/0!</v>
      </c>
      <c r="C77" s="14">
        <f>(C62+C67+C68)/(C58+C44)</f>
        <v>3.5458095980023194</v>
      </c>
      <c r="D77" s="14">
        <f t="shared" ref="D77:E77" si="15">(D62+D67+D68)/(D58+D44)</f>
        <v>5.7960014126082378</v>
      </c>
      <c r="E77" s="14" t="e">
        <f t="shared" si="15"/>
        <v>#DIV/0!</v>
      </c>
      <c r="F77" s="388">
        <f t="shared" si="12"/>
        <v>0</v>
      </c>
      <c r="G77" s="388">
        <f t="shared" si="12"/>
        <v>-0.38823175745109378</v>
      </c>
      <c r="H77" s="388">
        <f t="shared" si="13"/>
        <v>0</v>
      </c>
      <c r="I77" s="2088"/>
      <c r="J77" s="1435" t="s">
        <v>3369</v>
      </c>
      <c r="K77" s="976"/>
      <c r="L77" s="976"/>
      <c r="M77" s="976"/>
      <c r="N77" s="964"/>
      <c r="O77" s="964"/>
      <c r="P77" s="964"/>
    </row>
    <row r="78" spans="1:16" ht="15.75" x14ac:dyDescent="0.2">
      <c r="A78" s="952" t="s">
        <v>19</v>
      </c>
      <c r="B78" s="14" t="e">
        <f>B62/B25</f>
        <v>#DIV/0!</v>
      </c>
      <c r="C78" s="14">
        <f>C62/C25</f>
        <v>-45.069774406592366</v>
      </c>
      <c r="D78" s="14">
        <f>D62/D25</f>
        <v>11.23937413292238</v>
      </c>
      <c r="E78" s="14" t="e">
        <f>E62/E25</f>
        <v>#DIV/0!</v>
      </c>
      <c r="F78" s="388">
        <f t="shared" si="12"/>
        <v>0</v>
      </c>
      <c r="G78" s="388">
        <f t="shared" si="12"/>
        <v>-5.0099896910250505</v>
      </c>
      <c r="H78" s="388">
        <f t="shared" si="13"/>
        <v>0</v>
      </c>
      <c r="I78" s="2088"/>
      <c r="J78" s="1435" t="s">
        <v>3370</v>
      </c>
      <c r="K78" s="976"/>
      <c r="L78" s="976"/>
      <c r="M78" s="976"/>
      <c r="N78" s="964"/>
      <c r="O78" s="964"/>
      <c r="P78" s="964"/>
    </row>
    <row r="79" spans="1:16" ht="15.75" x14ac:dyDescent="0.2">
      <c r="A79" s="952" t="s">
        <v>1032</v>
      </c>
      <c r="B79" s="14" t="e">
        <f>(B62+B65-B46)/B58</f>
        <v>#DIV/0!</v>
      </c>
      <c r="C79" s="14">
        <f>(C62+C65-C46)/C58</f>
        <v>3.1005624922484025</v>
      </c>
      <c r="D79" s="14">
        <f>(D62+D65-D46)/D58</f>
        <v>4.5887094023825545</v>
      </c>
      <c r="E79" s="14" t="e">
        <f>(E62+E65-E46)/E58</f>
        <v>#DIV/0!</v>
      </c>
      <c r="F79" s="388">
        <f t="shared" si="12"/>
        <v>0</v>
      </c>
      <c r="G79" s="388">
        <f t="shared" si="12"/>
        <v>-0.32430620020554685</v>
      </c>
      <c r="H79" s="388">
        <f t="shared" si="13"/>
        <v>0</v>
      </c>
      <c r="I79" s="2088"/>
      <c r="J79" s="1435" t="s">
        <v>3371</v>
      </c>
      <c r="K79" s="976"/>
      <c r="L79" s="976"/>
      <c r="M79" s="976"/>
      <c r="N79" s="964"/>
      <c r="O79" s="964"/>
      <c r="P79" s="964"/>
    </row>
    <row r="80" spans="1:16" ht="15.75" x14ac:dyDescent="0.2">
      <c r="A80" s="952" t="s">
        <v>1031</v>
      </c>
      <c r="B80" s="14" t="e">
        <f>(B62+B65-B46)/B25</f>
        <v>#DIV/0!</v>
      </c>
      <c r="C80" s="14">
        <f>(C62+C65-C46)/C25</f>
        <v>-92.110503390574493</v>
      </c>
      <c r="D80" s="14">
        <f>(D62+D65-D46)/D25</f>
        <v>12.234738235047187</v>
      </c>
      <c r="E80" s="14" t="e">
        <f>(E62+E65-E46)/E25</f>
        <v>#DIV/0!</v>
      </c>
      <c r="F80" s="388">
        <f t="shared" si="12"/>
        <v>0</v>
      </c>
      <c r="G80" s="388">
        <f t="shared" si="12"/>
        <v>-8.5286043412615147</v>
      </c>
      <c r="H80" s="388">
        <f t="shared" si="13"/>
        <v>0</v>
      </c>
      <c r="I80" s="2088"/>
      <c r="J80" s="1435" t="s">
        <v>3372</v>
      </c>
      <c r="K80" s="976"/>
      <c r="L80" s="976"/>
      <c r="M80" s="976"/>
      <c r="N80" s="964"/>
      <c r="O80" s="964"/>
      <c r="P80" s="964"/>
    </row>
    <row r="81" spans="1:16" ht="15.75" x14ac:dyDescent="0.2">
      <c r="A81" s="952" t="s">
        <v>29</v>
      </c>
      <c r="B81" s="14" t="e">
        <f>B29/B31</f>
        <v>#DIV/0!</v>
      </c>
      <c r="C81" s="14">
        <f>C29/C31</f>
        <v>-0.54726502110341269</v>
      </c>
      <c r="D81" s="14">
        <f>D29/D31</f>
        <v>0.58064170785861768</v>
      </c>
      <c r="E81" s="14" t="e">
        <f>E29/E31</f>
        <v>#DIV/0!</v>
      </c>
      <c r="F81" s="388">
        <f t="shared" si="12"/>
        <v>0</v>
      </c>
      <c r="G81" s="388">
        <f t="shared" si="12"/>
        <v>-1.9425175864849653</v>
      </c>
      <c r="H81" s="388">
        <f t="shared" si="13"/>
        <v>0</v>
      </c>
      <c r="I81" s="2088"/>
      <c r="J81" s="1435" t="s">
        <v>3373</v>
      </c>
      <c r="K81" s="976"/>
      <c r="L81" s="976"/>
      <c r="M81" s="976"/>
      <c r="N81" s="964"/>
      <c r="O81" s="964"/>
      <c r="P81" s="964"/>
    </row>
    <row r="82" spans="1:16" ht="15.75" x14ac:dyDescent="0.2">
      <c r="A82" s="952" t="s">
        <v>1857</v>
      </c>
      <c r="B82" s="14" t="e">
        <f>(B36+B27+B28)/(B62+B67)</f>
        <v>#DIV/0!</v>
      </c>
      <c r="C82" s="14">
        <f>(C36+C27+C28)/(C62+C67)</f>
        <v>-7.5879854844799102E-2</v>
      </c>
      <c r="D82" s="14">
        <f>(D36+D27+D28)/(D62+D67)</f>
        <v>-4.4469089810809043E-3</v>
      </c>
      <c r="E82" s="14" t="e">
        <f>(E36+E27+E28)/(E62+E67)</f>
        <v>#DIV/0!</v>
      </c>
      <c r="F82" s="388">
        <f t="shared" si="12"/>
        <v>0</v>
      </c>
      <c r="G82" s="388">
        <f t="shared" si="12"/>
        <v>16.06350527245446</v>
      </c>
      <c r="H82" s="388">
        <f t="shared" si="13"/>
        <v>0</v>
      </c>
      <c r="I82" s="2088"/>
      <c r="J82" s="1435" t="s">
        <v>3374</v>
      </c>
      <c r="K82" s="976"/>
      <c r="L82" s="976"/>
      <c r="M82" s="976"/>
      <c r="N82" s="964"/>
      <c r="O82" s="964"/>
      <c r="P82" s="964"/>
    </row>
    <row r="83" spans="1:16" ht="15.75" x14ac:dyDescent="0.2">
      <c r="A83" s="952" t="s">
        <v>67</v>
      </c>
      <c r="B83" s="14" t="e">
        <f>B58/B51</f>
        <v>#DIV/0!</v>
      </c>
      <c r="C83" s="14">
        <f>C58/C51</f>
        <v>0.21998281679889437</v>
      </c>
      <c r="D83" s="14">
        <f>D58/D51</f>
        <v>0.14714534904962742</v>
      </c>
      <c r="E83" s="14" t="e">
        <f>E58/E51</f>
        <v>#DIV/0!</v>
      </c>
      <c r="F83" s="388">
        <f t="shared" si="12"/>
        <v>0</v>
      </c>
      <c r="G83" s="388">
        <f t="shared" si="12"/>
        <v>0.49500353371482503</v>
      </c>
      <c r="H83" s="388">
        <f t="shared" si="13"/>
        <v>0</v>
      </c>
      <c r="I83" s="2088"/>
      <c r="J83" s="1435" t="s">
        <v>3375</v>
      </c>
      <c r="K83" s="976"/>
      <c r="L83" s="976"/>
      <c r="M83" s="976"/>
      <c r="N83" s="964"/>
      <c r="O83" s="964"/>
      <c r="P83" s="964"/>
    </row>
    <row r="84" spans="1:16" ht="15.75" x14ac:dyDescent="0.2">
      <c r="A84" s="952" t="s">
        <v>31</v>
      </c>
      <c r="B84" s="2" t="e">
        <f>(B43*365)/(B17+B18)</f>
        <v>#DIV/0!</v>
      </c>
      <c r="C84" s="2">
        <f t="shared" ref="C84:E84" si="16">(C43*365)/(C17+C18)</f>
        <v>209.9865911255649</v>
      </c>
      <c r="D84" s="2">
        <f t="shared" si="16"/>
        <v>222.42882681729446</v>
      </c>
      <c r="E84" s="2" t="e">
        <f t="shared" si="16"/>
        <v>#DIV/0!</v>
      </c>
      <c r="F84" s="388">
        <f t="shared" si="12"/>
        <v>0</v>
      </c>
      <c r="G84" s="388">
        <f t="shared" si="12"/>
        <v>-5.5938053847443776E-2</v>
      </c>
      <c r="H84" s="388">
        <f t="shared" si="13"/>
        <v>0</v>
      </c>
      <c r="I84" s="2088"/>
      <c r="J84" s="1435" t="s">
        <v>3376</v>
      </c>
      <c r="K84" s="976"/>
      <c r="L84" s="976"/>
      <c r="M84" s="976"/>
      <c r="N84" s="964"/>
      <c r="O84" s="964"/>
      <c r="P84" s="964"/>
    </row>
    <row r="85" spans="1:16" ht="15.75" x14ac:dyDescent="0.2">
      <c r="A85" s="952" t="s">
        <v>32</v>
      </c>
      <c r="B85" s="2" t="e">
        <f>(B45*365)/B11</f>
        <v>#DIV/0!</v>
      </c>
      <c r="C85" s="2">
        <f>(C45*365)/C11</f>
        <v>51.94006158136343</v>
      </c>
      <c r="D85" s="2">
        <f>(D45*365)/D11</f>
        <v>43.470307050819727</v>
      </c>
      <c r="E85" s="2" t="e">
        <f>(E45*365)/E11</f>
        <v>#DIV/0!</v>
      </c>
      <c r="F85" s="388">
        <f t="shared" si="12"/>
        <v>0</v>
      </c>
      <c r="G85" s="388">
        <f t="shared" si="12"/>
        <v>0.19483999780912492</v>
      </c>
      <c r="H85" s="388">
        <f t="shared" si="13"/>
        <v>0</v>
      </c>
      <c r="I85" s="2088"/>
      <c r="J85" s="1435" t="s">
        <v>3377</v>
      </c>
      <c r="K85" s="976"/>
      <c r="L85" s="976"/>
      <c r="M85" s="976"/>
      <c r="N85" s="964"/>
      <c r="O85" s="964"/>
      <c r="P85" s="964"/>
    </row>
    <row r="86" spans="1:16" ht="15.75" x14ac:dyDescent="0.2">
      <c r="A86" s="952" t="s">
        <v>33</v>
      </c>
      <c r="B86" s="2" t="e">
        <f>(B64*365)/(B17+B18)</f>
        <v>#DIV/0!</v>
      </c>
      <c r="C86" s="2">
        <f>(C64*365)/(C17+C18)</f>
        <v>39.446423847904548</v>
      </c>
      <c r="D86" s="2">
        <f>(D64*365)/(D17+D18)</f>
        <v>62.024867450300441</v>
      </c>
      <c r="E86" s="2" t="e">
        <f>(E64*365)/(E17+E18)</f>
        <v>#DIV/0!</v>
      </c>
      <c r="F86" s="388">
        <f t="shared" si="12"/>
        <v>0</v>
      </c>
      <c r="G86" s="388">
        <f t="shared" si="12"/>
        <v>-0.36402244020090246</v>
      </c>
      <c r="H86" s="388">
        <f t="shared" si="13"/>
        <v>0</v>
      </c>
      <c r="I86" s="2088"/>
      <c r="J86" s="1435" t="s">
        <v>3378</v>
      </c>
      <c r="K86" s="976"/>
      <c r="L86" s="976"/>
      <c r="M86" s="976"/>
      <c r="N86" s="964"/>
      <c r="O86" s="964"/>
      <c r="P86" s="964"/>
    </row>
    <row r="87" spans="1:16" ht="15.75" x14ac:dyDescent="0.2">
      <c r="A87" s="952" t="s">
        <v>34</v>
      </c>
      <c r="B87" s="2" t="e">
        <f>B84+B85-B86</f>
        <v>#DIV/0!</v>
      </c>
      <c r="C87" s="2">
        <f>C84+C85-C86</f>
        <v>222.48022885902378</v>
      </c>
      <c r="D87" s="2">
        <f>D84+D85-D86</f>
        <v>203.87426641781374</v>
      </c>
      <c r="E87" s="2" t="e">
        <f>E84+E85-E86</f>
        <v>#DIV/0!</v>
      </c>
      <c r="F87" s="388">
        <f t="shared" si="12"/>
        <v>0</v>
      </c>
      <c r="G87" s="388">
        <f t="shared" si="12"/>
        <v>9.126194672887035E-2</v>
      </c>
      <c r="H87" s="388">
        <f t="shared" si="13"/>
        <v>0</v>
      </c>
      <c r="I87" s="2088"/>
      <c r="J87" s="1435" t="s">
        <v>3379</v>
      </c>
      <c r="K87" s="976"/>
      <c r="L87" s="976"/>
      <c r="M87" s="976"/>
      <c r="N87" s="964"/>
      <c r="O87" s="964"/>
      <c r="P87" s="964"/>
    </row>
    <row r="88" spans="1:16" ht="15.75" x14ac:dyDescent="0.2">
      <c r="A88" s="952" t="s">
        <v>2017</v>
      </c>
      <c r="B88" s="2" t="e">
        <f>(B87/365)*B11*75%</f>
        <v>#DIV/0!</v>
      </c>
      <c r="C88" s="2">
        <f>(C87/365)*C11*75%</f>
        <v>31042942.109133959</v>
      </c>
      <c r="D88" s="2">
        <f>(D87/365)*D11*75%</f>
        <v>32654860.414512508</v>
      </c>
      <c r="E88" s="2" t="e">
        <f>(E87/365)*E11*75%</f>
        <v>#DIV/0!</v>
      </c>
      <c r="F88" s="388">
        <f t="shared" si="12"/>
        <v>0</v>
      </c>
      <c r="G88" s="388">
        <f t="shared" si="12"/>
        <v>-4.9362278231089247E-2</v>
      </c>
      <c r="H88" s="388">
        <f t="shared" si="13"/>
        <v>0</v>
      </c>
      <c r="I88" s="2088"/>
      <c r="J88" s="1435" t="s">
        <v>3380</v>
      </c>
      <c r="K88" s="976"/>
      <c r="L88" s="976"/>
      <c r="M88" s="976"/>
      <c r="N88" s="964"/>
      <c r="O88" s="964"/>
      <c r="P88" s="964"/>
    </row>
    <row r="89" spans="1:16" ht="15.75" x14ac:dyDescent="0.2">
      <c r="A89" s="952" t="s">
        <v>2018</v>
      </c>
      <c r="B89" s="2" t="e">
        <f>(B87/365)*B11</f>
        <v>#DIV/0!</v>
      </c>
      <c r="C89" s="2">
        <f>(C87/365)*C11</f>
        <v>41390589.478845276</v>
      </c>
      <c r="D89" s="2">
        <f>(D87/365)*D11</f>
        <v>43539813.886016674</v>
      </c>
      <c r="E89" s="2" t="e">
        <f>(E88/365)*E11</f>
        <v>#DIV/0!</v>
      </c>
      <c r="F89" s="388">
        <f t="shared" ref="F89:H91" si="17">IF(ISERROR((B89-C89)/C89),0,(B89-C89)/C89)</f>
        <v>0</v>
      </c>
      <c r="G89" s="388">
        <f t="shared" si="17"/>
        <v>-4.9362278231089254E-2</v>
      </c>
      <c r="H89" s="388">
        <f>IF(ISERROR((D89-E89)/E89),0,(D89-E89)/E89)</f>
        <v>0</v>
      </c>
      <c r="I89" s="2088"/>
      <c r="J89" s="1435" t="s">
        <v>3381</v>
      </c>
      <c r="K89" s="976"/>
      <c r="L89" s="976"/>
      <c r="M89" s="976"/>
      <c r="N89" s="964"/>
      <c r="O89" s="964"/>
      <c r="P89" s="964"/>
    </row>
    <row r="90" spans="1:16" ht="15.75" x14ac:dyDescent="0.2">
      <c r="A90" s="962" t="s">
        <v>187</v>
      </c>
      <c r="B90" s="1"/>
      <c r="C90" s="1"/>
      <c r="D90" s="1"/>
      <c r="E90" s="1"/>
      <c r="F90" s="49">
        <f t="shared" si="17"/>
        <v>0</v>
      </c>
      <c r="G90" s="49">
        <f t="shared" si="17"/>
        <v>0</v>
      </c>
      <c r="H90" s="49">
        <f>IF(ISERROR((D90-E90)/E90),0,(D90-E90)/E90)</f>
        <v>0</v>
      </c>
      <c r="I90" s="2089"/>
      <c r="J90" s="1435" t="s">
        <v>3382</v>
      </c>
      <c r="K90" s="976"/>
      <c r="L90" s="976"/>
      <c r="M90" s="976"/>
      <c r="N90" s="964"/>
      <c r="O90" s="964"/>
      <c r="P90" s="964"/>
    </row>
    <row r="91" spans="1:16" s="113" customFormat="1" ht="15.75" x14ac:dyDescent="0.2">
      <c r="A91" s="952" t="s">
        <v>3124</v>
      </c>
      <c r="B91" s="2" t="e">
        <f>B88-B90</f>
        <v>#DIV/0!</v>
      </c>
      <c r="C91" s="2">
        <f t="shared" ref="C91:E91" si="18">C88-C90</f>
        <v>31042942.109133959</v>
      </c>
      <c r="D91" s="2">
        <f t="shared" si="18"/>
        <v>32654860.414512508</v>
      </c>
      <c r="E91" s="2" t="e">
        <f t="shared" si="18"/>
        <v>#DIV/0!</v>
      </c>
      <c r="F91" s="388">
        <f t="shared" si="17"/>
        <v>0</v>
      </c>
      <c r="G91" s="388">
        <f t="shared" si="17"/>
        <v>-4.9362278231089247E-2</v>
      </c>
      <c r="H91" s="388">
        <f t="shared" si="17"/>
        <v>0</v>
      </c>
      <c r="I91" s="899"/>
      <c r="J91" s="1435" t="s">
        <v>3383</v>
      </c>
      <c r="K91" s="946"/>
      <c r="L91" s="946"/>
      <c r="M91" s="946"/>
      <c r="N91" s="941"/>
      <c r="O91" s="941"/>
      <c r="P91" s="941"/>
    </row>
    <row r="92" spans="1:16" ht="64.5" customHeight="1" x14ac:dyDescent="0.2">
      <c r="A92" s="51" t="s">
        <v>530</v>
      </c>
      <c r="B92" s="668"/>
      <c r="C92" s="2124" t="s">
        <v>705</v>
      </c>
      <c r="D92" s="2125"/>
      <c r="E92" s="2125"/>
      <c r="F92" s="2125"/>
      <c r="G92" s="2125"/>
      <c r="H92" s="2125"/>
      <c r="I92" s="2126"/>
      <c r="K92" s="976"/>
      <c r="L92" s="976"/>
      <c r="M92" s="976"/>
      <c r="N92" s="964"/>
      <c r="O92" s="964"/>
      <c r="P92" s="964"/>
    </row>
    <row r="93" spans="1:16" ht="84" customHeight="1" thickBot="1" x14ac:dyDescent="0.25">
      <c r="A93" s="94" t="s">
        <v>53</v>
      </c>
      <c r="B93" s="977"/>
      <c r="C93" s="2127" t="s">
        <v>610</v>
      </c>
      <c r="D93" s="2128"/>
      <c r="E93" s="2128"/>
      <c r="F93" s="2128"/>
      <c r="G93" s="2128"/>
      <c r="H93" s="2128"/>
      <c r="I93" s="2129"/>
      <c r="K93" s="976"/>
      <c r="L93" s="976"/>
      <c r="M93" s="976"/>
      <c r="N93" s="964"/>
      <c r="O93" s="964"/>
      <c r="P93" s="964"/>
    </row>
    <row r="94" spans="1:16" x14ac:dyDescent="0.2">
      <c r="A94" s="385"/>
      <c r="B94" s="385"/>
      <c r="C94" s="385"/>
      <c r="D94" s="385"/>
      <c r="E94" s="385"/>
      <c r="F94" s="385"/>
      <c r="G94" s="385"/>
      <c r="H94" s="385"/>
      <c r="I94" s="385"/>
      <c r="K94" s="964"/>
      <c r="L94" s="964"/>
      <c r="M94" s="964"/>
      <c r="N94" s="964"/>
      <c r="O94" s="964"/>
      <c r="P94" s="964"/>
    </row>
    <row r="95" spans="1:16" x14ac:dyDescent="0.2">
      <c r="A95" s="385"/>
      <c r="B95" s="385"/>
      <c r="C95" s="385"/>
      <c r="D95" s="385"/>
      <c r="E95" s="385"/>
      <c r="F95" s="385"/>
      <c r="G95" s="385"/>
      <c r="H95" s="385"/>
      <c r="I95" s="385"/>
      <c r="K95" s="964"/>
      <c r="L95" s="964"/>
      <c r="M95" s="964"/>
      <c r="N95" s="964"/>
      <c r="O95" s="964"/>
      <c r="P95" s="964"/>
    </row>
    <row r="96" spans="1:16" x14ac:dyDescent="0.2">
      <c r="A96" s="385"/>
      <c r="B96" s="385"/>
      <c r="C96" s="385"/>
      <c r="D96" s="385"/>
      <c r="E96" s="385"/>
      <c r="F96" s="385"/>
      <c r="G96" s="385"/>
      <c r="H96" s="385"/>
      <c r="I96" s="385"/>
      <c r="K96" s="964"/>
      <c r="L96" s="964"/>
      <c r="M96" s="964"/>
      <c r="N96" s="964"/>
      <c r="O96" s="964"/>
      <c r="P96" s="964"/>
    </row>
    <row r="97" spans="1:16" x14ac:dyDescent="0.2">
      <c r="A97" s="964"/>
      <c r="B97" s="964"/>
      <c r="C97" s="964"/>
      <c r="D97" s="964"/>
      <c r="E97" s="964"/>
      <c r="F97" s="964"/>
      <c r="G97" s="964"/>
      <c r="H97" s="964"/>
      <c r="I97" s="964"/>
      <c r="K97" s="964"/>
      <c r="L97" s="964"/>
      <c r="M97" s="964"/>
      <c r="N97" s="964"/>
      <c r="O97" s="964"/>
      <c r="P97" s="964"/>
    </row>
    <row r="98" spans="1:16" x14ac:dyDescent="0.2">
      <c r="A98" s="964"/>
      <c r="B98" s="964"/>
      <c r="C98" s="964"/>
      <c r="D98" s="964"/>
      <c r="E98" s="964"/>
      <c r="F98" s="964"/>
      <c r="G98" s="964"/>
      <c r="H98" s="964"/>
      <c r="I98" s="964"/>
      <c r="K98" s="964"/>
      <c r="L98" s="964"/>
      <c r="M98" s="964"/>
      <c r="N98" s="964"/>
      <c r="O98" s="964"/>
      <c r="P98" s="964"/>
    </row>
    <row r="99" spans="1:16" x14ac:dyDescent="0.2">
      <c r="A99" s="964"/>
      <c r="B99" s="964"/>
      <c r="C99" s="964"/>
      <c r="D99" s="964"/>
      <c r="E99" s="964"/>
      <c r="F99" s="964"/>
      <c r="G99" s="964"/>
      <c r="H99" s="964"/>
      <c r="I99" s="964"/>
      <c r="K99" s="964"/>
      <c r="L99" s="964"/>
      <c r="M99" s="964"/>
      <c r="N99" s="964"/>
      <c r="O99" s="964"/>
      <c r="P99" s="964"/>
    </row>
    <row r="100" spans="1:16" x14ac:dyDescent="0.2">
      <c r="A100" s="964"/>
      <c r="B100" s="964"/>
      <c r="C100" s="964"/>
      <c r="D100" s="964"/>
      <c r="E100" s="964"/>
      <c r="F100" s="964"/>
      <c r="G100" s="964"/>
      <c r="H100" s="964"/>
      <c r="I100" s="964"/>
      <c r="K100" s="964"/>
      <c r="L100" s="964"/>
      <c r="M100" s="964"/>
      <c r="N100" s="964"/>
      <c r="O100" s="964"/>
      <c r="P100" s="964"/>
    </row>
    <row r="101" spans="1:16" x14ac:dyDescent="0.2">
      <c r="A101" s="964"/>
      <c r="B101" s="964"/>
      <c r="C101" s="964"/>
      <c r="D101" s="964"/>
      <c r="E101" s="964"/>
      <c r="F101" s="964"/>
      <c r="G101" s="964"/>
      <c r="H101" s="964"/>
      <c r="I101" s="964"/>
      <c r="K101" s="964"/>
      <c r="L101" s="964"/>
      <c r="M101" s="964"/>
      <c r="N101" s="964"/>
      <c r="O101" s="964"/>
      <c r="P101" s="964"/>
    </row>
    <row r="102" spans="1:16" x14ac:dyDescent="0.2">
      <c r="A102" s="964"/>
      <c r="B102" s="964"/>
      <c r="C102" s="964"/>
      <c r="D102" s="964"/>
      <c r="E102" s="964"/>
      <c r="F102" s="964"/>
      <c r="G102" s="964"/>
      <c r="H102" s="964"/>
      <c r="I102" s="964"/>
      <c r="K102" s="964"/>
      <c r="L102" s="964"/>
      <c r="M102" s="964"/>
      <c r="N102" s="964"/>
      <c r="O102" s="964"/>
      <c r="P102" s="964"/>
    </row>
    <row r="103" spans="1:16" x14ac:dyDescent="0.2">
      <c r="A103" s="964"/>
      <c r="B103" s="964"/>
      <c r="C103" s="964"/>
      <c r="D103" s="964"/>
      <c r="E103" s="964"/>
      <c r="F103" s="964"/>
      <c r="G103" s="964"/>
      <c r="H103" s="964"/>
      <c r="I103" s="964"/>
      <c r="K103" s="964"/>
      <c r="L103" s="964"/>
      <c r="M103" s="964"/>
      <c r="N103" s="964"/>
      <c r="O103" s="964"/>
      <c r="P103" s="964"/>
    </row>
    <row r="104" spans="1:16" x14ac:dyDescent="0.2">
      <c r="A104" s="385"/>
      <c r="B104" s="385"/>
      <c r="C104" s="385"/>
      <c r="D104" s="385"/>
      <c r="E104" s="385"/>
      <c r="F104" s="385"/>
      <c r="G104" s="385"/>
      <c r="H104" s="385"/>
      <c r="I104" s="385"/>
      <c r="K104" s="964"/>
      <c r="L104" s="964"/>
      <c r="M104" s="964"/>
      <c r="N104" s="964"/>
      <c r="O104" s="964"/>
      <c r="P104" s="964"/>
    </row>
    <row r="105" spans="1:16" x14ac:dyDescent="0.2">
      <c r="A105" s="385"/>
      <c r="B105" s="385"/>
      <c r="C105" s="385"/>
      <c r="D105" s="385"/>
      <c r="E105" s="385"/>
      <c r="F105" s="385"/>
      <c r="G105" s="385"/>
      <c r="H105" s="385"/>
      <c r="I105" s="385"/>
      <c r="K105" s="964"/>
      <c r="L105" s="964"/>
      <c r="M105" s="964"/>
      <c r="N105" s="964"/>
      <c r="O105" s="964"/>
      <c r="P105" s="964"/>
    </row>
    <row r="106" spans="1:16" x14ac:dyDescent="0.2">
      <c r="A106" s="385"/>
      <c r="B106" s="385"/>
      <c r="C106" s="385"/>
      <c r="D106" s="385"/>
      <c r="E106" s="385"/>
      <c r="F106" s="385"/>
      <c r="G106" s="385"/>
      <c r="H106" s="385"/>
      <c r="I106" s="385"/>
      <c r="K106" s="964"/>
      <c r="L106" s="964"/>
      <c r="M106" s="964"/>
      <c r="N106" s="964"/>
      <c r="O106" s="964"/>
      <c r="P106" s="964"/>
    </row>
    <row r="107" spans="1:16" x14ac:dyDescent="0.2">
      <c r="A107" s="385"/>
      <c r="B107" s="385"/>
      <c r="C107" s="385"/>
      <c r="D107" s="385"/>
      <c r="E107" s="385"/>
      <c r="F107" s="385"/>
      <c r="G107" s="385"/>
      <c r="H107" s="385"/>
      <c r="I107" s="385"/>
      <c r="K107" s="964"/>
      <c r="L107" s="964"/>
      <c r="M107" s="964"/>
      <c r="N107" s="964"/>
      <c r="O107" s="964"/>
      <c r="P107" s="964"/>
    </row>
    <row r="108" spans="1:16" x14ac:dyDescent="0.2">
      <c r="A108" s="385"/>
      <c r="B108" s="385"/>
      <c r="C108" s="385"/>
      <c r="D108" s="385"/>
      <c r="E108" s="385"/>
      <c r="F108" s="385"/>
      <c r="G108" s="385"/>
      <c r="H108" s="385"/>
      <c r="I108" s="385"/>
      <c r="K108" s="964"/>
      <c r="L108" s="964"/>
      <c r="M108" s="964"/>
      <c r="N108" s="964"/>
      <c r="O108" s="964"/>
      <c r="P108" s="964"/>
    </row>
    <row r="109" spans="1:16" x14ac:dyDescent="0.2">
      <c r="A109" s="385"/>
      <c r="B109" s="385"/>
      <c r="C109" s="385"/>
      <c r="D109" s="385"/>
      <c r="E109" s="385"/>
      <c r="F109" s="385"/>
      <c r="G109" s="385"/>
      <c r="H109" s="385"/>
      <c r="I109" s="385"/>
      <c r="K109" s="964"/>
      <c r="L109" s="964"/>
      <c r="M109" s="964"/>
      <c r="N109" s="964"/>
      <c r="O109" s="964"/>
      <c r="P109" s="964"/>
    </row>
  </sheetData>
  <sheetProtection algorithmName="SHA-512" hashValue="lo6dd7ihCKJ1FcIjeIn+0mGImuBmSGwmZJRWzzkAVgPi7IAh5cUXh/doHpqLbXFsKAHiNreuNZZLxaUj9NKivg==" saltValue="Bxu36cMmORu5qF4NQptvdg==" spinCount="100000" sheet="1" formatCells="0" formatColumns="0" formatRows="0" insertColumns="0" insertRows="0" insertHyperlinks="0" deleteColumns="0" deleteRows="0" autoFilter="0"/>
  <mergeCells count="18">
    <mergeCell ref="C92:I92"/>
    <mergeCell ref="C93:I93"/>
    <mergeCell ref="I64:I70"/>
    <mergeCell ref="A39:I39"/>
    <mergeCell ref="A72:I72"/>
    <mergeCell ref="A63:I63"/>
    <mergeCell ref="A53:I53"/>
    <mergeCell ref="I73:I90"/>
    <mergeCell ref="A42:G42"/>
    <mergeCell ref="I40:I51"/>
    <mergeCell ref="I54:I62"/>
    <mergeCell ref="K1:M3"/>
    <mergeCell ref="A1:E3"/>
    <mergeCell ref="A5:I5"/>
    <mergeCell ref="A10:I10"/>
    <mergeCell ref="A38:I38"/>
    <mergeCell ref="I11:I37"/>
    <mergeCell ref="C4:I4"/>
  </mergeCells>
  <conditionalFormatting sqref="C71:E71">
    <cfRule type="cellIs" dxfId="300" priority="7" operator="equal">
      <formula>"True"</formula>
    </cfRule>
    <cfRule type="cellIs" dxfId="299" priority="8" operator="equal">
      <formula>"False"</formula>
    </cfRule>
    <cfRule type="cellIs" dxfId="298" priority="9" operator="equal">
      <formula>"Pending"</formula>
    </cfRule>
  </conditionalFormatting>
  <conditionalFormatting sqref="B71">
    <cfRule type="cellIs" dxfId="297" priority="1" operator="equal">
      <formula>"True"</formula>
    </cfRule>
    <cfRule type="cellIs" dxfId="296" priority="2" operator="equal">
      <formula>"False"</formula>
    </cfRule>
    <cfRule type="cellIs" dxfId="295" priority="3" operator="equal">
      <formula>"Pending"</formula>
    </cfRule>
  </conditionalFormatting>
  <printOptions horizontalCentered="1" verticalCentered="1"/>
  <pageMargins left="0" right="0" top="0" bottom="0" header="0" footer="0"/>
  <pageSetup paperSize="9" scale="45"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rowBreaks count="1" manualBreakCount="1">
    <brk id="93" max="4" man="1"/>
  </rowBreaks>
  <colBreaks count="1" manualBreakCount="1">
    <brk id="10" max="1048575" man="1"/>
  </colBreaks>
  <ignoredErrors>
    <ignoredError sqref="I38:I39 I79 I94:I98 I90 A1 A4 I72 A38:A56 I63 I59 I42 A94:A103 I41 I48 I43 I44 I45 I46 I47 I52:I53 I49 I50 I58 I55 I56 I57 I60 I61 I64 I51 C51:E51 I62 C62:E62 C67:E67 C69:E69 A58:A70 I100:I103 A72 I74:I75 I76 D52:E53 D42:E42 D63:E63 D72:E72 D38:E39 I20:I24 A20:A24 I36:I37 I10 I34 I11 C22:E24 G36:G37 C31:E31 C27:E28 C10:E10 G52:G53 G42 G63 G72 G94:G103 G38:G39 C7 I15:I17 I26:I33 I80:I84 I35 A26:A37 A15:A17 A11 A10 G20:G24 G26:G33 G10 G11 G15:G17 G34:G35 I7 C34:E35 C15:E17 C11:E11 D94:E103" unlockedFormula="1"/>
    <ignoredError sqref="C26 C21 C29:C30 C32:C33 C36:C37 D26:E26 D21:E21 D29:E30 D32:E33 D36:E37" evalError="1" unlocked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8"/>
  <dimension ref="A1:F92"/>
  <sheetViews>
    <sheetView workbookViewId="0">
      <selection activeCell="H1" sqref="H1"/>
    </sheetView>
  </sheetViews>
  <sheetFormatPr defaultRowHeight="12.75" x14ac:dyDescent="0.2"/>
  <cols>
    <col min="1" max="1" width="11.5703125" style="868" customWidth="1"/>
    <col min="2" max="2" width="45.5703125" style="868"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Financials_Consolidated!E7</f>
        <v>43190</v>
      </c>
      <c r="D1" s="872">
        <f>Financials_Consolidated!D7</f>
        <v>43555</v>
      </c>
      <c r="E1" s="872">
        <f>Financials_Consolidated!C7</f>
        <v>43921</v>
      </c>
      <c r="F1" s="872">
        <f>Financials_Consolidated!B7</f>
        <v>44286</v>
      </c>
    </row>
    <row r="2" spans="1:6" x14ac:dyDescent="0.2">
      <c r="A2" s="871" t="s">
        <v>2038</v>
      </c>
      <c r="B2" s="871" t="s">
        <v>2708</v>
      </c>
      <c r="C2" s="873">
        <f>Financials_Consolidated!E8</f>
        <v>0</v>
      </c>
      <c r="D2" s="873">
        <f>Financials_Consolidated!D8</f>
        <v>0</v>
      </c>
      <c r="E2" s="873">
        <f>Financials_Consolidated!C8</f>
        <v>0</v>
      </c>
      <c r="F2" s="873">
        <f>Financials_Consolidated!B8</f>
        <v>0</v>
      </c>
    </row>
    <row r="3" spans="1:6" x14ac:dyDescent="0.2">
      <c r="A3" s="871" t="s">
        <v>2038</v>
      </c>
      <c r="B3" s="871" t="s">
        <v>2709</v>
      </c>
      <c r="C3" s="873">
        <v>12</v>
      </c>
      <c r="D3" s="873">
        <v>12</v>
      </c>
      <c r="E3" s="873">
        <v>12</v>
      </c>
      <c r="F3" s="873">
        <v>12</v>
      </c>
    </row>
    <row r="4" spans="1:6" x14ac:dyDescent="0.2">
      <c r="A4" s="874" t="s">
        <v>686</v>
      </c>
      <c r="B4" s="874" t="s">
        <v>2711</v>
      </c>
      <c r="C4" s="875" t="s">
        <v>2038</v>
      </c>
      <c r="D4" s="875" t="s">
        <v>2038</v>
      </c>
      <c r="E4" s="875" t="s">
        <v>2038</v>
      </c>
      <c r="F4" s="875" t="s">
        <v>2038</v>
      </c>
    </row>
    <row r="5" spans="1:6" x14ac:dyDescent="0.2">
      <c r="A5" s="876" t="s">
        <v>2712</v>
      </c>
      <c r="B5" s="876" t="s">
        <v>2713</v>
      </c>
      <c r="C5" s="877">
        <f>Financials_Consolidated!E13</f>
        <v>0</v>
      </c>
      <c r="D5" s="877">
        <f>Financials_Consolidated!D13</f>
        <v>11377343.300000001</v>
      </c>
      <c r="E5" s="877">
        <f>Financials_Consolidated!C13</f>
        <v>10756627.58</v>
      </c>
      <c r="F5" s="877">
        <f>Financials_Consolidated!B13</f>
        <v>0</v>
      </c>
    </row>
    <row r="6" spans="1:6" x14ac:dyDescent="0.2">
      <c r="A6" s="876" t="s">
        <v>2714</v>
      </c>
      <c r="B6" s="876" t="s">
        <v>2715</v>
      </c>
      <c r="C6" s="877">
        <f>Financials_Consolidated!E12</f>
        <v>0</v>
      </c>
      <c r="D6" s="877">
        <f>Financials_Consolidated!D12</f>
        <v>66572818.57</v>
      </c>
      <c r="E6" s="877">
        <f>Financials_Consolidated!C12</f>
        <v>57148575.670000002</v>
      </c>
      <c r="F6" s="877">
        <f>Financials_Consolidated!B12</f>
        <v>0</v>
      </c>
    </row>
    <row r="7" spans="1:6" x14ac:dyDescent="0.2">
      <c r="A7" s="876" t="s">
        <v>2716</v>
      </c>
      <c r="B7" s="876" t="s">
        <v>2717</v>
      </c>
      <c r="C7" s="878">
        <f>(C5+C6)</f>
        <v>0</v>
      </c>
      <c r="D7" s="878">
        <f>(D5+D6)</f>
        <v>77950161.870000005</v>
      </c>
      <c r="E7" s="878">
        <f>(E5+E6)</f>
        <v>67905203.25</v>
      </c>
      <c r="F7" s="878">
        <f>(F5+F6)</f>
        <v>0</v>
      </c>
    </row>
    <row r="8" spans="1:6" x14ac:dyDescent="0.2">
      <c r="A8" s="876" t="s">
        <v>2718</v>
      </c>
      <c r="B8" s="876" t="s">
        <v>2719</v>
      </c>
      <c r="C8" s="879"/>
      <c r="D8" s="879"/>
      <c r="E8" s="879"/>
      <c r="F8" s="879"/>
    </row>
    <row r="9" spans="1:6" x14ac:dyDescent="0.2">
      <c r="A9" s="876" t="s">
        <v>2720</v>
      </c>
      <c r="B9" s="876" t="s">
        <v>2721</v>
      </c>
      <c r="C9" s="878">
        <f>(C7-C8)</f>
        <v>0</v>
      </c>
      <c r="D9" s="878">
        <f>(D7-D8)</f>
        <v>77950161.870000005</v>
      </c>
      <c r="E9" s="878">
        <f>(E7-E8)</f>
        <v>67905203.25</v>
      </c>
      <c r="F9" s="878">
        <f>(F7-F8)</f>
        <v>0</v>
      </c>
    </row>
    <row r="10" spans="1:6" x14ac:dyDescent="0.2">
      <c r="A10" s="876" t="s">
        <v>2722</v>
      </c>
      <c r="B10" s="876" t="s">
        <v>2723</v>
      </c>
      <c r="C10" s="877">
        <f>Financials_Consolidated!E15</f>
        <v>0</v>
      </c>
      <c r="D10" s="877">
        <f>Financials_Consolidated!D15</f>
        <v>3681977.02</v>
      </c>
      <c r="E10" s="877">
        <f>Financials_Consolidated!C15</f>
        <v>4932710.9000000004</v>
      </c>
      <c r="F10" s="877">
        <f>Financials_Consolidated!B15</f>
        <v>0</v>
      </c>
    </row>
    <row r="11" spans="1:6" x14ac:dyDescent="0.2">
      <c r="A11" s="876" t="s">
        <v>2724</v>
      </c>
      <c r="B11" s="876" t="s">
        <v>2725</v>
      </c>
      <c r="C11" s="879"/>
      <c r="D11" s="879"/>
      <c r="E11" s="879"/>
      <c r="F11" s="879"/>
    </row>
    <row r="12" spans="1:6" x14ac:dyDescent="0.2">
      <c r="A12" s="876" t="s">
        <v>2726</v>
      </c>
      <c r="B12" s="876" t="s">
        <v>2727</v>
      </c>
      <c r="C12" s="879"/>
      <c r="D12" s="879"/>
      <c r="E12" s="879"/>
      <c r="F12" s="879"/>
    </row>
    <row r="13" spans="1:6" x14ac:dyDescent="0.2">
      <c r="A13" s="876" t="s">
        <v>2728</v>
      </c>
      <c r="B13" s="876" t="s">
        <v>2729</v>
      </c>
      <c r="C13" s="879"/>
      <c r="D13" s="879"/>
      <c r="E13" s="879"/>
      <c r="F13" s="879"/>
    </row>
    <row r="14" spans="1:6" x14ac:dyDescent="0.2">
      <c r="A14" s="876" t="s">
        <v>2730</v>
      </c>
      <c r="B14" s="876" t="s">
        <v>2731</v>
      </c>
      <c r="C14" s="878">
        <f>(C9+C10+C11+C12+C13)</f>
        <v>0</v>
      </c>
      <c r="D14" s="878">
        <f>(D9+D10+D11+D12+D13)</f>
        <v>81632138.890000001</v>
      </c>
      <c r="E14" s="878">
        <f>(E9+E10+E11+E12+E13)</f>
        <v>72837914.150000006</v>
      </c>
      <c r="F14" s="878">
        <f>(F9+F10+F11+F12+F13)</f>
        <v>0</v>
      </c>
    </row>
    <row r="15" spans="1:6" x14ac:dyDescent="0.2">
      <c r="A15" s="874" t="s">
        <v>2732</v>
      </c>
      <c r="B15" s="874" t="s">
        <v>2733</v>
      </c>
      <c r="C15" s="875" t="s">
        <v>2038</v>
      </c>
      <c r="D15" s="875" t="s">
        <v>2038</v>
      </c>
      <c r="E15" s="875" t="s">
        <v>2038</v>
      </c>
      <c r="F15" s="875" t="s">
        <v>2038</v>
      </c>
    </row>
    <row r="16" spans="1:6" x14ac:dyDescent="0.2">
      <c r="A16" s="876" t="s">
        <v>2734</v>
      </c>
      <c r="B16" s="876" t="s">
        <v>2735</v>
      </c>
      <c r="C16" s="875" t="s">
        <v>2038</v>
      </c>
      <c r="D16" s="875" t="s">
        <v>2038</v>
      </c>
      <c r="E16" s="875" t="s">
        <v>2038</v>
      </c>
      <c r="F16" s="875" t="s">
        <v>2038</v>
      </c>
    </row>
    <row r="17" spans="1:6" x14ac:dyDescent="0.2">
      <c r="A17" s="880" t="s">
        <v>2736</v>
      </c>
      <c r="B17" s="880" t="s">
        <v>2737</v>
      </c>
      <c r="C17" s="877">
        <f>Financials_Consolidated!E17</f>
        <v>0</v>
      </c>
      <c r="D17" s="877">
        <f>Financials_Consolidated!D17</f>
        <v>36394424.450000003</v>
      </c>
      <c r="E17" s="877">
        <f>Financials_Consolidated!C17</f>
        <v>40738528.969999999</v>
      </c>
      <c r="F17" s="877">
        <f>Financials_Consolidated!B17</f>
        <v>0</v>
      </c>
    </row>
    <row r="18" spans="1:6" x14ac:dyDescent="0.2">
      <c r="A18" s="880" t="s">
        <v>2738</v>
      </c>
      <c r="B18" s="880" t="s">
        <v>2739</v>
      </c>
      <c r="C18" s="879"/>
      <c r="D18" s="879"/>
      <c r="E18" s="879"/>
      <c r="F18" s="879"/>
    </row>
    <row r="19" spans="1:6" x14ac:dyDescent="0.2">
      <c r="A19" s="876" t="s">
        <v>2740</v>
      </c>
      <c r="B19" s="876" t="s">
        <v>2741</v>
      </c>
      <c r="C19" s="875" t="s">
        <v>2038</v>
      </c>
      <c r="D19" s="875" t="s">
        <v>2038</v>
      </c>
      <c r="E19" s="875" t="s">
        <v>2038</v>
      </c>
      <c r="F19" s="875" t="s">
        <v>2038</v>
      </c>
    </row>
    <row r="20" spans="1:6" x14ac:dyDescent="0.2">
      <c r="A20" s="880" t="s">
        <v>2742</v>
      </c>
      <c r="B20" s="880" t="s">
        <v>2737</v>
      </c>
      <c r="C20" s="879"/>
      <c r="D20" s="879"/>
      <c r="E20" s="879"/>
      <c r="F20" s="879"/>
    </row>
    <row r="21" spans="1:6" x14ac:dyDescent="0.2">
      <c r="A21" s="880" t="s">
        <v>2743</v>
      </c>
      <c r="B21" s="880" t="s">
        <v>2739</v>
      </c>
      <c r="C21" s="879"/>
      <c r="D21" s="879"/>
      <c r="E21" s="879"/>
      <c r="F21" s="879"/>
    </row>
    <row r="22" spans="1:6" x14ac:dyDescent="0.2">
      <c r="A22" s="876" t="s">
        <v>2744</v>
      </c>
      <c r="B22" s="876" t="s">
        <v>2745</v>
      </c>
      <c r="C22" s="879"/>
      <c r="D22" s="879"/>
      <c r="E22" s="879"/>
      <c r="F22" s="879"/>
    </row>
    <row r="23" spans="1:6" x14ac:dyDescent="0.2">
      <c r="A23" s="876" t="s">
        <v>2746</v>
      </c>
      <c r="B23" s="876" t="s">
        <v>2747</v>
      </c>
      <c r="C23" s="877">
        <f>Financials_Consolidated!E19</f>
        <v>0</v>
      </c>
      <c r="D23" s="877">
        <f>Financials_Consolidated!D19</f>
        <v>1741023.39</v>
      </c>
      <c r="E23" s="877">
        <f>Financials_Consolidated!C19</f>
        <v>-791646</v>
      </c>
      <c r="F23" s="877">
        <f>Financials_Consolidated!B19</f>
        <v>0</v>
      </c>
    </row>
    <row r="24" spans="1:6" x14ac:dyDescent="0.2">
      <c r="A24" s="876" t="s">
        <v>2748</v>
      </c>
      <c r="B24" s="876" t="s">
        <v>2749</v>
      </c>
      <c r="C24" s="877">
        <f>Financials_Consolidated!E18</f>
        <v>0</v>
      </c>
      <c r="D24" s="877">
        <f>Financials_Consolidated!D18</f>
        <v>27055468.520000003</v>
      </c>
      <c r="E24" s="877">
        <f>Financials_Consolidated!C18</f>
        <v>18949844.119999997</v>
      </c>
      <c r="F24" s="877">
        <f>Financials_Consolidated!B18</f>
        <v>0</v>
      </c>
    </row>
    <row r="25" spans="1:6" x14ac:dyDescent="0.2">
      <c r="A25" s="876" t="s">
        <v>2750</v>
      </c>
      <c r="B25" s="876" t="s">
        <v>2751</v>
      </c>
      <c r="C25" s="877">
        <f>Financials_Consolidated!E27+Financials_Consolidated!E28</f>
        <v>0</v>
      </c>
      <c r="D25" s="877">
        <f>Financials_Consolidated!D27+Financials_Consolidated!D28</f>
        <v>2287718</v>
      </c>
      <c r="E25" s="877">
        <f>Financials_Consolidated!C27+Financials_Consolidated!C28</f>
        <v>1989388</v>
      </c>
      <c r="F25" s="877">
        <f>Financials_Consolidated!B27+Financials_Consolidated!B28</f>
        <v>0</v>
      </c>
    </row>
    <row r="26" spans="1:6" x14ac:dyDescent="0.2">
      <c r="A26" s="876" t="s">
        <v>2752</v>
      </c>
      <c r="B26" s="876" t="s">
        <v>2753</v>
      </c>
      <c r="C26" s="879"/>
      <c r="D26" s="879"/>
      <c r="E26" s="879"/>
      <c r="F26" s="879"/>
    </row>
    <row r="27" spans="1:6" x14ac:dyDescent="0.2">
      <c r="A27" s="876" t="s">
        <v>2754</v>
      </c>
      <c r="B27" s="876" t="s">
        <v>2755</v>
      </c>
      <c r="C27" s="879"/>
      <c r="D27" s="879"/>
      <c r="E27" s="879"/>
      <c r="F27" s="879"/>
    </row>
    <row r="28" spans="1:6" x14ac:dyDescent="0.2">
      <c r="A28" s="876" t="s">
        <v>2756</v>
      </c>
      <c r="B28" s="876" t="s">
        <v>2757</v>
      </c>
      <c r="C28" s="879"/>
      <c r="D28" s="879"/>
      <c r="E28" s="879"/>
      <c r="F28" s="879"/>
    </row>
    <row r="29" spans="1:6" x14ac:dyDescent="0.2">
      <c r="A29" s="876" t="s">
        <v>2758</v>
      </c>
      <c r="B29" s="876" t="s">
        <v>2759</v>
      </c>
      <c r="C29" s="878">
        <f>(C17+C18+C20+C21+C22+C23+C24+C25+C26+C27+C28)</f>
        <v>0</v>
      </c>
      <c r="D29" s="878">
        <f>(D17+D18+D20+D21+D22+D23+D24+D25+D26+D27+D28)</f>
        <v>67478634.360000014</v>
      </c>
      <c r="E29" s="878">
        <f>(E17+E18+E20+E21+E22+E23+E24+E25+E26+E27+E28)</f>
        <v>60886115.089999996</v>
      </c>
      <c r="F29" s="878">
        <f>(F17+F18+F20+F21+F22+F23+F24+F25+F26+F27+F28)</f>
        <v>0</v>
      </c>
    </row>
    <row r="30" spans="1:6" x14ac:dyDescent="0.2">
      <c r="A30" s="876" t="s">
        <v>2760</v>
      </c>
      <c r="B30" s="876" t="s">
        <v>2761</v>
      </c>
      <c r="C30" s="879"/>
      <c r="D30" s="879"/>
      <c r="E30" s="879"/>
      <c r="F30" s="879"/>
    </row>
    <row r="31" spans="1:6" x14ac:dyDescent="0.2">
      <c r="A31" s="876" t="s">
        <v>2762</v>
      </c>
      <c r="B31" s="876" t="s">
        <v>2763</v>
      </c>
      <c r="C31" s="879"/>
      <c r="D31" s="879"/>
      <c r="E31" s="879"/>
      <c r="F31" s="879"/>
    </row>
    <row r="32" spans="1:6" x14ac:dyDescent="0.2">
      <c r="A32" s="876" t="s">
        <v>2764</v>
      </c>
      <c r="B32" s="876" t="s">
        <v>2765</v>
      </c>
      <c r="C32" s="878">
        <f>C29+C30-C31</f>
        <v>0</v>
      </c>
      <c r="D32" s="878">
        <f>D29+D30-D31</f>
        <v>67478634.360000014</v>
      </c>
      <c r="E32" s="878">
        <f>E29+E30-E31</f>
        <v>60886115.089999996</v>
      </c>
      <c r="F32" s="878">
        <f>F29+F30-F31</f>
        <v>0</v>
      </c>
    </row>
    <row r="33" spans="1:6" x14ac:dyDescent="0.2">
      <c r="A33" s="876" t="s">
        <v>2766</v>
      </c>
      <c r="B33" s="876" t="s">
        <v>2767</v>
      </c>
      <c r="C33" s="879"/>
      <c r="D33" s="879"/>
      <c r="E33" s="879"/>
      <c r="F33" s="879"/>
    </row>
    <row r="34" spans="1:6" x14ac:dyDescent="0.2">
      <c r="A34" s="876" t="s">
        <v>2768</v>
      </c>
      <c r="B34" s="876" t="s">
        <v>2769</v>
      </c>
      <c r="C34" s="879"/>
      <c r="D34" s="879"/>
      <c r="E34" s="879"/>
      <c r="F34" s="879"/>
    </row>
    <row r="35" spans="1:6" x14ac:dyDescent="0.2">
      <c r="A35" s="876" t="s">
        <v>2770</v>
      </c>
      <c r="B35" s="876" t="s">
        <v>2771</v>
      </c>
      <c r="C35" s="878">
        <f>C32+C33-C34</f>
        <v>0</v>
      </c>
      <c r="D35" s="878">
        <f>D32+D33-D34</f>
        <v>67478634.360000014</v>
      </c>
      <c r="E35" s="878">
        <f>E32+E33-E34</f>
        <v>60886115.089999996</v>
      </c>
      <c r="F35" s="878">
        <f>F32+F33-F34</f>
        <v>0</v>
      </c>
    </row>
    <row r="36" spans="1:6" x14ac:dyDescent="0.2">
      <c r="A36" s="876" t="s">
        <v>2772</v>
      </c>
      <c r="B36" s="876" t="s">
        <v>2773</v>
      </c>
      <c r="C36" s="877">
        <f>Financials_Consolidated!E24</f>
        <v>0</v>
      </c>
      <c r="D36" s="877">
        <f>Financials_Consolidated!D24</f>
        <v>14588842.049999999</v>
      </c>
      <c r="E36" s="877">
        <f>Financials_Consolidated!C24</f>
        <v>13089020.589999998</v>
      </c>
      <c r="F36" s="877">
        <f>Financials_Consolidated!B24</f>
        <v>0</v>
      </c>
    </row>
    <row r="37" spans="1:6" x14ac:dyDescent="0.2">
      <c r="A37" s="876" t="s">
        <v>2774</v>
      </c>
      <c r="B37" s="876" t="s">
        <v>2775</v>
      </c>
      <c r="C37" s="878">
        <f>(C35+C36)</f>
        <v>0</v>
      </c>
      <c r="D37" s="878">
        <f>(D35+D36)</f>
        <v>82067476.410000011</v>
      </c>
      <c r="E37" s="878">
        <f>(E35+E36)</f>
        <v>73975135.679999992</v>
      </c>
      <c r="F37" s="878">
        <f>(F35+F36)</f>
        <v>0</v>
      </c>
    </row>
    <row r="38" spans="1:6" x14ac:dyDescent="0.2">
      <c r="A38" s="876" t="s">
        <v>2776</v>
      </c>
      <c r="B38" s="876" t="s">
        <v>2777</v>
      </c>
      <c r="C38" s="878">
        <f>(C14-C37)</f>
        <v>0</v>
      </c>
      <c r="D38" s="878">
        <f>(D14-D37)</f>
        <v>-435337.52000001073</v>
      </c>
      <c r="E38" s="878">
        <f>(E14-E37)</f>
        <v>-1137221.5299999863</v>
      </c>
      <c r="F38" s="878">
        <f>(F14-F37)</f>
        <v>0</v>
      </c>
    </row>
    <row r="39" spans="1:6" x14ac:dyDescent="0.2">
      <c r="A39" s="876" t="s">
        <v>2778</v>
      </c>
      <c r="B39" s="876" t="s">
        <v>2779</v>
      </c>
      <c r="C39" s="875" t="s">
        <v>2038</v>
      </c>
      <c r="D39" s="875" t="s">
        <v>2038</v>
      </c>
      <c r="E39" s="875" t="s">
        <v>2038</v>
      </c>
      <c r="F39" s="875" t="s">
        <v>2038</v>
      </c>
    </row>
    <row r="40" spans="1:6" x14ac:dyDescent="0.2">
      <c r="A40" s="880" t="s">
        <v>2780</v>
      </c>
      <c r="B40" s="880" t="s">
        <v>2781</v>
      </c>
      <c r="C40" s="879"/>
      <c r="D40" s="879"/>
      <c r="E40" s="879"/>
      <c r="F40" s="879"/>
    </row>
    <row r="41" spans="1:6" x14ac:dyDescent="0.2">
      <c r="A41" s="880" t="s">
        <v>2782</v>
      </c>
      <c r="B41" s="880" t="s">
        <v>2783</v>
      </c>
      <c r="C41" s="882">
        <f>Financials_Consolidated!E31</f>
        <v>0</v>
      </c>
      <c r="D41" s="882">
        <f>Financials_Consolidated!D31</f>
        <v>5247141.5999999996</v>
      </c>
      <c r="E41" s="882">
        <f>Financials_Consolidated!C31</f>
        <v>4971108.01</v>
      </c>
      <c r="F41" s="882">
        <f>Financials_Consolidated!B31</f>
        <v>0</v>
      </c>
    </row>
    <row r="42" spans="1:6" x14ac:dyDescent="0.2">
      <c r="A42" s="876" t="s">
        <v>2784</v>
      </c>
      <c r="B42" s="876" t="s">
        <v>2785</v>
      </c>
      <c r="C42" s="875" t="s">
        <v>2038</v>
      </c>
      <c r="D42" s="875" t="s">
        <v>2038</v>
      </c>
      <c r="E42" s="875" t="s">
        <v>2038</v>
      </c>
      <c r="F42" s="875" t="s">
        <v>2038</v>
      </c>
    </row>
    <row r="43" spans="1:6" x14ac:dyDescent="0.2">
      <c r="A43" s="880" t="s">
        <v>2786</v>
      </c>
      <c r="B43" s="880" t="s">
        <v>2781</v>
      </c>
      <c r="C43" s="879"/>
      <c r="D43" s="879"/>
      <c r="E43" s="879"/>
      <c r="F43" s="879"/>
    </row>
    <row r="44" spans="1:6" x14ac:dyDescent="0.2">
      <c r="A44" s="880" t="s">
        <v>2787</v>
      </c>
      <c r="B44" s="880" t="s">
        <v>2783</v>
      </c>
      <c r="C44" s="879"/>
      <c r="D44" s="879"/>
      <c r="E44" s="879"/>
      <c r="F44" s="879"/>
    </row>
    <row r="45" spans="1:6" x14ac:dyDescent="0.2">
      <c r="A45" s="876" t="s">
        <v>2788</v>
      </c>
      <c r="B45" s="876" t="s">
        <v>2789</v>
      </c>
      <c r="C45" s="879"/>
      <c r="D45" s="879"/>
      <c r="E45" s="879"/>
      <c r="F45" s="879"/>
    </row>
    <row r="46" spans="1:6" x14ac:dyDescent="0.2">
      <c r="A46" s="876" t="s">
        <v>2790</v>
      </c>
      <c r="B46" s="876" t="s">
        <v>2791</v>
      </c>
      <c r="C46" s="878">
        <f>(C40+C41+C43+C44+C45)</f>
        <v>0</v>
      </c>
      <c r="D46" s="878">
        <f>(D40+D41+D43+D44+D45)</f>
        <v>5247141.5999999996</v>
      </c>
      <c r="E46" s="878">
        <f>(E40+E41+E43+E44+E45)</f>
        <v>4971108.01</v>
      </c>
      <c r="F46" s="878">
        <f>(F40+F41+F43+F44+F45)</f>
        <v>0</v>
      </c>
    </row>
    <row r="47" spans="1:6" x14ac:dyDescent="0.2">
      <c r="A47" s="876" t="s">
        <v>2792</v>
      </c>
      <c r="B47" s="876" t="s">
        <v>2793</v>
      </c>
      <c r="C47" s="878">
        <f>(C38-C46)</f>
        <v>0</v>
      </c>
      <c r="D47" s="878">
        <f>(D38-D46)</f>
        <v>-5682479.1200000104</v>
      </c>
      <c r="E47" s="878">
        <f>(E38-E46)</f>
        <v>-6108329.5399999861</v>
      </c>
      <c r="F47" s="878">
        <f>(F38-F46)</f>
        <v>0</v>
      </c>
    </row>
    <row r="48" spans="1:6" x14ac:dyDescent="0.2">
      <c r="A48" s="874" t="s">
        <v>2794</v>
      </c>
      <c r="B48" s="874" t="s">
        <v>2795</v>
      </c>
      <c r="C48" s="875" t="s">
        <v>2038</v>
      </c>
      <c r="D48" s="875" t="s">
        <v>2038</v>
      </c>
      <c r="E48" s="875" t="s">
        <v>2038</v>
      </c>
      <c r="F48" s="875" t="s">
        <v>2038</v>
      </c>
    </row>
    <row r="49" spans="1:6" x14ac:dyDescent="0.2">
      <c r="A49" s="876" t="s">
        <v>2796</v>
      </c>
      <c r="B49" s="876" t="s">
        <v>2797</v>
      </c>
      <c r="C49" s="875" t="s">
        <v>2038</v>
      </c>
      <c r="D49" s="875" t="s">
        <v>2038</v>
      </c>
      <c r="E49" s="875" t="s">
        <v>2038</v>
      </c>
      <c r="F49" s="875" t="s">
        <v>2038</v>
      </c>
    </row>
    <row r="50" spans="1:6" x14ac:dyDescent="0.2">
      <c r="A50" s="880" t="s">
        <v>2798</v>
      </c>
      <c r="B50" s="880" t="s">
        <v>2799</v>
      </c>
      <c r="C50" s="879"/>
      <c r="D50" s="879"/>
      <c r="E50" s="879"/>
      <c r="F50" s="879"/>
    </row>
    <row r="51" spans="1:6" x14ac:dyDescent="0.2">
      <c r="A51" s="880" t="s">
        <v>2800</v>
      </c>
      <c r="B51" s="880" t="s">
        <v>2801</v>
      </c>
      <c r="C51" s="879"/>
      <c r="D51" s="879"/>
      <c r="E51" s="879"/>
      <c r="F51" s="879"/>
    </row>
    <row r="52" spans="1:6" x14ac:dyDescent="0.2">
      <c r="A52" s="880" t="s">
        <v>2802</v>
      </c>
      <c r="B52" s="880" t="s">
        <v>2803</v>
      </c>
      <c r="C52" s="879"/>
      <c r="D52" s="879"/>
      <c r="E52" s="879"/>
      <c r="F52" s="879"/>
    </row>
    <row r="53" spans="1:6" x14ac:dyDescent="0.2">
      <c r="A53" s="880" t="s">
        <v>2804</v>
      </c>
      <c r="B53" s="880" t="s">
        <v>2805</v>
      </c>
      <c r="C53" s="879"/>
      <c r="D53" s="879"/>
      <c r="E53" s="879"/>
      <c r="F53" s="879"/>
    </row>
    <row r="54" spans="1:6" x14ac:dyDescent="0.2">
      <c r="A54" s="880" t="s">
        <v>2806</v>
      </c>
      <c r="B54" s="880" t="s">
        <v>2807</v>
      </c>
      <c r="C54" s="879"/>
      <c r="D54" s="879"/>
      <c r="E54" s="879"/>
      <c r="F54" s="879"/>
    </row>
    <row r="55" spans="1:6" x14ac:dyDescent="0.2">
      <c r="A55" s="880" t="s">
        <v>2808</v>
      </c>
      <c r="B55" s="880" t="s">
        <v>2809</v>
      </c>
      <c r="C55" s="879"/>
      <c r="D55" s="879"/>
      <c r="E55" s="879"/>
      <c r="F55" s="879"/>
    </row>
    <row r="56" spans="1:6" x14ac:dyDescent="0.2">
      <c r="A56" s="876" t="s">
        <v>2810</v>
      </c>
      <c r="B56" s="876" t="s">
        <v>2811</v>
      </c>
      <c r="C56" s="877">
        <f>Financials_Consolidated!E14</f>
        <v>0</v>
      </c>
      <c r="D56" s="877">
        <f>Financials_Consolidated!D14</f>
        <v>3630203.5700000003</v>
      </c>
      <c r="E56" s="877">
        <f>Financials_Consolidated!C14</f>
        <v>8027185.0800000001</v>
      </c>
      <c r="F56" s="877">
        <f>Financials_Consolidated!B14</f>
        <v>0</v>
      </c>
    </row>
    <row r="57" spans="1:6" x14ac:dyDescent="0.2">
      <c r="A57" s="876" t="s">
        <v>2812</v>
      </c>
      <c r="B57" s="876" t="s">
        <v>2813</v>
      </c>
      <c r="C57" s="875" t="s">
        <v>2038</v>
      </c>
      <c r="D57" s="875" t="s">
        <v>2038</v>
      </c>
      <c r="E57" s="875" t="s">
        <v>2038</v>
      </c>
      <c r="F57" s="875" t="s">
        <v>2038</v>
      </c>
    </row>
    <row r="58" spans="1:6" x14ac:dyDescent="0.2">
      <c r="A58" s="880" t="s">
        <v>2814</v>
      </c>
      <c r="B58" s="880" t="s">
        <v>2815</v>
      </c>
      <c r="C58" s="879"/>
      <c r="D58" s="879"/>
      <c r="E58" s="879"/>
      <c r="F58" s="879"/>
    </row>
    <row r="59" spans="1:6" x14ac:dyDescent="0.2">
      <c r="A59" s="876" t="s">
        <v>2816</v>
      </c>
      <c r="B59" s="876" t="s">
        <v>2817</v>
      </c>
      <c r="C59" s="878">
        <f>(C50+C51+C52+C53+C54+C55+C56+C58)</f>
        <v>0</v>
      </c>
      <c r="D59" s="878">
        <f>(D50+D51+D52+D53+D54+D55+D56+D58)</f>
        <v>3630203.5700000003</v>
      </c>
      <c r="E59" s="878">
        <f>(E50+E51+E52+E53+E54+E55+E56+E58)</f>
        <v>8027185.0800000001</v>
      </c>
      <c r="F59" s="878">
        <f>(F50+F51+F52+F53+F54+F55+F56+F58)</f>
        <v>0</v>
      </c>
    </row>
    <row r="60" spans="1:6" x14ac:dyDescent="0.2">
      <c r="A60" s="874" t="s">
        <v>2818</v>
      </c>
      <c r="B60" s="874" t="s">
        <v>2819</v>
      </c>
      <c r="C60" s="875" t="s">
        <v>2038</v>
      </c>
      <c r="D60" s="875" t="s">
        <v>2038</v>
      </c>
      <c r="E60" s="875" t="s">
        <v>2038</v>
      </c>
      <c r="F60" s="875" t="s">
        <v>2038</v>
      </c>
    </row>
    <row r="61" spans="1:6" x14ac:dyDescent="0.2">
      <c r="A61" s="876" t="s">
        <v>2820</v>
      </c>
      <c r="B61" s="876" t="s">
        <v>2821</v>
      </c>
      <c r="C61" s="875" t="s">
        <v>2038</v>
      </c>
      <c r="D61" s="875" t="s">
        <v>2038</v>
      </c>
      <c r="E61" s="875" t="s">
        <v>2038</v>
      </c>
      <c r="F61" s="875" t="s">
        <v>2038</v>
      </c>
    </row>
    <row r="62" spans="1:6" x14ac:dyDescent="0.2">
      <c r="A62" s="880" t="s">
        <v>2822</v>
      </c>
      <c r="B62" s="880" t="s">
        <v>2823</v>
      </c>
      <c r="C62" s="879"/>
      <c r="D62" s="879"/>
      <c r="E62" s="879"/>
      <c r="F62" s="879"/>
    </row>
    <row r="63" spans="1:6" x14ac:dyDescent="0.2">
      <c r="A63" s="880" t="s">
        <v>2824</v>
      </c>
      <c r="B63" s="880" t="s">
        <v>2825</v>
      </c>
      <c r="C63" s="879"/>
      <c r="D63" s="879"/>
      <c r="E63" s="879"/>
      <c r="F63" s="879"/>
    </row>
    <row r="64" spans="1:6" x14ac:dyDescent="0.2">
      <c r="A64" s="880" t="s">
        <v>2826</v>
      </c>
      <c r="B64" s="880" t="s">
        <v>2827</v>
      </c>
      <c r="C64" s="879"/>
      <c r="D64" s="879"/>
      <c r="E64" s="879"/>
      <c r="F64" s="879"/>
    </row>
    <row r="65" spans="1:6" x14ac:dyDescent="0.2">
      <c r="A65" s="876" t="s">
        <v>2828</v>
      </c>
      <c r="B65" s="876" t="s">
        <v>2829</v>
      </c>
      <c r="C65" s="875" t="s">
        <v>2038</v>
      </c>
      <c r="D65" s="875" t="s">
        <v>2038</v>
      </c>
      <c r="E65" s="875" t="s">
        <v>2038</v>
      </c>
      <c r="F65" s="875" t="s">
        <v>2038</v>
      </c>
    </row>
    <row r="66" spans="1:6" x14ac:dyDescent="0.2">
      <c r="A66" s="880" t="s">
        <v>2830</v>
      </c>
      <c r="B66" s="880" t="s">
        <v>2831</v>
      </c>
      <c r="C66" s="879"/>
      <c r="D66" s="879"/>
      <c r="E66" s="879"/>
      <c r="F66" s="879"/>
    </row>
    <row r="67" spans="1:6" x14ac:dyDescent="0.2">
      <c r="A67" s="880" t="s">
        <v>2832</v>
      </c>
      <c r="B67" s="880" t="s">
        <v>2833</v>
      </c>
      <c r="C67" s="879"/>
      <c r="D67" s="879"/>
      <c r="E67" s="879"/>
      <c r="F67" s="879"/>
    </row>
    <row r="68" spans="1:6" x14ac:dyDescent="0.2">
      <c r="A68" s="880" t="s">
        <v>2834</v>
      </c>
      <c r="B68" s="880" t="s">
        <v>2835</v>
      </c>
      <c r="C68" s="879"/>
      <c r="D68" s="879"/>
      <c r="E68" s="879"/>
      <c r="F68" s="879"/>
    </row>
    <row r="69" spans="1:6" x14ac:dyDescent="0.2">
      <c r="A69" s="880" t="s">
        <v>2836</v>
      </c>
      <c r="B69" s="880" t="s">
        <v>2837</v>
      </c>
      <c r="C69" s="879"/>
      <c r="D69" s="879"/>
      <c r="E69" s="879"/>
      <c r="F69" s="879"/>
    </row>
    <row r="70" spans="1:6" x14ac:dyDescent="0.2">
      <c r="A70" s="876" t="s">
        <v>2838</v>
      </c>
      <c r="B70" s="876" t="s">
        <v>2839</v>
      </c>
      <c r="C70" s="878">
        <f>(C62+C63+C64+C66+C67+C68+C69)</f>
        <v>0</v>
      </c>
      <c r="D70" s="878">
        <f>(D62+D63+D64+D66+D67+D68+D69)</f>
        <v>0</v>
      </c>
      <c r="E70" s="878">
        <f>(E62+E63+E64+E66+E67+E68+E69)</f>
        <v>0</v>
      </c>
      <c r="F70" s="878">
        <f>(F62+F63+F64+F66+F67+F68+F69)</f>
        <v>0</v>
      </c>
    </row>
    <row r="71" spans="1:6" x14ac:dyDescent="0.2">
      <c r="A71" s="874" t="s">
        <v>2840</v>
      </c>
      <c r="B71" s="874" t="s">
        <v>2841</v>
      </c>
      <c r="C71" s="878">
        <f>(C59-C70)</f>
        <v>0</v>
      </c>
      <c r="D71" s="878">
        <f>(D59-D70)</f>
        <v>3630203.5700000003</v>
      </c>
      <c r="E71" s="878">
        <f>(E59-E70)</f>
        <v>8027185.0800000001</v>
      </c>
      <c r="F71" s="878">
        <f>(F59-F70)</f>
        <v>0</v>
      </c>
    </row>
    <row r="72" spans="1:6" x14ac:dyDescent="0.2">
      <c r="A72" s="874" t="s">
        <v>2842</v>
      </c>
      <c r="B72" s="874" t="s">
        <v>2843</v>
      </c>
      <c r="C72" s="878">
        <f>(C25+C46+C47+C71)</f>
        <v>0</v>
      </c>
      <c r="D72" s="878">
        <f>(D25+D46+D47+D71)</f>
        <v>5482584.0499999896</v>
      </c>
      <c r="E72" s="878">
        <f>(E25+E46+E47+E71)</f>
        <v>8879351.5500000138</v>
      </c>
      <c r="F72" s="878">
        <f>(F25+F46+F47+F71)</f>
        <v>0</v>
      </c>
    </row>
    <row r="73" spans="1:6" x14ac:dyDescent="0.2">
      <c r="A73" s="874" t="s">
        <v>2844</v>
      </c>
      <c r="B73" s="874" t="s">
        <v>2845</v>
      </c>
      <c r="C73" s="878">
        <f>(C47+C71)</f>
        <v>0</v>
      </c>
      <c r="D73" s="878">
        <f>(D47+D71)</f>
        <v>-2052275.5500000101</v>
      </c>
      <c r="E73" s="878">
        <f>(E47+E71)</f>
        <v>1918855.540000014</v>
      </c>
      <c r="F73" s="878">
        <f>(F47+F71)</f>
        <v>0</v>
      </c>
    </row>
    <row r="74" spans="1:6" x14ac:dyDescent="0.2">
      <c r="A74" s="874" t="s">
        <v>2846</v>
      </c>
      <c r="B74" s="874" t="s">
        <v>2847</v>
      </c>
      <c r="C74" s="877"/>
      <c r="D74" s="877"/>
      <c r="E74" s="877"/>
      <c r="F74" s="877"/>
    </row>
    <row r="75" spans="1:6" x14ac:dyDescent="0.2">
      <c r="A75" s="874" t="s">
        <v>2848</v>
      </c>
      <c r="B75" s="874" t="s">
        <v>2849</v>
      </c>
      <c r="C75" s="875" t="s">
        <v>2038</v>
      </c>
      <c r="D75" s="875" t="s">
        <v>2038</v>
      </c>
      <c r="E75" s="875" t="s">
        <v>2038</v>
      </c>
      <c r="F75" s="875" t="s">
        <v>2038</v>
      </c>
    </row>
    <row r="76" spans="1:6" x14ac:dyDescent="0.2">
      <c r="A76" s="876" t="s">
        <v>2850</v>
      </c>
      <c r="B76" s="876" t="s">
        <v>2851</v>
      </c>
      <c r="C76" s="877">
        <f>Financials_Consolidated!E35</f>
        <v>0</v>
      </c>
      <c r="D76" s="877">
        <f>Financials_Consolidated!D35</f>
        <v>453874</v>
      </c>
      <c r="E76" s="877">
        <f>Financials_Consolidated!C35</f>
        <v>141663</v>
      </c>
      <c r="F76" s="877">
        <f>Financials_Consolidated!B35</f>
        <v>0</v>
      </c>
    </row>
    <row r="77" spans="1:6" x14ac:dyDescent="0.2">
      <c r="A77" s="876" t="s">
        <v>2852</v>
      </c>
      <c r="B77" s="876" t="s">
        <v>2853</v>
      </c>
      <c r="C77" s="879"/>
      <c r="D77" s="879"/>
      <c r="E77" s="879"/>
      <c r="F77" s="879"/>
    </row>
    <row r="78" spans="1:6" x14ac:dyDescent="0.2">
      <c r="A78" s="876" t="s">
        <v>2854</v>
      </c>
      <c r="B78" s="876" t="s">
        <v>2855</v>
      </c>
      <c r="C78" s="878">
        <f>(C76+C77)</f>
        <v>0</v>
      </c>
      <c r="D78" s="878">
        <f>(D76+D77)</f>
        <v>453874</v>
      </c>
      <c r="E78" s="878">
        <f>(E76+E77)</f>
        <v>141663</v>
      </c>
      <c r="F78" s="878">
        <f>(F76+F77)</f>
        <v>0</v>
      </c>
    </row>
    <row r="79" spans="1:6" x14ac:dyDescent="0.2">
      <c r="A79" s="874" t="s">
        <v>2856</v>
      </c>
      <c r="B79" s="874" t="s">
        <v>2857</v>
      </c>
      <c r="C79" s="878">
        <f>(C73-C74-C78)</f>
        <v>0</v>
      </c>
      <c r="D79" s="878">
        <f>(D73-D74-D78)</f>
        <v>-2506149.5500000101</v>
      </c>
      <c r="E79" s="878">
        <f>(E73-E74-E78)</f>
        <v>1777192.540000014</v>
      </c>
      <c r="F79" s="878">
        <f>(F73-F74-F78)</f>
        <v>0</v>
      </c>
    </row>
    <row r="80" spans="1:6" x14ac:dyDescent="0.2">
      <c r="A80" s="874" t="s">
        <v>2858</v>
      </c>
      <c r="B80" s="874" t="s">
        <v>2859</v>
      </c>
      <c r="C80" s="875" t="s">
        <v>2038</v>
      </c>
      <c r="D80" s="875" t="s">
        <v>2038</v>
      </c>
      <c r="E80" s="875" t="s">
        <v>2038</v>
      </c>
      <c r="F80" s="875" t="s">
        <v>2038</v>
      </c>
    </row>
    <row r="81" spans="1:6" x14ac:dyDescent="0.2">
      <c r="A81" s="876" t="s">
        <v>2860</v>
      </c>
      <c r="B81" s="876" t="s">
        <v>2861</v>
      </c>
      <c r="C81" s="879"/>
      <c r="D81" s="879"/>
      <c r="E81" s="879"/>
      <c r="F81" s="879"/>
    </row>
    <row r="82" spans="1:6" x14ac:dyDescent="0.2">
      <c r="A82" s="876" t="s">
        <v>2862</v>
      </c>
      <c r="B82" s="876" t="s">
        <v>2863</v>
      </c>
      <c r="C82" s="879"/>
      <c r="D82" s="879"/>
      <c r="E82" s="879"/>
      <c r="F82" s="879"/>
    </row>
    <row r="83" spans="1:6" x14ac:dyDescent="0.2">
      <c r="A83" s="876" t="s">
        <v>2864</v>
      </c>
      <c r="B83" s="876" t="s">
        <v>2865</v>
      </c>
      <c r="C83" s="878">
        <f>(C81-C82)</f>
        <v>0</v>
      </c>
      <c r="D83" s="878">
        <f>(D81-D82)</f>
        <v>0</v>
      </c>
      <c r="E83" s="878">
        <f>(E81-E82)</f>
        <v>0</v>
      </c>
      <c r="F83" s="878">
        <f>(F81-F82)</f>
        <v>0</v>
      </c>
    </row>
    <row r="84" spans="1:6" x14ac:dyDescent="0.2">
      <c r="A84" s="874" t="s">
        <v>2710</v>
      </c>
      <c r="B84" s="874" t="s">
        <v>2866</v>
      </c>
      <c r="C84" s="878">
        <f>(C79-C83)</f>
        <v>0</v>
      </c>
      <c r="D84" s="878">
        <f>(D79-D83)</f>
        <v>-2506149.5500000101</v>
      </c>
      <c r="E84" s="878">
        <f>(E79-E83)</f>
        <v>1777192.540000014</v>
      </c>
      <c r="F84" s="878">
        <f>(F79-F83)</f>
        <v>0</v>
      </c>
    </row>
    <row r="85" spans="1:6" x14ac:dyDescent="0.2">
      <c r="A85" s="874" t="s">
        <v>2867</v>
      </c>
      <c r="B85" s="874" t="s">
        <v>2868</v>
      </c>
      <c r="C85" s="875" t="s">
        <v>2038</v>
      </c>
      <c r="D85" s="875" t="s">
        <v>2038</v>
      </c>
      <c r="E85" s="875" t="s">
        <v>2038</v>
      </c>
      <c r="F85" s="875" t="s">
        <v>2038</v>
      </c>
    </row>
    <row r="86" spans="1:6" x14ac:dyDescent="0.2">
      <c r="A86" s="876" t="s">
        <v>2869</v>
      </c>
      <c r="B86" s="876" t="s">
        <v>2870</v>
      </c>
      <c r="C86" s="879"/>
      <c r="D86" s="879"/>
      <c r="E86" s="879"/>
      <c r="F86" s="879"/>
    </row>
    <row r="87" spans="1:6" x14ac:dyDescent="0.2">
      <c r="A87" s="876" t="s">
        <v>2871</v>
      </c>
      <c r="B87" s="876" t="s">
        <v>2872</v>
      </c>
      <c r="C87" s="879"/>
      <c r="D87" s="879"/>
      <c r="E87" s="879"/>
      <c r="F87" s="879"/>
    </row>
    <row r="88" spans="1:6" x14ac:dyDescent="0.2">
      <c r="A88" s="874" t="s">
        <v>2873</v>
      </c>
      <c r="B88" s="874" t="s">
        <v>2874</v>
      </c>
      <c r="C88" s="879"/>
      <c r="D88" s="879"/>
      <c r="E88" s="879"/>
      <c r="F88" s="879"/>
    </row>
    <row r="89" spans="1:6" x14ac:dyDescent="0.2">
      <c r="A89" s="874" t="s">
        <v>2875</v>
      </c>
      <c r="B89" s="874" t="s">
        <v>2876</v>
      </c>
      <c r="C89" s="877">
        <f>Financials_Consolidated!E22</f>
        <v>0</v>
      </c>
      <c r="D89" s="877">
        <f>Financials_Consolidated!D22</f>
        <v>0</v>
      </c>
      <c r="E89" s="877">
        <f>Financials_Consolidated!C22</f>
        <v>0</v>
      </c>
      <c r="F89" s="877">
        <f>Financials_Consolidated!B22</f>
        <v>0</v>
      </c>
    </row>
    <row r="90" spans="1:6" x14ac:dyDescent="0.2">
      <c r="A90" s="874" t="s">
        <v>2877</v>
      </c>
      <c r="B90" s="874" t="s">
        <v>2878</v>
      </c>
      <c r="C90" s="877">
        <f>Financials_Consolidated!E23</f>
        <v>0</v>
      </c>
      <c r="D90" s="877">
        <f>Financials_Consolidated!D23</f>
        <v>0</v>
      </c>
      <c r="E90" s="877">
        <f>Financials_Consolidated!C23</f>
        <v>0</v>
      </c>
      <c r="F90" s="877">
        <f>Financials_Consolidated!B23</f>
        <v>0</v>
      </c>
    </row>
    <row r="91" spans="1:6" x14ac:dyDescent="0.2">
      <c r="A91" s="874" t="s">
        <v>2879</v>
      </c>
      <c r="B91" s="874" t="s">
        <v>2880</v>
      </c>
      <c r="C91" s="878">
        <f>(C84-C86-C88-C89-C90)</f>
        <v>0</v>
      </c>
      <c r="D91" s="878">
        <f>(D84-D86-D88-D89-D90)</f>
        <v>-2506149.5500000101</v>
      </c>
      <c r="E91" s="878">
        <f>(E84-E86-E88-E89-E90)</f>
        <v>1777192.540000014</v>
      </c>
      <c r="F91" s="878">
        <f>(F84-F86-F88-F89-F90)</f>
        <v>0</v>
      </c>
    </row>
    <row r="92" spans="1:6" x14ac:dyDescent="0.2">
      <c r="C92" s="885">
        <f>Financials_Consolidated!E36</f>
        <v>0</v>
      </c>
      <c r="D92" s="885">
        <f>Financials_Consolidated!D36</f>
        <v>-2654306.34</v>
      </c>
      <c r="E92" s="885">
        <f>Financials_Consolidated!C35</f>
        <v>141663</v>
      </c>
      <c r="F92" s="885">
        <f>Financials_Consolidated!B36</f>
        <v>0</v>
      </c>
    </row>
  </sheetData>
  <pageMargins left="0.7" right="0.7" top="0.75" bottom="0.75" header="0.3" footer="0.3"/>
  <pageSetup paperSize="9" orientation="portrait" r:id="rId1"/>
  <headerFooter>
    <oddFooter>&amp;C&amp;1#&amp;"Calibri"&amp;10&amp;K000000 For internal use only</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dimension ref="A1:F131"/>
  <sheetViews>
    <sheetView workbookViewId="0">
      <selection activeCell="H1" sqref="H1"/>
    </sheetView>
  </sheetViews>
  <sheetFormatPr defaultRowHeight="12.75" x14ac:dyDescent="0.2"/>
  <cols>
    <col min="1" max="1" width="10.85546875" style="868" bestFit="1" customWidth="1"/>
    <col min="2" max="2" width="59.5703125" style="868" bestFit="1" customWidth="1"/>
    <col min="3" max="6" width="16.5703125" style="868" customWidth="1"/>
    <col min="7" max="255" width="9.140625" style="868"/>
    <col min="256" max="256" width="20" style="868" bestFit="1" customWidth="1"/>
    <col min="257" max="257" width="60" style="868" bestFit="1" customWidth="1"/>
    <col min="258" max="260" width="30" style="868" bestFit="1" customWidth="1"/>
    <col min="261" max="511" width="9.140625" style="868"/>
    <col min="512" max="512" width="20" style="868" bestFit="1" customWidth="1"/>
    <col min="513" max="513" width="60" style="868" bestFit="1" customWidth="1"/>
    <col min="514" max="516" width="30" style="868" bestFit="1" customWidth="1"/>
    <col min="517" max="767" width="9.140625" style="868"/>
    <col min="768" max="768" width="20" style="868" bestFit="1" customWidth="1"/>
    <col min="769" max="769" width="60" style="868" bestFit="1" customWidth="1"/>
    <col min="770" max="772" width="30" style="868" bestFit="1" customWidth="1"/>
    <col min="773" max="1023" width="9.140625" style="868"/>
    <col min="1024" max="1024" width="20" style="868" bestFit="1" customWidth="1"/>
    <col min="1025" max="1025" width="60" style="868" bestFit="1" customWidth="1"/>
    <col min="1026" max="1028" width="30" style="868" bestFit="1" customWidth="1"/>
    <col min="1029" max="1279" width="9.140625" style="868"/>
    <col min="1280" max="1280" width="20" style="868" bestFit="1" customWidth="1"/>
    <col min="1281" max="1281" width="60" style="868" bestFit="1" customWidth="1"/>
    <col min="1282" max="1284" width="30" style="868" bestFit="1" customWidth="1"/>
    <col min="1285" max="1535" width="9.140625" style="868"/>
    <col min="1536" max="1536" width="20" style="868" bestFit="1" customWidth="1"/>
    <col min="1537" max="1537" width="60" style="868" bestFit="1" customWidth="1"/>
    <col min="1538" max="1540" width="30" style="868" bestFit="1" customWidth="1"/>
    <col min="1541" max="1791" width="9.140625" style="868"/>
    <col min="1792" max="1792" width="20" style="868" bestFit="1" customWidth="1"/>
    <col min="1793" max="1793" width="60" style="868" bestFit="1" customWidth="1"/>
    <col min="1794" max="1796" width="30" style="868" bestFit="1" customWidth="1"/>
    <col min="1797" max="2047" width="9.140625" style="868"/>
    <col min="2048" max="2048" width="20" style="868" bestFit="1" customWidth="1"/>
    <col min="2049" max="2049" width="60" style="868" bestFit="1" customWidth="1"/>
    <col min="2050" max="2052" width="30" style="868" bestFit="1" customWidth="1"/>
    <col min="2053" max="2303" width="9.140625" style="868"/>
    <col min="2304" max="2304" width="20" style="868" bestFit="1" customWidth="1"/>
    <col min="2305" max="2305" width="60" style="868" bestFit="1" customWidth="1"/>
    <col min="2306" max="2308" width="30" style="868" bestFit="1" customWidth="1"/>
    <col min="2309" max="2559" width="9.140625" style="868"/>
    <col min="2560" max="2560" width="20" style="868" bestFit="1" customWidth="1"/>
    <col min="2561" max="2561" width="60" style="868" bestFit="1" customWidth="1"/>
    <col min="2562" max="2564" width="30" style="868" bestFit="1" customWidth="1"/>
    <col min="2565" max="2815" width="9.140625" style="868"/>
    <col min="2816" max="2816" width="20" style="868" bestFit="1" customWidth="1"/>
    <col min="2817" max="2817" width="60" style="868" bestFit="1" customWidth="1"/>
    <col min="2818" max="2820" width="30" style="868" bestFit="1" customWidth="1"/>
    <col min="2821" max="3071" width="9.140625" style="868"/>
    <col min="3072" max="3072" width="20" style="868" bestFit="1" customWidth="1"/>
    <col min="3073" max="3073" width="60" style="868" bestFit="1" customWidth="1"/>
    <col min="3074" max="3076" width="30" style="868" bestFit="1" customWidth="1"/>
    <col min="3077" max="3327" width="9.140625" style="868"/>
    <col min="3328" max="3328" width="20" style="868" bestFit="1" customWidth="1"/>
    <col min="3329" max="3329" width="60" style="868" bestFit="1" customWidth="1"/>
    <col min="3330" max="3332" width="30" style="868" bestFit="1" customWidth="1"/>
    <col min="3333" max="3583" width="9.140625" style="868"/>
    <col min="3584" max="3584" width="20" style="868" bestFit="1" customWidth="1"/>
    <col min="3585" max="3585" width="60" style="868" bestFit="1" customWidth="1"/>
    <col min="3586" max="3588" width="30" style="868" bestFit="1" customWidth="1"/>
    <col min="3589" max="3839" width="9.140625" style="868"/>
    <col min="3840" max="3840" width="20" style="868" bestFit="1" customWidth="1"/>
    <col min="3841" max="3841" width="60" style="868" bestFit="1" customWidth="1"/>
    <col min="3842" max="3844" width="30" style="868" bestFit="1" customWidth="1"/>
    <col min="3845" max="4095" width="9.140625" style="868"/>
    <col min="4096" max="4096" width="20" style="868" bestFit="1" customWidth="1"/>
    <col min="4097" max="4097" width="60" style="868" bestFit="1" customWidth="1"/>
    <col min="4098" max="4100" width="30" style="868" bestFit="1" customWidth="1"/>
    <col min="4101" max="4351" width="9.140625" style="868"/>
    <col min="4352" max="4352" width="20" style="868" bestFit="1" customWidth="1"/>
    <col min="4353" max="4353" width="60" style="868" bestFit="1" customWidth="1"/>
    <col min="4354" max="4356" width="30" style="868" bestFit="1" customWidth="1"/>
    <col min="4357" max="4607" width="9.140625" style="868"/>
    <col min="4608" max="4608" width="20" style="868" bestFit="1" customWidth="1"/>
    <col min="4609" max="4609" width="60" style="868" bestFit="1" customWidth="1"/>
    <col min="4610" max="4612" width="30" style="868" bestFit="1" customWidth="1"/>
    <col min="4613" max="4863" width="9.140625" style="868"/>
    <col min="4864" max="4864" width="20" style="868" bestFit="1" customWidth="1"/>
    <col min="4865" max="4865" width="60" style="868" bestFit="1" customWidth="1"/>
    <col min="4866" max="4868" width="30" style="868" bestFit="1" customWidth="1"/>
    <col min="4869" max="5119" width="9.140625" style="868"/>
    <col min="5120" max="5120" width="20" style="868" bestFit="1" customWidth="1"/>
    <col min="5121" max="5121" width="60" style="868" bestFit="1" customWidth="1"/>
    <col min="5122" max="5124" width="30" style="868" bestFit="1" customWidth="1"/>
    <col min="5125" max="5375" width="9.140625" style="868"/>
    <col min="5376" max="5376" width="20" style="868" bestFit="1" customWidth="1"/>
    <col min="5377" max="5377" width="60" style="868" bestFit="1" customWidth="1"/>
    <col min="5378" max="5380" width="30" style="868" bestFit="1" customWidth="1"/>
    <col min="5381" max="5631" width="9.140625" style="868"/>
    <col min="5632" max="5632" width="20" style="868" bestFit="1" customWidth="1"/>
    <col min="5633" max="5633" width="60" style="868" bestFit="1" customWidth="1"/>
    <col min="5634" max="5636" width="30" style="868" bestFit="1" customWidth="1"/>
    <col min="5637" max="5887" width="9.140625" style="868"/>
    <col min="5888" max="5888" width="20" style="868" bestFit="1" customWidth="1"/>
    <col min="5889" max="5889" width="60" style="868" bestFit="1" customWidth="1"/>
    <col min="5890" max="5892" width="30" style="868" bestFit="1" customWidth="1"/>
    <col min="5893" max="6143" width="9.140625" style="868"/>
    <col min="6144" max="6144" width="20" style="868" bestFit="1" customWidth="1"/>
    <col min="6145" max="6145" width="60" style="868" bestFit="1" customWidth="1"/>
    <col min="6146" max="6148" width="30" style="868" bestFit="1" customWidth="1"/>
    <col min="6149" max="6399" width="9.140625" style="868"/>
    <col min="6400" max="6400" width="20" style="868" bestFit="1" customWidth="1"/>
    <col min="6401" max="6401" width="60" style="868" bestFit="1" customWidth="1"/>
    <col min="6402" max="6404" width="30" style="868" bestFit="1" customWidth="1"/>
    <col min="6405" max="6655" width="9.140625" style="868"/>
    <col min="6656" max="6656" width="20" style="868" bestFit="1" customWidth="1"/>
    <col min="6657" max="6657" width="60" style="868" bestFit="1" customWidth="1"/>
    <col min="6658" max="6660" width="30" style="868" bestFit="1" customWidth="1"/>
    <col min="6661" max="6911" width="9.140625" style="868"/>
    <col min="6912" max="6912" width="20" style="868" bestFit="1" customWidth="1"/>
    <col min="6913" max="6913" width="60" style="868" bestFit="1" customWidth="1"/>
    <col min="6914" max="6916" width="30" style="868" bestFit="1" customWidth="1"/>
    <col min="6917" max="7167" width="9.140625" style="868"/>
    <col min="7168" max="7168" width="20" style="868" bestFit="1" customWidth="1"/>
    <col min="7169" max="7169" width="60" style="868" bestFit="1" customWidth="1"/>
    <col min="7170" max="7172" width="30" style="868" bestFit="1" customWidth="1"/>
    <col min="7173" max="7423" width="9.140625" style="868"/>
    <col min="7424" max="7424" width="20" style="868" bestFit="1" customWidth="1"/>
    <col min="7425" max="7425" width="60" style="868" bestFit="1" customWidth="1"/>
    <col min="7426" max="7428" width="30" style="868" bestFit="1" customWidth="1"/>
    <col min="7429" max="7679" width="9.140625" style="868"/>
    <col min="7680" max="7680" width="20" style="868" bestFit="1" customWidth="1"/>
    <col min="7681" max="7681" width="60" style="868" bestFit="1" customWidth="1"/>
    <col min="7682" max="7684" width="30" style="868" bestFit="1" customWidth="1"/>
    <col min="7685" max="7935" width="9.140625" style="868"/>
    <col min="7936" max="7936" width="20" style="868" bestFit="1" customWidth="1"/>
    <col min="7937" max="7937" width="60" style="868" bestFit="1" customWidth="1"/>
    <col min="7938" max="7940" width="30" style="868" bestFit="1" customWidth="1"/>
    <col min="7941" max="8191" width="9.140625" style="868"/>
    <col min="8192" max="8192" width="20" style="868" bestFit="1" customWidth="1"/>
    <col min="8193" max="8193" width="60" style="868" bestFit="1" customWidth="1"/>
    <col min="8194" max="8196" width="30" style="868" bestFit="1" customWidth="1"/>
    <col min="8197" max="8447" width="9.140625" style="868"/>
    <col min="8448" max="8448" width="20" style="868" bestFit="1" customWidth="1"/>
    <col min="8449" max="8449" width="60" style="868" bestFit="1" customWidth="1"/>
    <col min="8450" max="8452" width="30" style="868" bestFit="1" customWidth="1"/>
    <col min="8453" max="8703" width="9.140625" style="868"/>
    <col min="8704" max="8704" width="20" style="868" bestFit="1" customWidth="1"/>
    <col min="8705" max="8705" width="60" style="868" bestFit="1" customWidth="1"/>
    <col min="8706" max="8708" width="30" style="868" bestFit="1" customWidth="1"/>
    <col min="8709" max="8959" width="9.140625" style="868"/>
    <col min="8960" max="8960" width="20" style="868" bestFit="1" customWidth="1"/>
    <col min="8961" max="8961" width="60" style="868" bestFit="1" customWidth="1"/>
    <col min="8962" max="8964" width="30" style="868" bestFit="1" customWidth="1"/>
    <col min="8965" max="9215" width="9.140625" style="868"/>
    <col min="9216" max="9216" width="20" style="868" bestFit="1" customWidth="1"/>
    <col min="9217" max="9217" width="60" style="868" bestFit="1" customWidth="1"/>
    <col min="9218" max="9220" width="30" style="868" bestFit="1" customWidth="1"/>
    <col min="9221" max="9471" width="9.140625" style="868"/>
    <col min="9472" max="9472" width="20" style="868" bestFit="1" customWidth="1"/>
    <col min="9473" max="9473" width="60" style="868" bestFit="1" customWidth="1"/>
    <col min="9474" max="9476" width="30" style="868" bestFit="1" customWidth="1"/>
    <col min="9477" max="9727" width="9.140625" style="868"/>
    <col min="9728" max="9728" width="20" style="868" bestFit="1" customWidth="1"/>
    <col min="9729" max="9729" width="60" style="868" bestFit="1" customWidth="1"/>
    <col min="9730" max="9732" width="30" style="868" bestFit="1" customWidth="1"/>
    <col min="9733" max="9983" width="9.140625" style="868"/>
    <col min="9984" max="9984" width="20" style="868" bestFit="1" customWidth="1"/>
    <col min="9985" max="9985" width="60" style="868" bestFit="1" customWidth="1"/>
    <col min="9986" max="9988" width="30" style="868" bestFit="1" customWidth="1"/>
    <col min="9989" max="10239" width="9.140625" style="868"/>
    <col min="10240" max="10240" width="20" style="868" bestFit="1" customWidth="1"/>
    <col min="10241" max="10241" width="60" style="868" bestFit="1" customWidth="1"/>
    <col min="10242" max="10244" width="30" style="868" bestFit="1" customWidth="1"/>
    <col min="10245" max="10495" width="9.140625" style="868"/>
    <col min="10496" max="10496" width="20" style="868" bestFit="1" customWidth="1"/>
    <col min="10497" max="10497" width="60" style="868" bestFit="1" customWidth="1"/>
    <col min="10498" max="10500" width="30" style="868" bestFit="1" customWidth="1"/>
    <col min="10501" max="10751" width="9.140625" style="868"/>
    <col min="10752" max="10752" width="20" style="868" bestFit="1" customWidth="1"/>
    <col min="10753" max="10753" width="60" style="868" bestFit="1" customWidth="1"/>
    <col min="10754" max="10756" width="30" style="868" bestFit="1" customWidth="1"/>
    <col min="10757" max="11007" width="9.140625" style="868"/>
    <col min="11008" max="11008" width="20" style="868" bestFit="1" customWidth="1"/>
    <col min="11009" max="11009" width="60" style="868" bestFit="1" customWidth="1"/>
    <col min="11010" max="11012" width="30" style="868" bestFit="1" customWidth="1"/>
    <col min="11013" max="11263" width="9.140625" style="868"/>
    <col min="11264" max="11264" width="20" style="868" bestFit="1" customWidth="1"/>
    <col min="11265" max="11265" width="60" style="868" bestFit="1" customWidth="1"/>
    <col min="11266" max="11268" width="30" style="868" bestFit="1" customWidth="1"/>
    <col min="11269" max="11519" width="9.140625" style="868"/>
    <col min="11520" max="11520" width="20" style="868" bestFit="1" customWidth="1"/>
    <col min="11521" max="11521" width="60" style="868" bestFit="1" customWidth="1"/>
    <col min="11522" max="11524" width="30" style="868" bestFit="1" customWidth="1"/>
    <col min="11525" max="11775" width="9.140625" style="868"/>
    <col min="11776" max="11776" width="20" style="868" bestFit="1" customWidth="1"/>
    <col min="11777" max="11777" width="60" style="868" bestFit="1" customWidth="1"/>
    <col min="11778" max="11780" width="30" style="868" bestFit="1" customWidth="1"/>
    <col min="11781" max="12031" width="9.140625" style="868"/>
    <col min="12032" max="12032" width="20" style="868" bestFit="1" customWidth="1"/>
    <col min="12033" max="12033" width="60" style="868" bestFit="1" customWidth="1"/>
    <col min="12034" max="12036" width="30" style="868" bestFit="1" customWidth="1"/>
    <col min="12037" max="12287" width="9.140625" style="868"/>
    <col min="12288" max="12288" width="20" style="868" bestFit="1" customWidth="1"/>
    <col min="12289" max="12289" width="60" style="868" bestFit="1" customWidth="1"/>
    <col min="12290" max="12292" width="30" style="868" bestFit="1" customWidth="1"/>
    <col min="12293" max="12543" width="9.140625" style="868"/>
    <col min="12544" max="12544" width="20" style="868" bestFit="1" customWidth="1"/>
    <col min="12545" max="12545" width="60" style="868" bestFit="1" customWidth="1"/>
    <col min="12546" max="12548" width="30" style="868" bestFit="1" customWidth="1"/>
    <col min="12549" max="12799" width="9.140625" style="868"/>
    <col min="12800" max="12800" width="20" style="868" bestFit="1" customWidth="1"/>
    <col min="12801" max="12801" width="60" style="868" bestFit="1" customWidth="1"/>
    <col min="12802" max="12804" width="30" style="868" bestFit="1" customWidth="1"/>
    <col min="12805" max="13055" width="9.140625" style="868"/>
    <col min="13056" max="13056" width="20" style="868" bestFit="1" customWidth="1"/>
    <col min="13057" max="13057" width="60" style="868" bestFit="1" customWidth="1"/>
    <col min="13058" max="13060" width="30" style="868" bestFit="1" customWidth="1"/>
    <col min="13061" max="13311" width="9.140625" style="868"/>
    <col min="13312" max="13312" width="20" style="868" bestFit="1" customWidth="1"/>
    <col min="13313" max="13313" width="60" style="868" bestFit="1" customWidth="1"/>
    <col min="13314" max="13316" width="30" style="868" bestFit="1" customWidth="1"/>
    <col min="13317" max="13567" width="9.140625" style="868"/>
    <col min="13568" max="13568" width="20" style="868" bestFit="1" customWidth="1"/>
    <col min="13569" max="13569" width="60" style="868" bestFit="1" customWidth="1"/>
    <col min="13570" max="13572" width="30" style="868" bestFit="1" customWidth="1"/>
    <col min="13573" max="13823" width="9.140625" style="868"/>
    <col min="13824" max="13824" width="20" style="868" bestFit="1" customWidth="1"/>
    <col min="13825" max="13825" width="60" style="868" bestFit="1" customWidth="1"/>
    <col min="13826" max="13828" width="30" style="868" bestFit="1" customWidth="1"/>
    <col min="13829" max="14079" width="9.140625" style="868"/>
    <col min="14080" max="14080" width="20" style="868" bestFit="1" customWidth="1"/>
    <col min="14081" max="14081" width="60" style="868" bestFit="1" customWidth="1"/>
    <col min="14082" max="14084" width="30" style="868" bestFit="1" customWidth="1"/>
    <col min="14085" max="14335" width="9.140625" style="868"/>
    <col min="14336" max="14336" width="20" style="868" bestFit="1" customWidth="1"/>
    <col min="14337" max="14337" width="60" style="868" bestFit="1" customWidth="1"/>
    <col min="14338" max="14340" width="30" style="868" bestFit="1" customWidth="1"/>
    <col min="14341" max="14591" width="9.140625" style="868"/>
    <col min="14592" max="14592" width="20" style="868" bestFit="1" customWidth="1"/>
    <col min="14593" max="14593" width="60" style="868" bestFit="1" customWidth="1"/>
    <col min="14594" max="14596" width="30" style="868" bestFit="1" customWidth="1"/>
    <col min="14597" max="14847" width="9.140625" style="868"/>
    <col min="14848" max="14848" width="20" style="868" bestFit="1" customWidth="1"/>
    <col min="14849" max="14849" width="60" style="868" bestFit="1" customWidth="1"/>
    <col min="14850" max="14852" width="30" style="868" bestFit="1" customWidth="1"/>
    <col min="14853" max="15103" width="9.140625" style="868"/>
    <col min="15104" max="15104" width="20" style="868" bestFit="1" customWidth="1"/>
    <col min="15105" max="15105" width="60" style="868" bestFit="1" customWidth="1"/>
    <col min="15106" max="15108" width="30" style="868" bestFit="1" customWidth="1"/>
    <col min="15109" max="15359" width="9.140625" style="868"/>
    <col min="15360" max="15360" width="20" style="868" bestFit="1" customWidth="1"/>
    <col min="15361" max="15361" width="60" style="868" bestFit="1" customWidth="1"/>
    <col min="15362" max="15364" width="30" style="868" bestFit="1" customWidth="1"/>
    <col min="15365" max="15615" width="9.140625" style="868"/>
    <col min="15616" max="15616" width="20" style="868" bestFit="1" customWidth="1"/>
    <col min="15617" max="15617" width="60" style="868" bestFit="1" customWidth="1"/>
    <col min="15618" max="15620" width="30" style="868" bestFit="1" customWidth="1"/>
    <col min="15621" max="15871" width="9.140625" style="868"/>
    <col min="15872" max="15872" width="20" style="868" bestFit="1" customWidth="1"/>
    <col min="15873" max="15873" width="60" style="868" bestFit="1" customWidth="1"/>
    <col min="15874" max="15876" width="30" style="868" bestFit="1" customWidth="1"/>
    <col min="15877" max="16127" width="9.140625" style="868"/>
    <col min="16128" max="16128" width="20" style="868" bestFit="1" customWidth="1"/>
    <col min="16129" max="16129" width="60" style="868" bestFit="1" customWidth="1"/>
    <col min="16130" max="16132" width="30" style="868" bestFit="1" customWidth="1"/>
    <col min="16133" max="16384" width="9.140625" style="868"/>
  </cols>
  <sheetData>
    <row r="1" spans="1:6" x14ac:dyDescent="0.2">
      <c r="A1" s="871" t="s">
        <v>2038</v>
      </c>
      <c r="B1" s="871" t="s">
        <v>2707</v>
      </c>
      <c r="C1" s="872">
        <f>Financials_Consolidated!E7</f>
        <v>43190</v>
      </c>
      <c r="D1" s="872">
        <f>Financials_Consolidated!D7</f>
        <v>43555</v>
      </c>
      <c r="E1" s="872">
        <f>Financials_Consolidated!C7</f>
        <v>43921</v>
      </c>
      <c r="F1" s="872">
        <f>Financials_Consolidated!B7</f>
        <v>44286</v>
      </c>
    </row>
    <row r="2" spans="1:6" x14ac:dyDescent="0.2">
      <c r="A2" s="871" t="s">
        <v>2038</v>
      </c>
      <c r="B2" s="871" t="s">
        <v>2708</v>
      </c>
      <c r="C2" s="873">
        <f>Financials_Consolidated!E8</f>
        <v>0</v>
      </c>
      <c r="D2" s="873">
        <f>Financials_Consolidated!D8</f>
        <v>0</v>
      </c>
      <c r="E2" s="873">
        <f>Financials_Consolidated!C8</f>
        <v>0</v>
      </c>
      <c r="F2" s="873">
        <f>Financials_Consolidated!B8</f>
        <v>0</v>
      </c>
    </row>
    <row r="3" spans="1:6" x14ac:dyDescent="0.2">
      <c r="A3" s="871" t="s">
        <v>2038</v>
      </c>
      <c r="B3" s="871" t="s">
        <v>2709</v>
      </c>
      <c r="C3" s="873">
        <v>12</v>
      </c>
      <c r="D3" s="873">
        <v>12</v>
      </c>
      <c r="E3" s="873">
        <v>12</v>
      </c>
      <c r="F3" s="873">
        <v>12</v>
      </c>
    </row>
    <row r="4" spans="1:6" x14ac:dyDescent="0.2">
      <c r="A4" s="874" t="s">
        <v>686</v>
      </c>
      <c r="B4" s="874" t="s">
        <v>2888</v>
      </c>
      <c r="C4" s="875" t="s">
        <v>2038</v>
      </c>
      <c r="D4" s="875" t="s">
        <v>2038</v>
      </c>
      <c r="E4" s="875" t="s">
        <v>2038</v>
      </c>
      <c r="F4" s="875" t="s">
        <v>2038</v>
      </c>
    </row>
    <row r="5" spans="1:6" x14ac:dyDescent="0.2">
      <c r="A5" s="876" t="s">
        <v>2712</v>
      </c>
      <c r="B5" s="876" t="s">
        <v>2889</v>
      </c>
      <c r="C5" s="875" t="s">
        <v>2038</v>
      </c>
      <c r="D5" s="875" t="s">
        <v>2038</v>
      </c>
      <c r="E5" s="875" t="s">
        <v>2038</v>
      </c>
      <c r="F5" s="875" t="s">
        <v>2038</v>
      </c>
    </row>
    <row r="6" spans="1:6" ht="22.5" x14ac:dyDescent="0.2">
      <c r="A6" s="880" t="s">
        <v>2890</v>
      </c>
      <c r="B6" s="880" t="s">
        <v>2891</v>
      </c>
      <c r="C6" s="875" t="s">
        <v>2038</v>
      </c>
      <c r="D6" s="875" t="s">
        <v>2038</v>
      </c>
      <c r="E6" s="875" t="s">
        <v>2038</v>
      </c>
      <c r="F6" s="875" t="s">
        <v>2038</v>
      </c>
    </row>
    <row r="7" spans="1:6" x14ac:dyDescent="0.2">
      <c r="A7" s="883" t="s">
        <v>2892</v>
      </c>
      <c r="B7" s="883" t="s">
        <v>2893</v>
      </c>
      <c r="C7" s="884">
        <f>Financials_Consolidated!E66</f>
        <v>0</v>
      </c>
      <c r="D7" s="884">
        <f>Financials_Consolidated!D66</f>
        <v>2504285.19</v>
      </c>
      <c r="E7" s="884">
        <f>Financials_Consolidated!C66</f>
        <v>614607.25</v>
      </c>
      <c r="F7" s="884">
        <f>Financials_Consolidated!B66</f>
        <v>0</v>
      </c>
    </row>
    <row r="8" spans="1:6" x14ac:dyDescent="0.2">
      <c r="A8" s="883" t="s">
        <v>2894</v>
      </c>
      <c r="B8" s="883" t="s">
        <v>2895</v>
      </c>
      <c r="C8" s="879"/>
      <c r="D8" s="879"/>
      <c r="E8" s="879"/>
      <c r="F8" s="879"/>
    </row>
    <row r="9" spans="1:6" x14ac:dyDescent="0.2">
      <c r="A9" s="883" t="s">
        <v>2896</v>
      </c>
      <c r="B9" s="883" t="s">
        <v>2897</v>
      </c>
      <c r="C9" s="879"/>
      <c r="D9" s="879"/>
      <c r="E9" s="879"/>
      <c r="F9" s="879"/>
    </row>
    <row r="10" spans="1:6" x14ac:dyDescent="0.2">
      <c r="A10" s="883" t="s">
        <v>2898</v>
      </c>
      <c r="B10" s="883" t="s">
        <v>2759</v>
      </c>
      <c r="C10" s="878">
        <f>(C7+C8+C9)</f>
        <v>0</v>
      </c>
      <c r="D10" s="878">
        <f>(D7+D8+D9)</f>
        <v>2504285.19</v>
      </c>
      <c r="E10" s="878">
        <f>(E7+E8+E9)</f>
        <v>614607.25</v>
      </c>
      <c r="F10" s="878">
        <f>(F7+F8+F9)</f>
        <v>0</v>
      </c>
    </row>
    <row r="11" spans="1:6" x14ac:dyDescent="0.2">
      <c r="A11" s="880" t="s">
        <v>2899</v>
      </c>
      <c r="B11" s="880" t="s">
        <v>2900</v>
      </c>
      <c r="C11" s="884">
        <f>Financials_Consolidated!E65</f>
        <v>0</v>
      </c>
      <c r="D11" s="884">
        <f>Financials_Consolidated!D65</f>
        <v>9194641.8300000001</v>
      </c>
      <c r="E11" s="884">
        <f>Financials_Consolidated!C65</f>
        <v>36998190.119999997</v>
      </c>
      <c r="F11" s="884">
        <f>Financials_Consolidated!B65</f>
        <v>0</v>
      </c>
    </row>
    <row r="12" spans="1:6" x14ac:dyDescent="0.2">
      <c r="A12" s="880" t="s">
        <v>2901</v>
      </c>
      <c r="B12" s="880" t="s">
        <v>2902</v>
      </c>
      <c r="C12" s="879"/>
      <c r="D12" s="879"/>
      <c r="E12" s="879"/>
      <c r="F12" s="879"/>
    </row>
    <row r="13" spans="1:6" x14ac:dyDescent="0.2">
      <c r="A13" s="880" t="s">
        <v>2903</v>
      </c>
      <c r="B13" s="880" t="s">
        <v>2904</v>
      </c>
      <c r="C13" s="879"/>
      <c r="D13" s="879"/>
      <c r="E13" s="879"/>
      <c r="F13" s="879"/>
    </row>
    <row r="14" spans="1:6" x14ac:dyDescent="0.2">
      <c r="A14" s="880" t="s">
        <v>2905</v>
      </c>
      <c r="B14" s="880" t="s">
        <v>2906</v>
      </c>
      <c r="C14" s="879"/>
      <c r="D14" s="879"/>
      <c r="E14" s="879"/>
      <c r="F14" s="879"/>
    </row>
    <row r="15" spans="1:6" x14ac:dyDescent="0.2">
      <c r="A15" s="880" t="s">
        <v>2907</v>
      </c>
      <c r="B15" s="880" t="s">
        <v>2908</v>
      </c>
      <c r="C15" s="879"/>
      <c r="D15" s="879"/>
      <c r="E15" s="879"/>
      <c r="F15" s="879"/>
    </row>
    <row r="16" spans="1:6" x14ac:dyDescent="0.2">
      <c r="A16" s="880" t="s">
        <v>2909</v>
      </c>
      <c r="B16" s="880" t="s">
        <v>2910</v>
      </c>
      <c r="C16" s="879"/>
      <c r="D16" s="879"/>
      <c r="E16" s="879"/>
      <c r="F16" s="879"/>
    </row>
    <row r="17" spans="1:6" x14ac:dyDescent="0.2">
      <c r="A17" s="880" t="s">
        <v>2911</v>
      </c>
      <c r="B17" s="880" t="s">
        <v>2912</v>
      </c>
      <c r="C17" s="879"/>
      <c r="D17" s="879"/>
      <c r="E17" s="879"/>
      <c r="F17" s="879"/>
    </row>
    <row r="18" spans="1:6" x14ac:dyDescent="0.2">
      <c r="A18" s="880" t="s">
        <v>2913</v>
      </c>
      <c r="B18" s="880" t="s">
        <v>2914</v>
      </c>
      <c r="C18" s="879"/>
      <c r="D18" s="879"/>
      <c r="E18" s="879"/>
      <c r="F18" s="879"/>
    </row>
    <row r="19" spans="1:6" ht="22.5" x14ac:dyDescent="0.2">
      <c r="A19" s="880" t="s">
        <v>2915</v>
      </c>
      <c r="B19" s="880" t="s">
        <v>2916</v>
      </c>
      <c r="C19" s="879"/>
      <c r="D19" s="879"/>
      <c r="E19" s="879"/>
      <c r="F19" s="879"/>
    </row>
    <row r="20" spans="1:6" x14ac:dyDescent="0.2">
      <c r="A20" s="880" t="s">
        <v>2917</v>
      </c>
      <c r="B20" s="880" t="s">
        <v>2918</v>
      </c>
      <c r="C20" s="879"/>
      <c r="D20" s="879"/>
      <c r="E20" s="879"/>
      <c r="F20" s="879"/>
    </row>
    <row r="21" spans="1:6" x14ac:dyDescent="0.2">
      <c r="A21" s="880" t="s">
        <v>2919</v>
      </c>
      <c r="B21" s="880" t="s">
        <v>2920</v>
      </c>
      <c r="C21" s="879"/>
      <c r="D21" s="879"/>
      <c r="E21" s="879"/>
      <c r="F21" s="879"/>
    </row>
    <row r="22" spans="1:6" x14ac:dyDescent="0.2">
      <c r="A22" s="880" t="s">
        <v>2921</v>
      </c>
      <c r="B22" s="880" t="s">
        <v>2922</v>
      </c>
      <c r="C22" s="878">
        <f>(C19+C20+C21)</f>
        <v>0</v>
      </c>
      <c r="D22" s="878">
        <f>(D19+D20+D21)</f>
        <v>0</v>
      </c>
      <c r="E22" s="878">
        <f>(E19+E20+E21)</f>
        <v>0</v>
      </c>
      <c r="F22" s="878">
        <f>(F19+F20+F21)</f>
        <v>0</v>
      </c>
    </row>
    <row r="23" spans="1:6" x14ac:dyDescent="0.2">
      <c r="A23" s="880" t="s">
        <v>2923</v>
      </c>
      <c r="B23" s="880" t="s">
        <v>2924</v>
      </c>
      <c r="C23" s="884">
        <f>+Financials_Consolidated!E67</f>
        <v>0</v>
      </c>
      <c r="D23" s="884">
        <f>+Financials_Consolidated!D67</f>
        <v>22481039.900000002</v>
      </c>
      <c r="E23" s="884">
        <f>+Financials_Consolidated!C67</f>
        <v>44063462.75</v>
      </c>
      <c r="F23" s="884">
        <f>+Financials_Consolidated!B67</f>
        <v>0</v>
      </c>
    </row>
    <row r="24" spans="1:6" x14ac:dyDescent="0.2">
      <c r="A24" s="880" t="s">
        <v>2925</v>
      </c>
      <c r="B24" s="880" t="s">
        <v>2926</v>
      </c>
      <c r="C24" s="879"/>
      <c r="D24" s="879"/>
      <c r="E24" s="879"/>
      <c r="F24" s="879"/>
    </row>
    <row r="25" spans="1:6" x14ac:dyDescent="0.2">
      <c r="A25" s="880" t="s">
        <v>2927</v>
      </c>
      <c r="B25" s="880" t="s">
        <v>2928</v>
      </c>
      <c r="C25" s="879"/>
      <c r="D25" s="879"/>
      <c r="E25" s="879"/>
      <c r="F25" s="879"/>
    </row>
    <row r="26" spans="1:6" x14ac:dyDescent="0.2">
      <c r="A26" s="880" t="s">
        <v>2929</v>
      </c>
      <c r="B26" s="880" t="s">
        <v>2930</v>
      </c>
      <c r="C26" s="879"/>
      <c r="D26" s="879"/>
      <c r="E26" s="879"/>
      <c r="F26" s="879"/>
    </row>
    <row r="27" spans="1:6" x14ac:dyDescent="0.2">
      <c r="A27" s="880" t="s">
        <v>2931</v>
      </c>
      <c r="B27" s="880" t="s">
        <v>2932</v>
      </c>
      <c r="C27" s="879"/>
      <c r="D27" s="879"/>
      <c r="E27" s="879"/>
      <c r="F27" s="879"/>
    </row>
    <row r="28" spans="1:6" x14ac:dyDescent="0.2">
      <c r="A28" s="880" t="s">
        <v>2933</v>
      </c>
      <c r="B28" s="880" t="s">
        <v>2934</v>
      </c>
      <c r="C28" s="879"/>
      <c r="D28" s="879"/>
      <c r="E28" s="879"/>
      <c r="F28" s="879"/>
    </row>
    <row r="29" spans="1:6" x14ac:dyDescent="0.2">
      <c r="A29" s="880" t="s">
        <v>2935</v>
      </c>
      <c r="B29" s="880" t="s">
        <v>2759</v>
      </c>
      <c r="C29" s="878">
        <f>(C11+C12+C13+C14+C15+C16+C17+C18+C22+C23+C24+C25+C26+C27+C28)</f>
        <v>0</v>
      </c>
      <c r="D29" s="878">
        <f>(D11+D12+D13+D14+D15+D16+D17+D18+D22+D23+D24+D25+D26+D27+D28)</f>
        <v>31675681.730000004</v>
      </c>
      <c r="E29" s="878">
        <f>(E11+E12+E13+E14+E15+E16+E17+E18+E22+E23+E24+E25+E26+E27+E28)</f>
        <v>81061652.870000005</v>
      </c>
      <c r="F29" s="878">
        <f>(F11+F12+F13+F14+F15+F16+F17+F18+F22+F23+F24+F25+F26+F27+F28)</f>
        <v>0</v>
      </c>
    </row>
    <row r="30" spans="1:6" x14ac:dyDescent="0.2">
      <c r="A30" s="880" t="s">
        <v>2936</v>
      </c>
      <c r="B30" s="880" t="s">
        <v>2937</v>
      </c>
      <c r="C30" s="878">
        <f>(C10+C29)</f>
        <v>0</v>
      </c>
      <c r="D30" s="878">
        <f>(D10+D29)</f>
        <v>34179966.920000002</v>
      </c>
      <c r="E30" s="878">
        <f>(E10+E29)</f>
        <v>81676260.120000005</v>
      </c>
      <c r="F30" s="878">
        <f>(F10+F29)</f>
        <v>0</v>
      </c>
    </row>
    <row r="31" spans="1:6" x14ac:dyDescent="0.2">
      <c r="A31" s="876" t="s">
        <v>2714</v>
      </c>
      <c r="B31" s="876" t="s">
        <v>2938</v>
      </c>
      <c r="C31" s="875" t="s">
        <v>2038</v>
      </c>
      <c r="D31" s="875" t="s">
        <v>2038</v>
      </c>
      <c r="E31" s="875" t="s">
        <v>2038</v>
      </c>
      <c r="F31" s="875" t="s">
        <v>2038</v>
      </c>
    </row>
    <row r="32" spans="1:6" x14ac:dyDescent="0.2">
      <c r="A32" s="880" t="s">
        <v>2939</v>
      </c>
      <c r="B32" s="880" t="s">
        <v>2940</v>
      </c>
      <c r="C32" s="879"/>
      <c r="D32" s="879"/>
      <c r="E32" s="879"/>
      <c r="F32" s="879"/>
    </row>
    <row r="33" spans="1:6" x14ac:dyDescent="0.2">
      <c r="A33" s="880" t="s">
        <v>2941</v>
      </c>
      <c r="B33" s="880" t="s">
        <v>2942</v>
      </c>
      <c r="C33" s="879"/>
      <c r="D33" s="879"/>
      <c r="E33" s="879"/>
      <c r="F33" s="879"/>
    </row>
    <row r="34" spans="1:6" x14ac:dyDescent="0.2">
      <c r="A34" s="880" t="s">
        <v>2943</v>
      </c>
      <c r="B34" s="880" t="s">
        <v>2944</v>
      </c>
      <c r="C34" s="877">
        <f>+Financials_Consolidated!E60</f>
        <v>0</v>
      </c>
      <c r="D34" s="877">
        <f>+Financials_Consolidated!D60</f>
        <v>14730757</v>
      </c>
      <c r="E34" s="877">
        <f>+Financials_Consolidated!C60</f>
        <v>18736909</v>
      </c>
      <c r="F34" s="877">
        <f>+Financials_Consolidated!B60</f>
        <v>0</v>
      </c>
    </row>
    <row r="35" spans="1:6" x14ac:dyDescent="0.2">
      <c r="A35" s="880" t="s">
        <v>2945</v>
      </c>
      <c r="B35" s="880" t="s">
        <v>2946</v>
      </c>
      <c r="C35" s="884"/>
      <c r="D35" s="884"/>
      <c r="E35" s="884"/>
      <c r="F35" s="884"/>
    </row>
    <row r="36" spans="1:6" x14ac:dyDescent="0.2">
      <c r="A36" s="880" t="s">
        <v>2947</v>
      </c>
      <c r="B36" s="880" t="s">
        <v>2948</v>
      </c>
      <c r="C36" s="879"/>
      <c r="D36" s="879"/>
      <c r="E36" s="879"/>
      <c r="F36" s="879"/>
    </row>
    <row r="37" spans="1:6" x14ac:dyDescent="0.2">
      <c r="A37" s="880" t="s">
        <v>2949</v>
      </c>
      <c r="B37" s="880" t="s">
        <v>2950</v>
      </c>
      <c r="C37" s="879"/>
      <c r="D37" s="879"/>
      <c r="E37" s="879"/>
      <c r="F37" s="879"/>
    </row>
    <row r="38" spans="1:6" x14ac:dyDescent="0.2">
      <c r="A38" s="880" t="s">
        <v>2951</v>
      </c>
      <c r="B38" s="880" t="s">
        <v>2952</v>
      </c>
      <c r="C38" s="884">
        <f>+Financials_Consolidated!E61</f>
        <v>0</v>
      </c>
      <c r="D38" s="884">
        <f>+Financials_Consolidated!D61</f>
        <v>0</v>
      </c>
      <c r="E38" s="884">
        <f>+Financials_Consolidated!C61</f>
        <v>0</v>
      </c>
      <c r="F38" s="884">
        <f>+Financials_Consolidated!B61</f>
        <v>0</v>
      </c>
    </row>
    <row r="39" spans="1:6" x14ac:dyDescent="0.2">
      <c r="A39" s="880" t="s">
        <v>2953</v>
      </c>
      <c r="B39" s="880" t="s">
        <v>2954</v>
      </c>
      <c r="C39" s="884">
        <f>+Financials_Consolidated!E57</f>
        <v>0</v>
      </c>
      <c r="D39" s="884">
        <f>+Financials_Consolidated!D57</f>
        <v>0</v>
      </c>
      <c r="E39" s="884">
        <f>+Financials_Consolidated!C57</f>
        <v>0</v>
      </c>
      <c r="F39" s="884">
        <f>+Financials_Consolidated!B57</f>
        <v>0</v>
      </c>
    </row>
    <row r="40" spans="1:6" ht="22.5" x14ac:dyDescent="0.2">
      <c r="A40" s="880" t="s">
        <v>2955</v>
      </c>
      <c r="B40" s="880" t="s">
        <v>2956</v>
      </c>
      <c r="C40" s="879"/>
      <c r="D40" s="879"/>
      <c r="E40" s="879"/>
      <c r="F40" s="879"/>
    </row>
    <row r="41" spans="1:6" x14ac:dyDescent="0.2">
      <c r="A41" s="880" t="s">
        <v>2957</v>
      </c>
      <c r="B41" s="880" t="s">
        <v>2958</v>
      </c>
      <c r="C41" s="884">
        <f>+Financials_Consolidated!E62</f>
        <v>0</v>
      </c>
      <c r="D41" s="884">
        <f>+Financials_Consolidated!D62</f>
        <v>59955623.760000005</v>
      </c>
      <c r="E41" s="884">
        <f>+Financials_Consolidated!C62</f>
        <v>32951662.699999999</v>
      </c>
      <c r="F41" s="884">
        <f>+Financials_Consolidated!B62</f>
        <v>0</v>
      </c>
    </row>
    <row r="42" spans="1:6" x14ac:dyDescent="0.2">
      <c r="A42" s="880" t="s">
        <v>2959</v>
      </c>
      <c r="B42" s="880" t="s">
        <v>2960</v>
      </c>
      <c r="C42" s="877">
        <f>Financials_Consolidated!E69</f>
        <v>0</v>
      </c>
      <c r="D42" s="877">
        <f>Financials_Consolidated!D69</f>
        <v>96659687.050000012</v>
      </c>
      <c r="E42" s="877">
        <f>Financials_Consolidated!C69</f>
        <v>98735165.210000008</v>
      </c>
      <c r="F42" s="877">
        <f>Financials_Consolidated!B69</f>
        <v>0</v>
      </c>
    </row>
    <row r="43" spans="1:6" x14ac:dyDescent="0.2">
      <c r="A43" s="880" t="s">
        <v>2961</v>
      </c>
      <c r="B43" s="880" t="s">
        <v>2962</v>
      </c>
      <c r="C43" s="878">
        <f>(C32+C33+C34+C35+C36+C37+C38+C39+C40+C41+C42)</f>
        <v>0</v>
      </c>
      <c r="D43" s="878">
        <f>(D32+D33+D34+D35+D36+D37+D38+D39+D40+D41+D42)</f>
        <v>171346067.81</v>
      </c>
      <c r="E43" s="878">
        <f>(E32+E33+E34+E35+E36+E37+E38+E39+E40+E41+E42)</f>
        <v>150423736.91000003</v>
      </c>
      <c r="F43" s="878">
        <f>(F32+F33+F34+F35+F36+F37+F38+F39+F40+F41+F42)</f>
        <v>0</v>
      </c>
    </row>
    <row r="44" spans="1:6" x14ac:dyDescent="0.2">
      <c r="A44" s="876" t="s">
        <v>2716</v>
      </c>
      <c r="B44" s="876" t="s">
        <v>2963</v>
      </c>
      <c r="C44" s="878">
        <f>(C30+C43)</f>
        <v>0</v>
      </c>
      <c r="D44" s="878">
        <f>(D30+D43)</f>
        <v>205526034.73000002</v>
      </c>
      <c r="E44" s="878">
        <f>(E30+E43)</f>
        <v>232099997.03000003</v>
      </c>
      <c r="F44" s="878">
        <f>(F30+F43)</f>
        <v>0</v>
      </c>
    </row>
    <row r="45" spans="1:6" x14ac:dyDescent="0.2">
      <c r="A45" s="876" t="s">
        <v>2718</v>
      </c>
      <c r="B45" s="876" t="s">
        <v>2964</v>
      </c>
      <c r="C45" s="875" t="s">
        <v>2038</v>
      </c>
      <c r="D45" s="875" t="s">
        <v>2038</v>
      </c>
      <c r="E45" s="875" t="s">
        <v>2038</v>
      </c>
      <c r="F45" s="875" t="s">
        <v>2038</v>
      </c>
    </row>
    <row r="46" spans="1:6" x14ac:dyDescent="0.2">
      <c r="A46" s="880" t="s">
        <v>2965</v>
      </c>
      <c r="B46" s="880" t="s">
        <v>2966</v>
      </c>
      <c r="C46" s="879"/>
      <c r="D46" s="879"/>
      <c r="E46" s="879"/>
      <c r="F46" s="879"/>
    </row>
    <row r="47" spans="1:6" x14ac:dyDescent="0.2">
      <c r="A47" s="880" t="s">
        <v>2967</v>
      </c>
      <c r="B47" s="880" t="s">
        <v>2968</v>
      </c>
      <c r="C47" s="884">
        <f>Financials_Consolidated!E55</f>
        <v>0</v>
      </c>
      <c r="D47" s="884">
        <f>Financials_Consolidated!D55</f>
        <v>0</v>
      </c>
      <c r="E47" s="884">
        <f>Financials_Consolidated!C55</f>
        <v>0</v>
      </c>
      <c r="F47" s="884">
        <f>Financials_Consolidated!B55</f>
        <v>0</v>
      </c>
    </row>
    <row r="48" spans="1:6" x14ac:dyDescent="0.2">
      <c r="A48" s="880" t="s">
        <v>2969</v>
      </c>
      <c r="B48" s="880" t="s">
        <v>2970</v>
      </c>
      <c r="C48" s="879"/>
      <c r="D48" s="879"/>
      <c r="E48" s="879"/>
      <c r="F48" s="879"/>
    </row>
    <row r="49" spans="1:6" x14ac:dyDescent="0.2">
      <c r="A49" s="880" t="s">
        <v>2971</v>
      </c>
      <c r="B49" s="880" t="s">
        <v>2972</v>
      </c>
      <c r="C49" s="878">
        <f>(C46+C47+C48)</f>
        <v>0</v>
      </c>
      <c r="D49" s="878">
        <f>(D46+D47+D48)</f>
        <v>0</v>
      </c>
      <c r="E49" s="878">
        <f>(E46+E47+E48)</f>
        <v>0</v>
      </c>
      <c r="F49" s="878">
        <f>(F46+F47+F48)</f>
        <v>0</v>
      </c>
    </row>
    <row r="50" spans="1:6" x14ac:dyDescent="0.2">
      <c r="A50" s="880" t="s">
        <v>2973</v>
      </c>
      <c r="B50" s="880" t="s">
        <v>2974</v>
      </c>
      <c r="C50" s="875" t="s">
        <v>2038</v>
      </c>
      <c r="D50" s="875" t="s">
        <v>2038</v>
      </c>
      <c r="E50" s="875" t="s">
        <v>2038</v>
      </c>
      <c r="F50" s="875" t="s">
        <v>2038</v>
      </c>
    </row>
    <row r="51" spans="1:6" x14ac:dyDescent="0.2">
      <c r="A51" s="883" t="s">
        <v>2975</v>
      </c>
      <c r="B51" s="883" t="s">
        <v>2976</v>
      </c>
      <c r="C51" s="879"/>
      <c r="D51" s="879"/>
      <c r="E51" s="879"/>
      <c r="F51" s="879"/>
    </row>
    <row r="52" spans="1:6" x14ac:dyDescent="0.2">
      <c r="A52" s="883" t="s">
        <v>2977</v>
      </c>
      <c r="B52" s="883" t="s">
        <v>2978</v>
      </c>
      <c r="C52" s="879"/>
      <c r="D52" s="879"/>
      <c r="E52" s="879"/>
      <c r="F52" s="879"/>
    </row>
    <row r="53" spans="1:6" x14ac:dyDescent="0.2">
      <c r="A53" s="883" t="s">
        <v>2979</v>
      </c>
      <c r="B53" s="883" t="s">
        <v>2980</v>
      </c>
      <c r="C53" s="879"/>
      <c r="D53" s="879"/>
      <c r="E53" s="879"/>
      <c r="F53" s="879"/>
    </row>
    <row r="54" spans="1:6" x14ac:dyDescent="0.2">
      <c r="A54" s="883" t="s">
        <v>2981</v>
      </c>
      <c r="B54" s="883" t="s">
        <v>2759</v>
      </c>
      <c r="C54" s="878">
        <f>(C51+C52+C53)</f>
        <v>0</v>
      </c>
      <c r="D54" s="878">
        <f>(D51+D52+D53)</f>
        <v>0</v>
      </c>
      <c r="E54" s="878">
        <f>(E51+E52+E53)</f>
        <v>0</v>
      </c>
      <c r="F54" s="878">
        <f>(F51+F52+F53)</f>
        <v>0</v>
      </c>
    </row>
    <row r="55" spans="1:6" x14ac:dyDescent="0.2">
      <c r="A55" s="880" t="s">
        <v>2982</v>
      </c>
      <c r="B55" s="880" t="s">
        <v>2983</v>
      </c>
      <c r="C55" s="879"/>
      <c r="D55" s="879"/>
      <c r="E55" s="879"/>
      <c r="F55" s="879"/>
    </row>
    <row r="56" spans="1:6" x14ac:dyDescent="0.2">
      <c r="A56" s="880" t="s">
        <v>2984</v>
      </c>
      <c r="B56" s="880" t="s">
        <v>2985</v>
      </c>
      <c r="C56" s="884">
        <f>Financials_Consolidated!E56</f>
        <v>0</v>
      </c>
      <c r="D56" s="884">
        <f>Financials_Consolidated!D56</f>
        <v>0</v>
      </c>
      <c r="E56" s="884">
        <f>Financials_Consolidated!C56</f>
        <v>0</v>
      </c>
      <c r="F56" s="884">
        <f>Financials_Consolidated!B56</f>
        <v>0</v>
      </c>
    </row>
    <row r="57" spans="1:6" x14ac:dyDescent="0.2">
      <c r="A57" s="880" t="s">
        <v>2986</v>
      </c>
      <c r="B57" s="880" t="s">
        <v>2987</v>
      </c>
      <c r="C57" s="879"/>
      <c r="D57" s="879"/>
      <c r="E57" s="879"/>
      <c r="F57" s="879"/>
    </row>
    <row r="58" spans="1:6" x14ac:dyDescent="0.2">
      <c r="A58" s="880" t="s">
        <v>2988</v>
      </c>
      <c r="B58" s="880" t="s">
        <v>2989</v>
      </c>
      <c r="C58" s="879"/>
      <c r="D58" s="879"/>
      <c r="E58" s="879"/>
      <c r="F58" s="879"/>
    </row>
    <row r="59" spans="1:6" x14ac:dyDescent="0.2">
      <c r="A59" s="880" t="s">
        <v>2990</v>
      </c>
      <c r="B59" s="880" t="s">
        <v>2991</v>
      </c>
      <c r="C59" s="879"/>
      <c r="D59" s="879"/>
      <c r="E59" s="879"/>
      <c r="F59" s="879"/>
    </row>
    <row r="60" spans="1:6" x14ac:dyDescent="0.2">
      <c r="A60" s="880" t="s">
        <v>2992</v>
      </c>
      <c r="B60" s="880" t="s">
        <v>2993</v>
      </c>
      <c r="C60" s="878">
        <f>(C49+C54+C55+C56+C57+C58+C59)-C53</f>
        <v>0</v>
      </c>
      <c r="D60" s="878">
        <f>(D49+D54+D55+D56+D57+D58+D59)-D53</f>
        <v>0</v>
      </c>
      <c r="E60" s="878">
        <f>(E49+E54+E55+E56+E57+E58+E59)-E53</f>
        <v>0</v>
      </c>
      <c r="F60" s="878">
        <f>(F49+F54+F55+F56+F57+F58+F59)-F53</f>
        <v>0</v>
      </c>
    </row>
    <row r="61" spans="1:6" x14ac:dyDescent="0.2">
      <c r="A61" s="876" t="s">
        <v>2720</v>
      </c>
      <c r="B61" s="876" t="s">
        <v>2994</v>
      </c>
      <c r="C61" s="878">
        <f>(C30+C43+C60)</f>
        <v>0</v>
      </c>
      <c r="D61" s="878">
        <f>(D30+D43+D60)</f>
        <v>205526034.73000002</v>
      </c>
      <c r="E61" s="878">
        <f>(E30+E43+E60)</f>
        <v>232099997.03000003</v>
      </c>
      <c r="F61" s="878">
        <f>(F30+F43+F60)</f>
        <v>0</v>
      </c>
    </row>
    <row r="62" spans="1:6" x14ac:dyDescent="0.2">
      <c r="A62" s="876" t="s">
        <v>2722</v>
      </c>
      <c r="B62" s="876" t="s">
        <v>2995</v>
      </c>
      <c r="C62" s="875" t="s">
        <v>2038</v>
      </c>
      <c r="D62" s="875" t="s">
        <v>2038</v>
      </c>
      <c r="E62" s="875" t="s">
        <v>2038</v>
      </c>
      <c r="F62" s="875" t="s">
        <v>2038</v>
      </c>
    </row>
    <row r="63" spans="1:6" x14ac:dyDescent="0.2">
      <c r="A63" s="880" t="s">
        <v>2996</v>
      </c>
      <c r="B63" s="880" t="s">
        <v>2997</v>
      </c>
      <c r="C63" s="879"/>
      <c r="D63" s="879"/>
      <c r="E63" s="879"/>
      <c r="F63" s="879"/>
    </row>
    <row r="64" spans="1:6" x14ac:dyDescent="0.2">
      <c r="A64" s="880" t="s">
        <v>2998</v>
      </c>
      <c r="B64" s="880" t="s">
        <v>2999</v>
      </c>
      <c r="C64" s="879"/>
      <c r="D64" s="879"/>
      <c r="E64" s="879"/>
      <c r="F64" s="879"/>
    </row>
    <row r="65" spans="1:6" x14ac:dyDescent="0.2">
      <c r="A65" s="880" t="s">
        <v>3000</v>
      </c>
      <c r="B65" s="880" t="s">
        <v>3001</v>
      </c>
      <c r="C65" s="879"/>
      <c r="D65" s="879"/>
      <c r="E65" s="879"/>
      <c r="F65" s="879"/>
    </row>
    <row r="66" spans="1:6" x14ac:dyDescent="0.2">
      <c r="A66" s="880" t="s">
        <v>3002</v>
      </c>
      <c r="B66" s="880" t="s">
        <v>3003</v>
      </c>
      <c r="C66" s="879"/>
      <c r="D66" s="879"/>
      <c r="E66" s="879"/>
      <c r="F66" s="879"/>
    </row>
    <row r="67" spans="1:6" x14ac:dyDescent="0.2">
      <c r="A67" s="880" t="s">
        <v>3004</v>
      </c>
      <c r="B67" s="880" t="s">
        <v>3005</v>
      </c>
      <c r="C67" s="879"/>
      <c r="D67" s="879"/>
      <c r="E67" s="879"/>
      <c r="F67" s="879"/>
    </row>
    <row r="68" spans="1:6" x14ac:dyDescent="0.2">
      <c r="A68" s="880" t="s">
        <v>3006</v>
      </c>
      <c r="B68" s="880" t="s">
        <v>3007</v>
      </c>
      <c r="C68" s="879"/>
      <c r="D68" s="879"/>
      <c r="E68" s="879"/>
      <c r="F68" s="879"/>
    </row>
    <row r="69" spans="1:6" ht="22.5" x14ac:dyDescent="0.2">
      <c r="A69" s="880" t="s">
        <v>3008</v>
      </c>
      <c r="B69" s="880" t="s">
        <v>3009</v>
      </c>
      <c r="C69" s="877">
        <f>Financials_Consolidated!E71</f>
        <v>0</v>
      </c>
      <c r="D69" s="877">
        <f>Financials_Consolidated!D71</f>
        <v>1.4901161193847656E-8</v>
      </c>
      <c r="E69" s="877">
        <f>Financials_Consolidated!C71</f>
        <v>0</v>
      </c>
      <c r="F69" s="877">
        <f>Financials_Consolidated!B71</f>
        <v>0</v>
      </c>
    </row>
    <row r="70" spans="1:6" x14ac:dyDescent="0.2">
      <c r="A70" s="874" t="s">
        <v>2732</v>
      </c>
      <c r="B70" s="874" t="s">
        <v>3010</v>
      </c>
      <c r="C70" s="875" t="s">
        <v>2038</v>
      </c>
      <c r="D70" s="875" t="s">
        <v>2038</v>
      </c>
      <c r="E70" s="875" t="s">
        <v>2038</v>
      </c>
      <c r="F70" s="875" t="s">
        <v>2038</v>
      </c>
    </row>
    <row r="71" spans="1:6" x14ac:dyDescent="0.2">
      <c r="A71" s="876" t="s">
        <v>2734</v>
      </c>
      <c r="B71" s="876" t="s">
        <v>3011</v>
      </c>
      <c r="C71" s="875" t="s">
        <v>2038</v>
      </c>
      <c r="D71" s="875" t="s">
        <v>2038</v>
      </c>
      <c r="E71" s="875" t="s">
        <v>2038</v>
      </c>
      <c r="F71" s="875" t="s">
        <v>2038</v>
      </c>
    </row>
    <row r="72" spans="1:6" x14ac:dyDescent="0.2">
      <c r="A72" s="880" t="s">
        <v>2736</v>
      </c>
      <c r="B72" s="880" t="s">
        <v>3012</v>
      </c>
      <c r="C72" s="884">
        <f>Financials_Consolidated!E47</f>
        <v>0</v>
      </c>
      <c r="D72" s="884">
        <f>Financials_Consolidated!D47</f>
        <v>19626290.010000002</v>
      </c>
      <c r="E72" s="884">
        <f>Financials_Consolidated!C47</f>
        <v>23547792.150000002</v>
      </c>
      <c r="F72" s="884">
        <f>Financials_Consolidated!B47</f>
        <v>0</v>
      </c>
    </row>
    <row r="73" spans="1:6" x14ac:dyDescent="0.2">
      <c r="A73" s="876" t="s">
        <v>2740</v>
      </c>
      <c r="B73" s="876" t="s">
        <v>3013</v>
      </c>
      <c r="C73" s="875" t="s">
        <v>2038</v>
      </c>
      <c r="D73" s="875" t="s">
        <v>2038</v>
      </c>
      <c r="E73" s="875" t="s">
        <v>2038</v>
      </c>
      <c r="F73" s="875" t="s">
        <v>2038</v>
      </c>
    </row>
    <row r="74" spans="1:6" x14ac:dyDescent="0.2">
      <c r="A74" s="880" t="s">
        <v>2742</v>
      </c>
      <c r="B74" s="880" t="s">
        <v>3014</v>
      </c>
      <c r="C74" s="879"/>
      <c r="D74" s="879"/>
      <c r="E74" s="879"/>
      <c r="F74" s="879"/>
    </row>
    <row r="75" spans="1:6" x14ac:dyDescent="0.2">
      <c r="A75" s="880" t="s">
        <v>2743</v>
      </c>
      <c r="B75" s="880" t="s">
        <v>3015</v>
      </c>
      <c r="C75" s="879"/>
      <c r="D75" s="879"/>
      <c r="E75" s="879"/>
      <c r="F75" s="879"/>
    </row>
    <row r="76" spans="1:6" x14ac:dyDescent="0.2">
      <c r="A76" s="880" t="s">
        <v>3016</v>
      </c>
      <c r="B76" s="880" t="s">
        <v>3017</v>
      </c>
      <c r="C76" s="879"/>
      <c r="D76" s="879"/>
      <c r="E76" s="879"/>
      <c r="F76" s="879"/>
    </row>
    <row r="77" spans="1:6" x14ac:dyDescent="0.2">
      <c r="A77" s="876" t="s">
        <v>2744</v>
      </c>
      <c r="B77" s="876" t="s">
        <v>3018</v>
      </c>
      <c r="C77" s="875" t="s">
        <v>2038</v>
      </c>
      <c r="D77" s="875" t="s">
        <v>2038</v>
      </c>
      <c r="E77" s="875" t="s">
        <v>2038</v>
      </c>
      <c r="F77" s="875" t="s">
        <v>2038</v>
      </c>
    </row>
    <row r="78" spans="1:6" ht="22.5" x14ac:dyDescent="0.2">
      <c r="A78" s="880" t="s">
        <v>3019</v>
      </c>
      <c r="B78" s="880" t="s">
        <v>3020</v>
      </c>
      <c r="C78" s="884">
        <f>Financials_Consolidated!E46</f>
        <v>0</v>
      </c>
      <c r="D78" s="884">
        <f>Financials_Consolidated!D46</f>
        <v>3884944.43</v>
      </c>
      <c r="E78" s="884">
        <f>Financials_Consolidated!C46</f>
        <v>2605512.21</v>
      </c>
      <c r="F78" s="884">
        <f>Financials_Consolidated!B46</f>
        <v>0</v>
      </c>
    </row>
    <row r="79" spans="1:6" x14ac:dyDescent="0.2">
      <c r="A79" s="880" t="s">
        <v>3021</v>
      </c>
      <c r="B79" s="880" t="s">
        <v>3022</v>
      </c>
      <c r="C79" s="879"/>
      <c r="D79" s="879"/>
      <c r="E79" s="879"/>
      <c r="F79" s="879"/>
    </row>
    <row r="80" spans="1:6" x14ac:dyDescent="0.2">
      <c r="A80" s="880" t="s">
        <v>3023</v>
      </c>
      <c r="B80" s="880" t="s">
        <v>3024</v>
      </c>
      <c r="C80" s="879"/>
      <c r="D80" s="879"/>
      <c r="E80" s="879"/>
      <c r="F80" s="879"/>
    </row>
    <row r="81" spans="1:6" x14ac:dyDescent="0.2">
      <c r="A81" s="876" t="s">
        <v>2746</v>
      </c>
      <c r="B81" s="876" t="s">
        <v>3025</v>
      </c>
      <c r="C81" s="875" t="s">
        <v>2038</v>
      </c>
      <c r="D81" s="875" t="s">
        <v>2038</v>
      </c>
      <c r="E81" s="875" t="s">
        <v>2038</v>
      </c>
      <c r="F81" s="875" t="s">
        <v>2038</v>
      </c>
    </row>
    <row r="82" spans="1:6" x14ac:dyDescent="0.2">
      <c r="A82" s="880" t="s">
        <v>3026</v>
      </c>
      <c r="B82" s="880" t="s">
        <v>3027</v>
      </c>
      <c r="C82" s="884">
        <f>Financials_Consolidated!E44</f>
        <v>0</v>
      </c>
      <c r="D82" s="884">
        <f>Financials_Consolidated!D44</f>
        <v>0</v>
      </c>
      <c r="E82" s="884">
        <f>Financials_Consolidated!C44</f>
        <v>0</v>
      </c>
      <c r="F82" s="884">
        <f>Financials_Consolidated!B44</f>
        <v>0</v>
      </c>
    </row>
    <row r="83" spans="1:6" x14ac:dyDescent="0.2">
      <c r="A83" s="880" t="s">
        <v>3028</v>
      </c>
      <c r="B83" s="880" t="s">
        <v>3029</v>
      </c>
      <c r="C83" s="879"/>
      <c r="D83" s="879"/>
      <c r="E83" s="879"/>
      <c r="F83" s="879"/>
    </row>
    <row r="84" spans="1:6" x14ac:dyDescent="0.2">
      <c r="A84" s="880" t="s">
        <v>3030</v>
      </c>
      <c r="B84" s="880" t="s">
        <v>3031</v>
      </c>
      <c r="C84" s="879"/>
      <c r="D84" s="879"/>
      <c r="E84" s="879"/>
      <c r="F84" s="879"/>
    </row>
    <row r="85" spans="1:6" x14ac:dyDescent="0.2">
      <c r="A85" s="880" t="s">
        <v>3032</v>
      </c>
      <c r="B85" s="880" t="s">
        <v>3033</v>
      </c>
      <c r="C85" s="879"/>
      <c r="D85" s="879"/>
      <c r="E85" s="879"/>
      <c r="F85" s="879"/>
    </row>
    <row r="86" spans="1:6" x14ac:dyDescent="0.2">
      <c r="A86" s="880" t="s">
        <v>3034</v>
      </c>
      <c r="B86" s="880" t="s">
        <v>3035</v>
      </c>
      <c r="C86" s="879"/>
      <c r="D86" s="879"/>
      <c r="E86" s="879"/>
      <c r="F86" s="879"/>
    </row>
    <row r="87" spans="1:6" x14ac:dyDescent="0.2">
      <c r="A87" s="880" t="s">
        <v>3036</v>
      </c>
      <c r="B87" s="880" t="s">
        <v>3037</v>
      </c>
      <c r="C87" s="879"/>
      <c r="D87" s="879"/>
      <c r="E87" s="879"/>
      <c r="F87" s="879"/>
    </row>
    <row r="88" spans="1:6" x14ac:dyDescent="0.2">
      <c r="A88" s="880" t="s">
        <v>3038</v>
      </c>
      <c r="B88" s="880" t="s">
        <v>3039</v>
      </c>
      <c r="C88" s="878">
        <f>(C86+C87)</f>
        <v>0</v>
      </c>
      <c r="D88" s="878">
        <f>(D86+D87)</f>
        <v>0</v>
      </c>
      <c r="E88" s="878">
        <f>(E86+E87)</f>
        <v>0</v>
      </c>
      <c r="F88" s="878">
        <f>(F86+F87)</f>
        <v>0</v>
      </c>
    </row>
    <row r="89" spans="1:6" x14ac:dyDescent="0.2">
      <c r="A89" s="880" t="s">
        <v>3040</v>
      </c>
      <c r="B89" s="880" t="s">
        <v>3041</v>
      </c>
      <c r="C89" s="879"/>
      <c r="D89" s="879"/>
      <c r="E89" s="879"/>
      <c r="F89" s="879"/>
    </row>
    <row r="90" spans="1:6" x14ac:dyDescent="0.2">
      <c r="A90" s="880" t="s">
        <v>3042</v>
      </c>
      <c r="B90" s="880" t="s">
        <v>3043</v>
      </c>
      <c r="C90" s="878">
        <f>(C82+C83+C84+C85+C88+C89)</f>
        <v>0</v>
      </c>
      <c r="D90" s="878">
        <f>(D82+D83+D84+D85+D88+D89)</f>
        <v>0</v>
      </c>
      <c r="E90" s="878">
        <f>(E82+E83+E84+E85+E88+E89)</f>
        <v>0</v>
      </c>
      <c r="F90" s="878">
        <f>(F82+F83+F84+F85+F88+F89)</f>
        <v>0</v>
      </c>
    </row>
    <row r="91" spans="1:6" x14ac:dyDescent="0.2">
      <c r="A91" s="880" t="s">
        <v>3044</v>
      </c>
      <c r="B91" s="880" t="s">
        <v>3045</v>
      </c>
      <c r="C91" s="879"/>
      <c r="D91" s="879"/>
      <c r="E91" s="879"/>
      <c r="F91" s="879"/>
    </row>
    <row r="92" spans="1:6" x14ac:dyDescent="0.2">
      <c r="A92" s="880" t="s">
        <v>3046</v>
      </c>
      <c r="B92" s="880" t="s">
        <v>3047</v>
      </c>
      <c r="C92" s="879"/>
      <c r="D92" s="879"/>
      <c r="E92" s="879"/>
      <c r="F92" s="879"/>
    </row>
    <row r="93" spans="1:6" x14ac:dyDescent="0.2">
      <c r="A93" s="876" t="s">
        <v>2748</v>
      </c>
      <c r="B93" s="876" t="s">
        <v>3048</v>
      </c>
      <c r="C93" s="875" t="s">
        <v>2038</v>
      </c>
      <c r="D93" s="875" t="s">
        <v>2038</v>
      </c>
      <c r="E93" s="875" t="s">
        <v>2038</v>
      </c>
      <c r="F93" s="875" t="s">
        <v>2038</v>
      </c>
    </row>
    <row r="94" spans="1:6" x14ac:dyDescent="0.2">
      <c r="A94" s="880" t="s">
        <v>3049</v>
      </c>
      <c r="B94" s="880" t="s">
        <v>3050</v>
      </c>
      <c r="C94" s="879"/>
      <c r="D94" s="879"/>
      <c r="E94" s="879"/>
      <c r="F94" s="879"/>
    </row>
    <row r="95" spans="1:6" x14ac:dyDescent="0.2">
      <c r="A95" s="880" t="s">
        <v>3051</v>
      </c>
      <c r="B95" s="880" t="s">
        <v>3052</v>
      </c>
      <c r="C95" s="879"/>
      <c r="D95" s="879"/>
      <c r="E95" s="879"/>
      <c r="F95" s="879"/>
    </row>
    <row r="96" spans="1:6" x14ac:dyDescent="0.2">
      <c r="A96" s="880" t="s">
        <v>3053</v>
      </c>
      <c r="B96" s="880" t="s">
        <v>3054</v>
      </c>
      <c r="C96" s="879"/>
      <c r="D96" s="879"/>
      <c r="E96" s="879"/>
      <c r="F96" s="879"/>
    </row>
    <row r="97" spans="1:6" x14ac:dyDescent="0.2">
      <c r="A97" s="880" t="s">
        <v>3055</v>
      </c>
      <c r="B97" s="880" t="s">
        <v>3056</v>
      </c>
      <c r="C97" s="879"/>
      <c r="D97" s="879"/>
      <c r="E97" s="879"/>
      <c r="F97" s="879"/>
    </row>
    <row r="98" spans="1:6" x14ac:dyDescent="0.2">
      <c r="A98" s="880" t="s">
        <v>3057</v>
      </c>
      <c r="B98" s="880" t="s">
        <v>3058</v>
      </c>
      <c r="C98" s="884">
        <f>Financials_Consolidated!E48</f>
        <v>0</v>
      </c>
      <c r="D98" s="884">
        <f>Financials_Consolidated!D48</f>
        <v>71460830.950000003</v>
      </c>
      <c r="E98" s="884">
        <f>Financials_Consolidated!C48</f>
        <v>70155382.260000005</v>
      </c>
      <c r="F98" s="884">
        <f>Financials_Consolidated!B48</f>
        <v>0</v>
      </c>
    </row>
    <row r="99" spans="1:6" x14ac:dyDescent="0.2">
      <c r="A99" s="876" t="s">
        <v>2750</v>
      </c>
      <c r="B99" s="876" t="s">
        <v>3059</v>
      </c>
      <c r="C99" s="878">
        <f>(C72+C74+C75+C76+C78+C79+C80+C82+C83+C84+C85+C88+C89+C91+C92+C94+C95+C96+C97+C98)</f>
        <v>0</v>
      </c>
      <c r="D99" s="878">
        <f>(D72+D74+D75+D76+D78+D79+D80+D82+D83+D84+D85+D88+D89+D91+D92+D94+D95+D96+D97+D98)</f>
        <v>94972065.390000001</v>
      </c>
      <c r="E99" s="878">
        <f>(E72+E74+E75+E76+E78+E79+E80+E82+E83+E84+E85+E88+E89+E91+E92+E94+E95+E96+E97+E98)</f>
        <v>96308686.620000005</v>
      </c>
      <c r="F99" s="878">
        <f>(F72+F74+F75+F76+F78+F79+F80+F82+F83+F84+F85+F88+F89+F91+F92+F94+F95+F96+F97+F98)</f>
        <v>0</v>
      </c>
    </row>
    <row r="100" spans="1:6" x14ac:dyDescent="0.2">
      <c r="A100" s="876" t="s">
        <v>2752</v>
      </c>
      <c r="B100" s="876" t="s">
        <v>3060</v>
      </c>
      <c r="C100" s="875" t="s">
        <v>2038</v>
      </c>
      <c r="D100" s="875" t="s">
        <v>2038</v>
      </c>
      <c r="E100" s="875" t="s">
        <v>2038</v>
      </c>
      <c r="F100" s="875" t="s">
        <v>2038</v>
      </c>
    </row>
    <row r="101" spans="1:6" x14ac:dyDescent="0.2">
      <c r="A101" s="880" t="s">
        <v>3061</v>
      </c>
      <c r="B101" s="880" t="s">
        <v>3062</v>
      </c>
      <c r="C101" s="879"/>
      <c r="D101" s="879"/>
      <c r="E101" s="879"/>
      <c r="F101" s="879"/>
    </row>
    <row r="102" spans="1:6" x14ac:dyDescent="0.2">
      <c r="A102" s="880" t="s">
        <v>3063</v>
      </c>
      <c r="B102" s="880" t="s">
        <v>3064</v>
      </c>
      <c r="C102" s="879"/>
      <c r="D102" s="879"/>
      <c r="E102" s="879"/>
      <c r="F102" s="879"/>
    </row>
    <row r="103" spans="1:6" x14ac:dyDescent="0.2">
      <c r="A103" s="880" t="s">
        <v>3065</v>
      </c>
      <c r="B103" s="880" t="s">
        <v>3066</v>
      </c>
      <c r="C103" s="879"/>
      <c r="D103" s="879"/>
      <c r="E103" s="879"/>
      <c r="F103" s="879"/>
    </row>
    <row r="104" spans="1:6" x14ac:dyDescent="0.2">
      <c r="A104" s="880" t="s">
        <v>3067</v>
      </c>
      <c r="B104" s="880" t="s">
        <v>3068</v>
      </c>
      <c r="C104" s="879"/>
      <c r="D104" s="879"/>
      <c r="E104" s="879"/>
      <c r="F104" s="879"/>
    </row>
    <row r="105" spans="1:6" x14ac:dyDescent="0.2">
      <c r="A105" s="880" t="s">
        <v>3069</v>
      </c>
      <c r="B105" s="880" t="s">
        <v>3070</v>
      </c>
      <c r="C105" s="879"/>
      <c r="D105" s="879"/>
      <c r="E105" s="879"/>
      <c r="F105" s="879"/>
    </row>
    <row r="106" spans="1:6" x14ac:dyDescent="0.2">
      <c r="A106" s="880" t="s">
        <v>3071</v>
      </c>
      <c r="B106" s="880" t="s">
        <v>3072</v>
      </c>
      <c r="C106" s="884">
        <f>Financials_Consolidated!E41</f>
        <v>0</v>
      </c>
      <c r="D106" s="884">
        <f>Financials_Consolidated!D41</f>
        <v>0</v>
      </c>
      <c r="E106" s="884">
        <f>Financials_Consolidated!C41</f>
        <v>0</v>
      </c>
      <c r="F106" s="884">
        <f>Financials_Consolidated!B41</f>
        <v>0</v>
      </c>
    </row>
    <row r="107" spans="1:6" x14ac:dyDescent="0.2">
      <c r="A107" s="880" t="s">
        <v>3073</v>
      </c>
      <c r="B107" s="880" t="s">
        <v>3074</v>
      </c>
      <c r="C107" s="879"/>
      <c r="D107" s="879"/>
      <c r="E107" s="879"/>
      <c r="F107" s="879"/>
    </row>
    <row r="108" spans="1:6" x14ac:dyDescent="0.2">
      <c r="A108" s="880" t="s">
        <v>3075</v>
      </c>
      <c r="B108" s="880" t="s">
        <v>3076</v>
      </c>
      <c r="C108" s="878">
        <f>(C101+C102+C103+C104+C105+C106+C107)</f>
        <v>0</v>
      </c>
      <c r="D108" s="878">
        <f>(D101+D102+D103+D104+D105+D106+D107)</f>
        <v>0</v>
      </c>
      <c r="E108" s="878">
        <f>(E101+E102+E103+E104+E105+E106+E107)</f>
        <v>0</v>
      </c>
      <c r="F108" s="878">
        <f>(F101+F102+F103+F104+F105+F106+F107)</f>
        <v>0</v>
      </c>
    </row>
    <row r="109" spans="1:6" x14ac:dyDescent="0.2">
      <c r="A109" s="880" t="s">
        <v>3077</v>
      </c>
      <c r="B109" s="880" t="s">
        <v>3078</v>
      </c>
      <c r="C109" s="879"/>
      <c r="D109" s="879"/>
      <c r="E109" s="879"/>
      <c r="F109" s="879"/>
    </row>
    <row r="110" spans="1:6" x14ac:dyDescent="0.2">
      <c r="A110" s="880" t="s">
        <v>3079</v>
      </c>
      <c r="B110" s="880" t="s">
        <v>3080</v>
      </c>
      <c r="C110" s="878">
        <f>(C108-C109-C53)</f>
        <v>0</v>
      </c>
      <c r="D110" s="878">
        <f>(D108-D109-D53)</f>
        <v>0</v>
      </c>
      <c r="E110" s="878">
        <f>(E108-E109-E53)</f>
        <v>0</v>
      </c>
      <c r="F110" s="878">
        <f>(F108-F109-F53)</f>
        <v>0</v>
      </c>
    </row>
    <row r="111" spans="1:6" x14ac:dyDescent="0.2">
      <c r="A111" s="876" t="s">
        <v>2754</v>
      </c>
      <c r="B111" s="876" t="s">
        <v>3081</v>
      </c>
      <c r="C111" s="875" t="s">
        <v>2038</v>
      </c>
      <c r="D111" s="875" t="s">
        <v>2038</v>
      </c>
      <c r="E111" s="875" t="s">
        <v>2038</v>
      </c>
      <c r="F111" s="875" t="s">
        <v>2038</v>
      </c>
    </row>
    <row r="112" spans="1:6" x14ac:dyDescent="0.2">
      <c r="A112" s="880" t="s">
        <v>3082</v>
      </c>
      <c r="B112" s="880" t="s">
        <v>3083</v>
      </c>
      <c r="C112" s="879"/>
      <c r="D112" s="879"/>
      <c r="E112" s="879"/>
      <c r="F112" s="879"/>
    </row>
    <row r="113" spans="1:6" x14ac:dyDescent="0.2">
      <c r="A113" s="880" t="s">
        <v>3084</v>
      </c>
      <c r="B113" s="880" t="s">
        <v>3085</v>
      </c>
      <c r="C113" s="884">
        <f>Financials_Consolidated!E42</f>
        <v>0</v>
      </c>
      <c r="D113" s="884">
        <f>Financials_Consolidated!D42</f>
        <v>0</v>
      </c>
      <c r="E113" s="884">
        <f>Financials_Consolidated!C42</f>
        <v>0</v>
      </c>
      <c r="F113" s="884">
        <f>Financials_Consolidated!B42</f>
        <v>0</v>
      </c>
    </row>
    <row r="114" spans="1:6" x14ac:dyDescent="0.2">
      <c r="A114" s="880" t="s">
        <v>3086</v>
      </c>
      <c r="B114" s="880" t="s">
        <v>3087</v>
      </c>
      <c r="C114" s="877">
        <f>+Financials_Consolidated!E58</f>
        <v>0</v>
      </c>
      <c r="D114" s="877">
        <f>+Financials_Consolidated!D58</f>
        <v>14223023.390000001</v>
      </c>
      <c r="E114" s="877">
        <f>+Financials_Consolidated!C58</f>
        <v>21720039.760000002</v>
      </c>
      <c r="F114" s="877">
        <f>+Financials_Consolidated!B58</f>
        <v>0</v>
      </c>
    </row>
    <row r="115" spans="1:6" x14ac:dyDescent="0.2">
      <c r="A115" s="880" t="s">
        <v>3088</v>
      </c>
      <c r="B115" s="880" t="s">
        <v>3089</v>
      </c>
      <c r="C115" s="879"/>
      <c r="D115" s="879"/>
      <c r="E115" s="879"/>
      <c r="F115" s="879"/>
    </row>
    <row r="116" spans="1:6" x14ac:dyDescent="0.2">
      <c r="A116" s="880" t="s">
        <v>3090</v>
      </c>
      <c r="B116" s="880" t="s">
        <v>3091</v>
      </c>
      <c r="C116" s="879"/>
      <c r="D116" s="879"/>
      <c r="E116" s="879"/>
      <c r="F116" s="879"/>
    </row>
    <row r="117" spans="1:6" x14ac:dyDescent="0.2">
      <c r="A117" s="880" t="s">
        <v>3092</v>
      </c>
      <c r="B117" s="880" t="s">
        <v>3093</v>
      </c>
      <c r="C117" s="877">
        <f>Financials_Consolidated!E45</f>
        <v>0</v>
      </c>
      <c r="D117" s="877">
        <f>Financials_Consolidated!D45</f>
        <v>9283609.5099999998</v>
      </c>
      <c r="E117" s="877">
        <f>Financials_Consolidated!C45</f>
        <v>9663014.9000000004</v>
      </c>
      <c r="F117" s="877">
        <f>Financials_Consolidated!B45</f>
        <v>0</v>
      </c>
    </row>
    <row r="118" spans="1:6" x14ac:dyDescent="0.2">
      <c r="A118" s="880" t="s">
        <v>3094</v>
      </c>
      <c r="B118" s="880" t="s">
        <v>3095</v>
      </c>
      <c r="C118" s="879"/>
      <c r="D118" s="879"/>
      <c r="E118" s="879"/>
      <c r="F118" s="879"/>
    </row>
    <row r="119" spans="1:6" x14ac:dyDescent="0.2">
      <c r="A119" s="880" t="s">
        <v>3096</v>
      </c>
      <c r="B119" s="880" t="s">
        <v>3097</v>
      </c>
      <c r="C119" s="879"/>
      <c r="D119" s="879"/>
      <c r="E119" s="879"/>
      <c r="F119" s="879"/>
    </row>
    <row r="120" spans="1:6" ht="33.75" x14ac:dyDescent="0.2">
      <c r="A120" s="880" t="s">
        <v>3098</v>
      </c>
      <c r="B120" s="880" t="s">
        <v>3099</v>
      </c>
      <c r="C120" s="884">
        <f>Financials_Consolidated!E50</f>
        <v>0</v>
      </c>
      <c r="D120" s="884">
        <f>Financials_Consolidated!D50</f>
        <v>0</v>
      </c>
      <c r="E120" s="884">
        <f>Financials_Consolidated!C50</f>
        <v>0</v>
      </c>
      <c r="F120" s="884">
        <f>Financials_Consolidated!B50</f>
        <v>0</v>
      </c>
    </row>
    <row r="121" spans="1:6" x14ac:dyDescent="0.2">
      <c r="A121" s="880" t="s">
        <v>3100</v>
      </c>
      <c r="B121" s="880" t="s">
        <v>3101</v>
      </c>
      <c r="C121" s="879"/>
      <c r="D121" s="879"/>
      <c r="E121" s="879"/>
      <c r="F121" s="879"/>
    </row>
    <row r="122" spans="1:6" x14ac:dyDescent="0.2">
      <c r="A122" s="880" t="s">
        <v>3102</v>
      </c>
      <c r="B122" s="880" t="s">
        <v>3103</v>
      </c>
      <c r="C122" s="879"/>
      <c r="D122" s="879"/>
      <c r="E122" s="879"/>
      <c r="F122" s="879"/>
    </row>
    <row r="123" spans="1:6" x14ac:dyDescent="0.2">
      <c r="A123" s="880" t="s">
        <v>3104</v>
      </c>
      <c r="B123" s="880" t="s">
        <v>3105</v>
      </c>
      <c r="C123" s="877">
        <f>Financials_Consolidated!E51</f>
        <v>0</v>
      </c>
      <c r="D123" s="877">
        <f>Financials_Consolidated!D51</f>
        <v>96659687.049999997</v>
      </c>
      <c r="E123" s="877">
        <f>Financials_Consolidated!C51</f>
        <v>98735165.210000008</v>
      </c>
      <c r="F123" s="877">
        <f>Financials_Consolidated!B51</f>
        <v>0</v>
      </c>
    </row>
    <row r="124" spans="1:6" x14ac:dyDescent="0.2">
      <c r="A124" s="880" t="s">
        <v>3106</v>
      </c>
      <c r="B124" s="880" t="s">
        <v>3107</v>
      </c>
      <c r="C124" s="878">
        <f>(C112+C113+C114+C115+C116+C117+C118+C119+C120+C121+C122+C123)</f>
        <v>0</v>
      </c>
      <c r="D124" s="878">
        <f>(D112+D113+D114+D115+D116+D117+D118+D119+D120+D121+D122+D123)</f>
        <v>120166319.94999999</v>
      </c>
      <c r="E124" s="878">
        <f>(E112+E113+E114+E115+E116+E117+E118+E119+E120+E121+E122+E123)</f>
        <v>130118219.87</v>
      </c>
      <c r="F124" s="878">
        <f>(F112+F113+F114+F115+F116+F117+F118+F119+F120+F121+F122+F123)</f>
        <v>0</v>
      </c>
    </row>
    <row r="125" spans="1:6" ht="22.5" x14ac:dyDescent="0.2">
      <c r="A125" s="876" t="s">
        <v>2756</v>
      </c>
      <c r="B125" s="876" t="s">
        <v>3108</v>
      </c>
      <c r="C125" s="875" t="s">
        <v>2038</v>
      </c>
      <c r="D125" s="875" t="s">
        <v>2038</v>
      </c>
      <c r="E125" s="875" t="s">
        <v>2038</v>
      </c>
      <c r="F125" s="875" t="s">
        <v>2038</v>
      </c>
    </row>
    <row r="126" spans="1:6" ht="22.5" x14ac:dyDescent="0.2">
      <c r="A126" s="880" t="s">
        <v>3109</v>
      </c>
      <c r="B126" s="880" t="s">
        <v>3110</v>
      </c>
      <c r="C126" s="879"/>
      <c r="D126" s="879"/>
      <c r="E126" s="879"/>
      <c r="F126" s="879"/>
    </row>
    <row r="127" spans="1:6" x14ac:dyDescent="0.2">
      <c r="A127" s="880" t="s">
        <v>3111</v>
      </c>
      <c r="B127" s="880" t="s">
        <v>3112</v>
      </c>
      <c r="C127" s="879"/>
      <c r="D127" s="879"/>
      <c r="E127" s="879"/>
      <c r="F127" s="879"/>
    </row>
    <row r="128" spans="1:6" x14ac:dyDescent="0.2">
      <c r="A128" s="880" t="s">
        <v>3113</v>
      </c>
      <c r="B128" s="880" t="s">
        <v>2759</v>
      </c>
      <c r="C128" s="878">
        <f>(C126+C127)</f>
        <v>0</v>
      </c>
      <c r="D128" s="878">
        <f>(D126+D127)</f>
        <v>0</v>
      </c>
      <c r="E128" s="878">
        <f>(E126+E127)</f>
        <v>0</v>
      </c>
      <c r="F128" s="878">
        <f>(F126+F127)</f>
        <v>0</v>
      </c>
    </row>
    <row r="129" spans="1:6" x14ac:dyDescent="0.2">
      <c r="A129" s="876" t="s">
        <v>2758</v>
      </c>
      <c r="B129" s="876" t="s">
        <v>3114</v>
      </c>
      <c r="C129" s="878">
        <f>(C99+C110+C124+C128)</f>
        <v>0</v>
      </c>
      <c r="D129" s="878">
        <f>(D99+D110+D124+D128)</f>
        <v>215138385.33999997</v>
      </c>
      <c r="E129" s="878">
        <f>(E99+E110+E124+E128)</f>
        <v>226426906.49000001</v>
      </c>
      <c r="F129" s="878">
        <f>(F99+F110+F124+F128)</f>
        <v>0</v>
      </c>
    </row>
    <row r="130" spans="1:6" x14ac:dyDescent="0.2">
      <c r="A130" s="876" t="s">
        <v>2760</v>
      </c>
      <c r="B130" s="876" t="s">
        <v>3115</v>
      </c>
      <c r="C130" s="878">
        <f>(C60-C53-C128)</f>
        <v>0</v>
      </c>
      <c r="D130" s="878">
        <f>(D60-D53-D128)</f>
        <v>0</v>
      </c>
      <c r="E130" s="878">
        <f>(E60-E53-E128)</f>
        <v>0</v>
      </c>
      <c r="F130" s="878">
        <f>(F60-F53-F128)</f>
        <v>0</v>
      </c>
    </row>
    <row r="131" spans="1:6" x14ac:dyDescent="0.2">
      <c r="A131" s="876" t="s">
        <v>2762</v>
      </c>
      <c r="B131" s="876" t="s">
        <v>3116</v>
      </c>
      <c r="C131" s="878">
        <f>(C61-C129)</f>
        <v>0</v>
      </c>
      <c r="D131" s="878">
        <f>(D61-D129)</f>
        <v>-9612350.6099999547</v>
      </c>
      <c r="E131" s="878">
        <f>(E61-E129)</f>
        <v>5673090.5400000215</v>
      </c>
      <c r="F131" s="878">
        <f>(F61-F129)</f>
        <v>0</v>
      </c>
    </row>
  </sheetData>
  <pageMargins left="0.7" right="0.7" top="0.75" bottom="0.75" header="0.3" footer="0.3"/>
  <pageSetup paperSize="9" orientation="portrait" r:id="rId1"/>
  <headerFooter>
    <oddFooter>&amp;C&amp;1#&amp;"Calibri"&amp;10&amp;K000000 For internal use only</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4"/>
  <dimension ref="B1:D11"/>
  <sheetViews>
    <sheetView showGridLines="0" workbookViewId="0">
      <selection activeCell="R1" sqref="R1:R1048576"/>
    </sheetView>
  </sheetViews>
  <sheetFormatPr defaultRowHeight="12.75" x14ac:dyDescent="0.2"/>
  <cols>
    <col min="1" max="1" width="4" customWidth="1"/>
    <col min="2" max="2" width="25.28515625" bestFit="1" customWidth="1"/>
    <col min="3" max="3" width="29.7109375" customWidth="1"/>
  </cols>
  <sheetData>
    <row r="1" spans="2:4" ht="13.5" thickBot="1" x14ac:dyDescent="0.25"/>
    <row r="2" spans="2:4" ht="13.5" thickBot="1" x14ac:dyDescent="0.25">
      <c r="B2" s="490" t="s">
        <v>2040</v>
      </c>
      <c r="C2" s="675" t="s">
        <v>2041</v>
      </c>
      <c r="D2" s="670" t="s">
        <v>1658</v>
      </c>
    </row>
    <row r="3" spans="2:4" x14ac:dyDescent="0.2">
      <c r="B3" s="491" t="s">
        <v>2042</v>
      </c>
      <c r="C3" s="676"/>
      <c r="D3" s="671"/>
    </row>
    <row r="4" spans="2:4" x14ac:dyDescent="0.2">
      <c r="B4" s="389"/>
      <c r="C4" s="677"/>
      <c r="D4" s="672"/>
    </row>
    <row r="5" spans="2:4" x14ac:dyDescent="0.2">
      <c r="B5" s="492" t="s">
        <v>2043</v>
      </c>
      <c r="C5" s="678" t="s">
        <v>3581</v>
      </c>
      <c r="D5" s="673" t="s">
        <v>609</v>
      </c>
    </row>
    <row r="6" spans="2:4" x14ac:dyDescent="0.2">
      <c r="B6" s="389"/>
      <c r="C6" s="677"/>
      <c r="D6" s="672"/>
    </row>
    <row r="7" spans="2:4" ht="13.5" thickBot="1" x14ac:dyDescent="0.25">
      <c r="B7" s="493" t="s">
        <v>2044</v>
      </c>
      <c r="C7" s="678" t="s">
        <v>609</v>
      </c>
      <c r="D7" s="674" t="s">
        <v>3582</v>
      </c>
    </row>
    <row r="8" spans="2:4" x14ac:dyDescent="0.2">
      <c r="B8" s="389"/>
      <c r="C8" s="677"/>
      <c r="D8" s="672"/>
    </row>
    <row r="9" spans="2:4" ht="13.5" thickBot="1" x14ac:dyDescent="0.25">
      <c r="B9" s="494" t="s">
        <v>2045</v>
      </c>
      <c r="C9" s="679" t="s">
        <v>3580</v>
      </c>
      <c r="D9" s="674" t="s">
        <v>3582</v>
      </c>
    </row>
    <row r="10" spans="2:4" x14ac:dyDescent="0.2">
      <c r="C10" s="1538" t="s">
        <v>2038</v>
      </c>
    </row>
    <row r="11" spans="2:4" x14ac:dyDescent="0.2">
      <c r="B11" s="162"/>
    </row>
  </sheetData>
  <pageMargins left="0.7" right="0.7" top="0.75" bottom="0.75" header="0.3" footer="0.3"/>
  <pageSetup paperSize="9" scale="80" orientation="portrait" r:id="rId1"/>
  <headerFooter>
    <oddFooter>&amp;C&amp;1#&amp;"Calibri"&amp;10&amp;K000000 For internal use only</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pageSetUpPr fitToPage="1"/>
  </sheetPr>
  <dimension ref="B1:H61"/>
  <sheetViews>
    <sheetView zoomScaleNormal="100" zoomScaleSheetLayoutView="100" workbookViewId="0">
      <selection activeCell="R1" sqref="R1:R1048576"/>
    </sheetView>
  </sheetViews>
  <sheetFormatPr defaultColWidth="9.140625" defaultRowHeight="15" x14ac:dyDescent="0.2"/>
  <cols>
    <col min="1" max="1" width="5.42578125" style="513" customWidth="1"/>
    <col min="2" max="2" width="44.5703125" style="513" customWidth="1"/>
    <col min="3" max="3" width="60.85546875" style="513" customWidth="1"/>
    <col min="4" max="16384" width="9.140625" style="513"/>
  </cols>
  <sheetData>
    <row r="1" spans="2:8" ht="15.75" customHeight="1" x14ac:dyDescent="0.2">
      <c r="B1" s="1671" t="str">
        <f>'Borrower Details'!A2</f>
        <v>Mortgage-Magnus-Unsecured</v>
      </c>
      <c r="C1" s="2136" t="s">
        <v>3</v>
      </c>
      <c r="E1" s="2135" t="s">
        <v>506</v>
      </c>
      <c r="F1" s="2135"/>
      <c r="G1" s="2135"/>
      <c r="H1" s="2135"/>
    </row>
    <row r="2" spans="2:8" ht="15.75" customHeight="1" x14ac:dyDescent="0.2">
      <c r="B2" s="1946"/>
      <c r="C2" s="2137"/>
      <c r="E2" s="2135"/>
      <c r="F2" s="2135"/>
      <c r="G2" s="2135"/>
      <c r="H2" s="2135"/>
    </row>
    <row r="3" spans="2:8" ht="15.75" customHeight="1" x14ac:dyDescent="0.2">
      <c r="B3" s="1948"/>
      <c r="C3" s="2138"/>
      <c r="E3" s="2135"/>
      <c r="F3" s="2135"/>
      <c r="G3" s="2135"/>
      <c r="H3" s="2135"/>
    </row>
    <row r="4" spans="2:8" s="562" customFormat="1" ht="12.75" x14ac:dyDescent="0.2">
      <c r="B4" s="2139" t="s">
        <v>2501</v>
      </c>
      <c r="C4" s="2140"/>
    </row>
    <row r="5" spans="2:8" s="562" customFormat="1" ht="12.75" x14ac:dyDescent="0.2">
      <c r="B5" s="563" t="s">
        <v>498</v>
      </c>
      <c r="C5" s="620"/>
    </row>
    <row r="6" spans="2:8" s="562" customFormat="1" ht="13.5" thickBot="1" x14ac:dyDescent="0.25">
      <c r="B6" s="563" t="s">
        <v>507</v>
      </c>
      <c r="C6" s="621"/>
    </row>
    <row r="7" spans="2:8" s="562" customFormat="1" ht="13.5" thickBot="1" x14ac:dyDescent="0.25">
      <c r="B7" s="2133" t="s">
        <v>497</v>
      </c>
      <c r="C7" s="2134"/>
    </row>
    <row r="8" spans="2:8" s="562" customFormat="1" ht="12.75" x14ac:dyDescent="0.2">
      <c r="B8" s="564" t="s">
        <v>515</v>
      </c>
      <c r="C8" s="565"/>
    </row>
    <row r="9" spans="2:8" s="562" customFormat="1" ht="12.75" x14ac:dyDescent="0.2">
      <c r="B9" s="566" t="s">
        <v>509</v>
      </c>
      <c r="C9" s="567"/>
    </row>
    <row r="10" spans="2:8" s="562" customFormat="1" ht="12.75" x14ac:dyDescent="0.2">
      <c r="B10" s="566" t="s">
        <v>682</v>
      </c>
      <c r="C10" s="567"/>
    </row>
    <row r="11" spans="2:8" s="562" customFormat="1" ht="12.75" x14ac:dyDescent="0.2">
      <c r="B11" s="566" t="s">
        <v>510</v>
      </c>
      <c r="C11" s="567"/>
      <c r="D11" s="568"/>
      <c r="E11" s="568"/>
      <c r="F11" s="568"/>
      <c r="G11" s="568"/>
      <c r="H11" s="568"/>
    </row>
    <row r="12" spans="2:8" s="562" customFormat="1" ht="12.75" x14ac:dyDescent="0.2">
      <c r="B12" s="566" t="s">
        <v>683</v>
      </c>
      <c r="C12" s="567"/>
    </row>
    <row r="13" spans="2:8" s="562" customFormat="1" ht="12.75" x14ac:dyDescent="0.2">
      <c r="B13" s="566" t="s">
        <v>511</v>
      </c>
      <c r="C13" s="567"/>
    </row>
    <row r="14" spans="2:8" s="562" customFormat="1" ht="12.75" x14ac:dyDescent="0.2">
      <c r="B14" s="569" t="s">
        <v>512</v>
      </c>
      <c r="C14" s="570" t="s">
        <v>513</v>
      </c>
    </row>
    <row r="15" spans="2:8" s="562" customFormat="1" ht="13.5" thickBot="1" x14ac:dyDescent="0.25">
      <c r="B15" s="571" t="s">
        <v>514</v>
      </c>
      <c r="C15" s="572"/>
    </row>
    <row r="16" spans="2:8" s="562" customFormat="1" ht="13.5" thickBot="1" x14ac:dyDescent="0.25">
      <c r="B16" s="566"/>
      <c r="C16" s="567"/>
    </row>
    <row r="17" spans="2:8" s="562" customFormat="1" ht="12.75" x14ac:dyDescent="0.2">
      <c r="B17" s="564" t="s">
        <v>515</v>
      </c>
      <c r="C17" s="565"/>
    </row>
    <row r="18" spans="2:8" s="562" customFormat="1" ht="12.75" x14ac:dyDescent="0.2">
      <c r="B18" s="566" t="s">
        <v>509</v>
      </c>
      <c r="C18" s="573"/>
      <c r="D18" s="568"/>
      <c r="E18" s="568"/>
      <c r="F18" s="568"/>
      <c r="G18" s="568"/>
      <c r="H18" s="568"/>
    </row>
    <row r="19" spans="2:8" s="562" customFormat="1" ht="12.75" x14ac:dyDescent="0.2">
      <c r="B19" s="566" t="s">
        <v>682</v>
      </c>
      <c r="C19" s="567"/>
    </row>
    <row r="20" spans="2:8" s="562" customFormat="1" ht="12.75" x14ac:dyDescent="0.2">
      <c r="B20" s="566" t="s">
        <v>510</v>
      </c>
      <c r="C20" s="567"/>
    </row>
    <row r="21" spans="2:8" s="562" customFormat="1" ht="12.75" x14ac:dyDescent="0.2">
      <c r="B21" s="566" t="s">
        <v>683</v>
      </c>
      <c r="C21" s="567"/>
    </row>
    <row r="22" spans="2:8" s="562" customFormat="1" ht="12.75" x14ac:dyDescent="0.2">
      <c r="B22" s="566" t="s">
        <v>511</v>
      </c>
      <c r="C22" s="567"/>
    </row>
    <row r="23" spans="2:8" s="562" customFormat="1" ht="12.75" x14ac:dyDescent="0.2">
      <c r="B23" s="569" t="s">
        <v>512</v>
      </c>
      <c r="C23" s="570" t="s">
        <v>513</v>
      </c>
    </row>
    <row r="24" spans="2:8" s="562" customFormat="1" ht="13.5" thickBot="1" x14ac:dyDescent="0.25">
      <c r="B24" s="571" t="s">
        <v>514</v>
      </c>
      <c r="C24" s="572"/>
    </row>
    <row r="25" spans="2:8" s="562" customFormat="1" ht="13.5" thickBot="1" x14ac:dyDescent="0.25">
      <c r="B25" s="566"/>
      <c r="C25" s="567"/>
    </row>
    <row r="26" spans="2:8" s="562" customFormat="1" ht="12.75" x14ac:dyDescent="0.2">
      <c r="B26" s="564" t="s">
        <v>515</v>
      </c>
      <c r="C26" s="565" t="s">
        <v>508</v>
      </c>
    </row>
    <row r="27" spans="2:8" s="562" customFormat="1" ht="12.75" x14ac:dyDescent="0.2">
      <c r="B27" s="566" t="s">
        <v>509</v>
      </c>
      <c r="C27" s="567"/>
    </row>
    <row r="28" spans="2:8" s="562" customFormat="1" ht="12.75" x14ac:dyDescent="0.2">
      <c r="B28" s="566" t="s">
        <v>682</v>
      </c>
      <c r="C28" s="567"/>
    </row>
    <row r="29" spans="2:8" s="562" customFormat="1" ht="12.75" x14ac:dyDescent="0.2">
      <c r="B29" s="566" t="s">
        <v>510</v>
      </c>
      <c r="C29" s="567"/>
    </row>
    <row r="30" spans="2:8" s="562" customFormat="1" ht="12.75" x14ac:dyDescent="0.2">
      <c r="B30" s="566" t="s">
        <v>683</v>
      </c>
      <c r="C30" s="567"/>
    </row>
    <row r="31" spans="2:8" s="562" customFormat="1" ht="12.75" x14ac:dyDescent="0.2">
      <c r="B31" s="566" t="s">
        <v>511</v>
      </c>
      <c r="C31" s="567"/>
    </row>
    <row r="32" spans="2:8" s="562" customFormat="1" ht="12.75" x14ac:dyDescent="0.2">
      <c r="B32" s="569" t="s">
        <v>512</v>
      </c>
      <c r="C32" s="570" t="s">
        <v>513</v>
      </c>
    </row>
    <row r="33" spans="2:3" s="562" customFormat="1" ht="13.5" thickBot="1" x14ac:dyDescent="0.25">
      <c r="B33" s="571" t="s">
        <v>514</v>
      </c>
      <c r="C33" s="572"/>
    </row>
    <row r="34" spans="2:3" s="562" customFormat="1" ht="13.5" thickBot="1" x14ac:dyDescent="0.25">
      <c r="B34" s="566"/>
      <c r="C34" s="567"/>
    </row>
    <row r="35" spans="2:3" s="562" customFormat="1" ht="13.5" thickBot="1" x14ac:dyDescent="0.25">
      <c r="B35" s="2133" t="s">
        <v>516</v>
      </c>
      <c r="C35" s="2134"/>
    </row>
    <row r="36" spans="2:3" s="562" customFormat="1" ht="12.75" x14ac:dyDescent="0.2">
      <c r="B36" s="564" t="s">
        <v>515</v>
      </c>
      <c r="C36" s="565"/>
    </row>
    <row r="37" spans="2:3" s="562" customFormat="1" ht="12.75" x14ac:dyDescent="0.2">
      <c r="B37" s="566" t="s">
        <v>509</v>
      </c>
      <c r="C37" s="567"/>
    </row>
    <row r="38" spans="2:3" s="562" customFormat="1" ht="12.75" x14ac:dyDescent="0.2">
      <c r="B38" s="566" t="s">
        <v>682</v>
      </c>
      <c r="C38" s="567"/>
    </row>
    <row r="39" spans="2:3" s="562" customFormat="1" ht="12.75" x14ac:dyDescent="0.2">
      <c r="B39" s="566" t="s">
        <v>510</v>
      </c>
      <c r="C39" s="567"/>
    </row>
    <row r="40" spans="2:3" s="562" customFormat="1" ht="12.75" x14ac:dyDescent="0.2">
      <c r="B40" s="566" t="s">
        <v>684</v>
      </c>
      <c r="C40" s="567"/>
    </row>
    <row r="41" spans="2:3" s="562" customFormat="1" ht="12.75" x14ac:dyDescent="0.2">
      <c r="B41" s="566" t="s">
        <v>511</v>
      </c>
      <c r="C41" s="567"/>
    </row>
    <row r="42" spans="2:3" s="562" customFormat="1" ht="12.75" x14ac:dyDescent="0.2">
      <c r="B42" s="569" t="s">
        <v>512</v>
      </c>
      <c r="C42" s="570" t="s">
        <v>513</v>
      </c>
    </row>
    <row r="43" spans="2:3" s="562" customFormat="1" ht="13.5" thickBot="1" x14ac:dyDescent="0.25">
      <c r="B43" s="571" t="s">
        <v>514</v>
      </c>
      <c r="C43" s="574"/>
    </row>
    <row r="44" spans="2:3" s="562" customFormat="1" ht="13.5" thickBot="1" x14ac:dyDescent="0.25">
      <c r="B44" s="566"/>
      <c r="C44" s="567"/>
    </row>
    <row r="45" spans="2:3" s="562" customFormat="1" ht="12.75" x14ac:dyDescent="0.2">
      <c r="B45" s="564" t="s">
        <v>515</v>
      </c>
      <c r="C45" s="565"/>
    </row>
    <row r="46" spans="2:3" s="562" customFormat="1" ht="12.75" x14ac:dyDescent="0.2">
      <c r="B46" s="566" t="s">
        <v>509</v>
      </c>
      <c r="C46" s="567"/>
    </row>
    <row r="47" spans="2:3" s="562" customFormat="1" ht="12.75" x14ac:dyDescent="0.2">
      <c r="B47" s="566" t="s">
        <v>682</v>
      </c>
      <c r="C47" s="567"/>
    </row>
    <row r="48" spans="2:3" s="562" customFormat="1" ht="12.75" x14ac:dyDescent="0.2">
      <c r="B48" s="566" t="s">
        <v>510</v>
      </c>
      <c r="C48" s="567"/>
    </row>
    <row r="49" spans="2:3" s="562" customFormat="1" ht="12.75" x14ac:dyDescent="0.2">
      <c r="B49" s="566" t="s">
        <v>684</v>
      </c>
      <c r="C49" s="567"/>
    </row>
    <row r="50" spans="2:3" s="562" customFormat="1" ht="12.75" x14ac:dyDescent="0.2">
      <c r="B50" s="566" t="s">
        <v>511</v>
      </c>
      <c r="C50" s="567"/>
    </row>
    <row r="51" spans="2:3" s="562" customFormat="1" ht="12.75" x14ac:dyDescent="0.2">
      <c r="B51" s="569" t="s">
        <v>512</v>
      </c>
      <c r="C51" s="570" t="s">
        <v>513</v>
      </c>
    </row>
    <row r="52" spans="2:3" s="562" customFormat="1" ht="13.5" thickBot="1" x14ac:dyDescent="0.25">
      <c r="B52" s="571" t="s">
        <v>514</v>
      </c>
      <c r="C52" s="574"/>
    </row>
    <row r="53" spans="2:3" s="562" customFormat="1" ht="13.5" thickBot="1" x14ac:dyDescent="0.25">
      <c r="B53" s="566"/>
      <c r="C53" s="567"/>
    </row>
    <row r="54" spans="2:3" s="562" customFormat="1" ht="12.75" x14ac:dyDescent="0.2">
      <c r="B54" s="564" t="s">
        <v>515</v>
      </c>
      <c r="C54" s="565"/>
    </row>
    <row r="55" spans="2:3" s="562" customFormat="1" ht="12.75" x14ac:dyDescent="0.2">
      <c r="B55" s="566" t="s">
        <v>509</v>
      </c>
      <c r="C55" s="567"/>
    </row>
    <row r="56" spans="2:3" s="562" customFormat="1" ht="12.75" x14ac:dyDescent="0.2">
      <c r="B56" s="566" t="s">
        <v>682</v>
      </c>
      <c r="C56" s="567"/>
    </row>
    <row r="57" spans="2:3" s="562" customFormat="1" ht="12.75" x14ac:dyDescent="0.2">
      <c r="B57" s="566" t="s">
        <v>510</v>
      </c>
      <c r="C57" s="567"/>
    </row>
    <row r="58" spans="2:3" s="562" customFormat="1" ht="12.75" x14ac:dyDescent="0.2">
      <c r="B58" s="566" t="s">
        <v>684</v>
      </c>
      <c r="C58" s="567"/>
    </row>
    <row r="59" spans="2:3" s="562" customFormat="1" ht="12.75" x14ac:dyDescent="0.2">
      <c r="B59" s="566" t="s">
        <v>511</v>
      </c>
      <c r="C59" s="567"/>
    </row>
    <row r="60" spans="2:3" s="562" customFormat="1" ht="12.75" x14ac:dyDescent="0.2">
      <c r="B60" s="569" t="s">
        <v>512</v>
      </c>
      <c r="C60" s="570" t="s">
        <v>513</v>
      </c>
    </row>
    <row r="61" spans="2:3" s="562" customFormat="1" ht="13.5" thickBot="1" x14ac:dyDescent="0.25">
      <c r="B61" s="571" t="s">
        <v>514</v>
      </c>
      <c r="C61" s="574"/>
    </row>
  </sheetData>
  <sheetProtection formatCells="0" formatColumns="0" formatRows="0" selectLockedCells="1"/>
  <mergeCells count="6">
    <mergeCell ref="B35:C35"/>
    <mergeCell ref="E1:H3"/>
    <mergeCell ref="C1:C3"/>
    <mergeCell ref="B1:B3"/>
    <mergeCell ref="B7:C7"/>
    <mergeCell ref="B4:C4"/>
  </mergeCells>
  <pageMargins left="0.25" right="0.36" top="0.36" bottom="0.39" header="0.3" footer="0.3"/>
  <pageSetup paperSize="9" scale="94"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colBreaks count="1" manualBreakCount="1">
    <brk id="3" max="66" man="1"/>
  </col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
    <pageSetUpPr fitToPage="1"/>
  </sheetPr>
  <dimension ref="B1:F20"/>
  <sheetViews>
    <sheetView zoomScale="90" zoomScaleNormal="90" workbookViewId="0">
      <selection activeCell="R1" sqref="R1:R1048576"/>
    </sheetView>
  </sheetViews>
  <sheetFormatPr defaultColWidth="9.140625" defaultRowHeight="12.75" x14ac:dyDescent="0.2"/>
  <cols>
    <col min="1" max="1" width="1.5703125" style="119" customWidth="1"/>
    <col min="2" max="2" width="52.5703125" style="119" customWidth="1"/>
    <col min="3" max="3" width="30.28515625" style="119" customWidth="1"/>
    <col min="4" max="4" width="2.28515625" style="119" customWidth="1"/>
    <col min="5" max="5" width="38.42578125" style="119" customWidth="1"/>
    <col min="6" max="6" width="26.42578125" style="119" customWidth="1"/>
    <col min="7" max="16384" width="9.140625" style="119"/>
  </cols>
  <sheetData>
    <row r="1" spans="2:6" ht="16.5" x14ac:dyDescent="0.2">
      <c r="B1" s="2141" t="str">
        <f>'Borrower Details'!A2</f>
        <v>Mortgage-Magnus-Unsecured</v>
      </c>
      <c r="C1" s="978"/>
      <c r="D1" s="581"/>
      <c r="E1" s="581"/>
      <c r="F1" s="581"/>
    </row>
    <row r="2" spans="2:6" ht="16.5" x14ac:dyDescent="0.2">
      <c r="B2" s="2142"/>
      <c r="C2" s="979" t="s">
        <v>3</v>
      </c>
      <c r="D2" s="581"/>
      <c r="E2" s="581"/>
      <c r="F2" s="581"/>
    </row>
    <row r="3" spans="2:6" ht="16.5" x14ac:dyDescent="0.2">
      <c r="B3" s="2143"/>
      <c r="C3" s="980"/>
      <c r="D3" s="581"/>
      <c r="E3" s="581"/>
      <c r="F3" s="581"/>
    </row>
    <row r="4" spans="2:6" ht="15" x14ac:dyDescent="0.2">
      <c r="B4" s="2144" t="s">
        <v>2501</v>
      </c>
      <c r="C4" s="2145"/>
      <c r="D4" s="581"/>
      <c r="E4" s="581"/>
      <c r="F4" s="581"/>
    </row>
    <row r="5" spans="2:6" ht="15.75" x14ac:dyDescent="0.2">
      <c r="B5" s="2102" t="s">
        <v>413</v>
      </c>
      <c r="C5" s="2103"/>
      <c r="D5" s="581"/>
      <c r="E5" s="581"/>
      <c r="F5" s="581"/>
    </row>
    <row r="6" spans="2:6" ht="41.25" customHeight="1" x14ac:dyDescent="0.2">
      <c r="B6" s="21" t="str">
        <f>'Borrower Details'!A8</f>
        <v>Name of  Main Applicant</v>
      </c>
      <c r="C6" s="37" t="str">
        <f>'Borrower Details'!B8</f>
        <v>AARBUR</v>
      </c>
      <c r="D6" s="581"/>
      <c r="E6" s="981" t="s">
        <v>231</v>
      </c>
      <c r="F6" s="988">
        <f>Financials_Consolidated!C7</f>
        <v>43921</v>
      </c>
    </row>
    <row r="7" spans="2:6" x14ac:dyDescent="0.2">
      <c r="B7" s="982" t="s">
        <v>20</v>
      </c>
      <c r="C7" s="983" t="s">
        <v>404</v>
      </c>
      <c r="D7" s="581"/>
      <c r="E7" s="90" t="s">
        <v>40</v>
      </c>
      <c r="F7" s="54">
        <f>Financials_Consolidated!C32</f>
        <v>-7691621.5399999935</v>
      </c>
    </row>
    <row r="8" spans="2:6" ht="12.75" customHeight="1" x14ac:dyDescent="0.2">
      <c r="B8" s="984" t="s">
        <v>415</v>
      </c>
      <c r="C8" s="987">
        <f>Financials_Consolidated!C11</f>
        <v>67905203.25</v>
      </c>
      <c r="D8" s="581"/>
      <c r="E8" s="90" t="s">
        <v>9</v>
      </c>
      <c r="F8" s="54">
        <f>Financials_Consolidated!C27+Financials_Consolidated!C28</f>
        <v>1989388</v>
      </c>
    </row>
    <row r="9" spans="2:6" ht="12.75" customHeight="1" x14ac:dyDescent="0.2">
      <c r="B9" s="984" t="s">
        <v>414</v>
      </c>
      <c r="C9" s="575"/>
      <c r="D9" s="581"/>
      <c r="E9" s="90" t="s">
        <v>234</v>
      </c>
      <c r="F9" s="54">
        <f>Financials_Consolidated!C22</f>
        <v>0</v>
      </c>
    </row>
    <row r="10" spans="2:6" ht="12.75" customHeight="1" x14ac:dyDescent="0.2">
      <c r="B10" s="985" t="s">
        <v>412</v>
      </c>
      <c r="C10" s="576" t="str">
        <f>IF(C9="Doctor",4,IF(C9="CA",2,IF(C9="Architect",2,"Check")))</f>
        <v>Check</v>
      </c>
      <c r="D10" s="581"/>
      <c r="E10" s="90" t="s">
        <v>82</v>
      </c>
      <c r="F10" s="54">
        <f>Financials_Consolidated!C23</f>
        <v>0</v>
      </c>
    </row>
    <row r="11" spans="2:6" ht="12.75" customHeight="1" x14ac:dyDescent="0.2">
      <c r="B11" s="986" t="s">
        <v>416</v>
      </c>
      <c r="C11" s="576" t="e">
        <f>C8*C10</f>
        <v>#VALUE!</v>
      </c>
      <c r="D11" s="581"/>
      <c r="E11" s="90" t="s">
        <v>245</v>
      </c>
      <c r="F11" s="54">
        <f>F7+F8+F9+F10</f>
        <v>-5702233.5399999935</v>
      </c>
    </row>
    <row r="12" spans="2:6" ht="12.75" customHeight="1" x14ac:dyDescent="0.2">
      <c r="B12" s="986" t="s">
        <v>405</v>
      </c>
      <c r="C12" s="57"/>
      <c r="D12" s="581"/>
      <c r="E12" s="581"/>
      <c r="F12" s="581"/>
    </row>
    <row r="13" spans="2:6" ht="12.75" customHeight="1" x14ac:dyDescent="0.2">
      <c r="B13" s="986" t="s">
        <v>417</v>
      </c>
      <c r="C13" s="57">
        <v>180</v>
      </c>
      <c r="D13" s="581"/>
      <c r="E13" s="581"/>
      <c r="F13" s="581"/>
    </row>
    <row r="14" spans="2:6" ht="12.75" customHeight="1" x14ac:dyDescent="0.2">
      <c r="B14" s="986" t="s">
        <v>406</v>
      </c>
      <c r="C14" s="577">
        <v>0.1</v>
      </c>
      <c r="D14" s="581"/>
      <c r="E14" s="91" t="s">
        <v>429</v>
      </c>
      <c r="F14" s="581"/>
    </row>
    <row r="15" spans="2:6" ht="12.75" customHeight="1" x14ac:dyDescent="0.2">
      <c r="B15" s="986" t="s">
        <v>418</v>
      </c>
      <c r="C15" s="576">
        <f>ROUND(-PMT(C14/12,C13,100000),0)</f>
        <v>1075</v>
      </c>
      <c r="D15" s="581"/>
      <c r="E15" s="986" t="s">
        <v>233</v>
      </c>
      <c r="F15" s="55">
        <f>F11</f>
        <v>-5702233.5399999935</v>
      </c>
    </row>
    <row r="16" spans="2:6" ht="12.75" customHeight="1" x14ac:dyDescent="0.2">
      <c r="B16" s="986" t="s">
        <v>419</v>
      </c>
      <c r="C16" s="576">
        <f>C15*C12/100000</f>
        <v>0</v>
      </c>
      <c r="D16" s="581"/>
      <c r="E16" s="578" t="s">
        <v>427</v>
      </c>
      <c r="F16" s="56">
        <f>'EMI Chart'!I43*12</f>
        <v>1159320</v>
      </c>
    </row>
    <row r="17" spans="2:6" ht="12.75" customHeight="1" x14ac:dyDescent="0.2">
      <c r="B17" s="581"/>
      <c r="C17" s="581"/>
      <c r="D17" s="581"/>
      <c r="E17" s="578" t="s">
        <v>428</v>
      </c>
      <c r="F17" s="56" t="str">
        <f>IF(F15&gt;F16,"Yes","No")</f>
        <v>No</v>
      </c>
    </row>
    <row r="18" spans="2:6" ht="12.75" customHeight="1" x14ac:dyDescent="0.2">
      <c r="B18" s="90" t="s">
        <v>479</v>
      </c>
      <c r="C18" s="55">
        <f>Financials_Consolidated!C11</f>
        <v>67905203.25</v>
      </c>
      <c r="D18" s="581"/>
      <c r="E18" s="581"/>
      <c r="F18" s="581"/>
    </row>
    <row r="19" spans="2:6" ht="12.75" customHeight="1" x14ac:dyDescent="0.2">
      <c r="B19" s="581"/>
      <c r="C19" s="581"/>
      <c r="D19" s="581"/>
      <c r="E19" s="581"/>
      <c r="F19" s="581"/>
    </row>
    <row r="20" spans="2:6" ht="12.75" customHeight="1" x14ac:dyDescent="0.2">
      <c r="B20" s="581"/>
      <c r="C20" s="581"/>
      <c r="D20" s="581"/>
      <c r="E20" s="581"/>
      <c r="F20" s="581"/>
    </row>
  </sheetData>
  <sheetProtection algorithmName="SHA-512" hashValue="ZJFFvgE4idsA2u4fldf52GzJ+fIS8fu6fMxI74wJiw1QLKpFzfiL9hHsI3Ug/RICF6n3JwjwVTk56H+2aWtmEg==" saltValue="a76SO5uE52wBx1aZQ/fW1Q==" spinCount="100000" sheet="1" formatCells="0" formatColumns="0" formatRows="0" insertColumns="0" insertRows="0" insertHyperlinks="0" deleteColumns="0" deleteRows="0" autoFilter="0"/>
  <mergeCells count="3">
    <mergeCell ref="B5:C5"/>
    <mergeCell ref="B1:B3"/>
    <mergeCell ref="B4:C4"/>
  </mergeCells>
  <conditionalFormatting sqref="F17">
    <cfRule type="cellIs" dxfId="294" priority="1" operator="equal">
      <formula>"No"</formula>
    </cfRule>
    <cfRule type="cellIs" dxfId="293" priority="2" operator="equal">
      <formula>"No"</formula>
    </cfRule>
    <cfRule type="cellIs" dxfId="292" priority="3" operator="equal">
      <formula>"Yes"</formula>
    </cfRule>
  </conditionalFormatting>
  <dataValidations count="1">
    <dataValidation type="list" allowBlank="1" showInputMessage="1" showErrorMessage="1" sqref="C9" xr:uid="{00000000-0002-0000-2300-000000000000}">
      <formula1>"Doctor, CA, Architect"</formula1>
    </dataValidation>
  </dataValidations>
  <pageMargins left="0.7" right="0.7" top="0.75" bottom="0.75" header="0.3" footer="0.3"/>
  <pageSetup paperSize="9" scale="89"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C15" unlockedFormula="1"/>
  </ignoredError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
  <dimension ref="B1:R153"/>
  <sheetViews>
    <sheetView zoomScale="80" zoomScaleNormal="80" workbookViewId="0">
      <selection activeCell="R1" sqref="R1:R1048576"/>
    </sheetView>
  </sheetViews>
  <sheetFormatPr defaultColWidth="9.140625" defaultRowHeight="12.75" x14ac:dyDescent="0.2"/>
  <cols>
    <col min="1" max="1" width="3.85546875" style="119" customWidth="1"/>
    <col min="2" max="2" width="44" style="119" bestFit="1" customWidth="1"/>
    <col min="3" max="3" width="26" style="119" customWidth="1"/>
    <col min="4" max="4" width="24.85546875" style="119" customWidth="1"/>
    <col min="5" max="5" width="13.85546875" style="119" customWidth="1"/>
    <col min="6" max="6" width="15.85546875" style="119" bestFit="1" customWidth="1"/>
    <col min="7" max="7" width="16" style="119" customWidth="1"/>
    <col min="8" max="8" width="16.7109375" style="119" bestFit="1" customWidth="1"/>
    <col min="9" max="9" width="14.140625" style="119" bestFit="1" customWidth="1"/>
    <col min="10" max="15" width="9.140625" style="119"/>
    <col min="16" max="16" width="54.85546875" style="119" bestFit="1" customWidth="1"/>
    <col min="17" max="17" width="10.7109375" style="119" bestFit="1" customWidth="1"/>
    <col min="18" max="16384" width="9.140625" style="119"/>
  </cols>
  <sheetData>
    <row r="1" spans="2:18" ht="14.25" customHeight="1" x14ac:dyDescent="0.2">
      <c r="B1" s="2141" t="str">
        <f>'Borrower Details'!A2</f>
        <v>Mortgage-Magnus-Unsecured</v>
      </c>
      <c r="C1" s="2152"/>
      <c r="D1" s="978"/>
      <c r="E1" s="978"/>
      <c r="F1" s="934"/>
      <c r="G1" s="581"/>
      <c r="H1" s="581"/>
      <c r="I1" s="581"/>
      <c r="J1" s="581"/>
      <c r="K1" s="581"/>
      <c r="L1" s="581"/>
      <c r="M1" s="581"/>
      <c r="N1" s="581"/>
      <c r="O1" s="581"/>
      <c r="P1" s="581"/>
      <c r="Q1" s="581"/>
      <c r="R1" s="581"/>
    </row>
    <row r="2" spans="2:18" ht="16.5" x14ac:dyDescent="0.25">
      <c r="B2" s="2142"/>
      <c r="C2" s="2153"/>
      <c r="D2" s="989"/>
      <c r="E2" s="990" t="s">
        <v>3</v>
      </c>
      <c r="F2" s="991"/>
      <c r="G2" s="581"/>
      <c r="H2" s="581"/>
      <c r="I2" s="581"/>
      <c r="J2" s="581"/>
      <c r="K2" s="581"/>
      <c r="L2" s="581"/>
      <c r="M2" s="581"/>
      <c r="N2" s="581"/>
      <c r="O2" s="579" t="s">
        <v>211</v>
      </c>
      <c r="P2" s="580" t="s">
        <v>317</v>
      </c>
      <c r="Q2" s="580" t="s">
        <v>318</v>
      </c>
      <c r="R2" s="581"/>
    </row>
    <row r="3" spans="2:18" ht="14.25" customHeight="1" thickBot="1" x14ac:dyDescent="0.25">
      <c r="B3" s="2154"/>
      <c r="C3" s="2155"/>
      <c r="D3" s="992"/>
      <c r="E3" s="992"/>
      <c r="F3" s="993"/>
      <c r="G3" s="581"/>
      <c r="H3" s="581"/>
      <c r="I3" s="581"/>
      <c r="J3" s="581"/>
      <c r="K3" s="581"/>
      <c r="L3" s="581"/>
      <c r="M3" s="581"/>
      <c r="N3" s="581"/>
      <c r="O3" s="994">
        <v>1</v>
      </c>
      <c r="P3" s="995" t="s">
        <v>2085</v>
      </c>
      <c r="Q3" s="996">
        <v>9.6086766170816573E-2</v>
      </c>
      <c r="R3" s="581"/>
    </row>
    <row r="4" spans="2:18" ht="20.25" customHeight="1" x14ac:dyDescent="0.2">
      <c r="B4" s="2157" t="s">
        <v>2501</v>
      </c>
      <c r="C4" s="2158"/>
      <c r="D4" s="2158"/>
      <c r="E4" s="2158"/>
      <c r="F4" s="2159"/>
      <c r="G4" s="581"/>
      <c r="H4" s="581"/>
      <c r="I4" s="581"/>
      <c r="J4" s="581"/>
      <c r="K4" s="581"/>
      <c r="L4" s="581"/>
      <c r="M4" s="581"/>
      <c r="N4" s="581"/>
      <c r="O4" s="994">
        <v>2</v>
      </c>
      <c r="P4" s="995" t="s">
        <v>2086</v>
      </c>
      <c r="Q4" s="996">
        <v>0.14899999999999999</v>
      </c>
      <c r="R4" s="581"/>
    </row>
    <row r="5" spans="2:18" ht="21" customHeight="1" x14ac:dyDescent="0.2">
      <c r="B5" s="2102" t="s">
        <v>411</v>
      </c>
      <c r="C5" s="2103"/>
      <c r="D5" s="2104"/>
      <c r="E5" s="2104"/>
      <c r="F5" s="2106"/>
      <c r="G5" s="581"/>
      <c r="H5" s="581"/>
      <c r="I5" s="581"/>
      <c r="J5" s="581"/>
      <c r="K5" s="581"/>
      <c r="L5" s="581"/>
      <c r="M5" s="581"/>
      <c r="N5" s="581"/>
      <c r="O5" s="994">
        <v>3</v>
      </c>
      <c r="P5" s="995" t="s">
        <v>2087</v>
      </c>
      <c r="Q5" s="996">
        <v>5.04E-2</v>
      </c>
      <c r="R5" s="581"/>
    </row>
    <row r="6" spans="2:18" ht="15.75" x14ac:dyDescent="0.2">
      <c r="B6" s="21" t="str">
        <f>'Borrower Details'!A8</f>
        <v>Name of  Main Applicant</v>
      </c>
      <c r="C6" s="2156" t="str">
        <f>'Borrower Details'!B8</f>
        <v>AARBUR</v>
      </c>
      <c r="D6" s="2156"/>
      <c r="E6" s="2156"/>
      <c r="F6" s="2156"/>
      <c r="G6" s="581"/>
      <c r="H6" s="581"/>
      <c r="I6" s="581"/>
      <c r="J6" s="581"/>
      <c r="K6" s="581"/>
      <c r="L6" s="581"/>
      <c r="M6" s="581"/>
      <c r="N6" s="581"/>
      <c r="O6" s="994">
        <v>4</v>
      </c>
      <c r="P6" s="995" t="s">
        <v>2088</v>
      </c>
      <c r="Q6" s="996">
        <v>0.285745029359458</v>
      </c>
      <c r="R6" s="581"/>
    </row>
    <row r="7" spans="2:18" ht="15.75" x14ac:dyDescent="0.2">
      <c r="B7" s="997" t="s">
        <v>20</v>
      </c>
      <c r="C7" s="293">
        <f>Financials_Consolidated!C7</f>
        <v>43921</v>
      </c>
      <c r="D7" s="293">
        <f>Financials_Consolidated!D7</f>
        <v>43555</v>
      </c>
      <c r="E7" s="998" t="s">
        <v>238</v>
      </c>
      <c r="F7" s="998" t="s">
        <v>232</v>
      </c>
      <c r="G7" s="581"/>
      <c r="H7" s="581"/>
      <c r="I7" s="581"/>
      <c r="J7" s="581"/>
      <c r="K7" s="581"/>
      <c r="L7" s="581"/>
      <c r="M7" s="581"/>
      <c r="N7" s="581"/>
      <c r="O7" s="994">
        <v>5</v>
      </c>
      <c r="P7" s="995" t="s">
        <v>2089</v>
      </c>
      <c r="Q7" s="996">
        <v>9.83333333333333E-2</v>
      </c>
      <c r="R7" s="581"/>
    </row>
    <row r="8" spans="2:18" ht="15" x14ac:dyDescent="0.2">
      <c r="B8" s="999" t="s">
        <v>197</v>
      </c>
      <c r="C8" s="53">
        <f>Financials_Consolidated!C11</f>
        <v>67905203.25</v>
      </c>
      <c r="D8" s="53">
        <f>Financials_Consolidated!D11</f>
        <v>77950161.870000005</v>
      </c>
      <c r="E8" s="53">
        <f>(C8+D8)/2</f>
        <v>72927682.560000002</v>
      </c>
      <c r="F8" s="53">
        <f>IF((C8-D8)/D8&gt;20%,E8,C8)</f>
        <v>67905203.25</v>
      </c>
      <c r="G8" s="581"/>
      <c r="H8" s="581"/>
      <c r="I8" s="581"/>
      <c r="J8" s="581"/>
      <c r="K8" s="581"/>
      <c r="L8" s="581"/>
      <c r="M8" s="581"/>
      <c r="N8" s="581"/>
      <c r="O8" s="994">
        <v>6</v>
      </c>
      <c r="P8" s="995" t="s">
        <v>2090</v>
      </c>
      <c r="Q8" s="996">
        <v>0.21462499999999998</v>
      </c>
      <c r="R8" s="581"/>
    </row>
    <row r="9" spans="2:18" ht="15" x14ac:dyDescent="0.2">
      <c r="B9" s="999" t="s">
        <v>210</v>
      </c>
      <c r="C9" s="49">
        <f>Financials_Consolidated!C21</f>
        <v>0.12100442626979405</v>
      </c>
      <c r="D9" s="49">
        <f>Financials_Consolidated!D21</f>
        <v>0.18601974071821126</v>
      </c>
      <c r="E9" s="581"/>
      <c r="F9" s="581"/>
      <c r="G9" s="581"/>
      <c r="H9" s="581"/>
      <c r="I9" s="581"/>
      <c r="J9" s="581"/>
      <c r="K9" s="581"/>
      <c r="L9" s="581"/>
      <c r="M9" s="581"/>
      <c r="N9" s="581"/>
      <c r="O9" s="994">
        <v>7</v>
      </c>
      <c r="P9" s="995" t="s">
        <v>2091</v>
      </c>
      <c r="Q9" s="996">
        <v>0.14799999999999999</v>
      </c>
      <c r="R9" s="581"/>
    </row>
    <row r="10" spans="2:18" ht="15" x14ac:dyDescent="0.2">
      <c r="B10" s="999" t="s">
        <v>40</v>
      </c>
      <c r="C10" s="53">
        <f>Financials_Consolidated!C32</f>
        <v>-7691621.5399999935</v>
      </c>
      <c r="D10" s="53">
        <f>Financials_Consolidated!D32</f>
        <v>-2200432.34</v>
      </c>
      <c r="E10" s="1000"/>
      <c r="F10" s="1000"/>
      <c r="G10" s="1000"/>
      <c r="H10" s="581"/>
      <c r="I10" s="581"/>
      <c r="J10" s="581"/>
      <c r="K10" s="581"/>
      <c r="L10" s="581"/>
      <c r="M10" s="581"/>
      <c r="N10" s="581"/>
      <c r="O10" s="994">
        <v>8</v>
      </c>
      <c r="P10" s="995" t="s">
        <v>2092</v>
      </c>
      <c r="Q10" s="996">
        <v>6.3437425404944597E-2</v>
      </c>
      <c r="R10" s="581"/>
    </row>
    <row r="11" spans="2:18" ht="15" x14ac:dyDescent="0.2">
      <c r="B11" s="999" t="s">
        <v>9</v>
      </c>
      <c r="C11" s="53">
        <f>Financials_Consolidated!C27+Financials_Consolidated!C28</f>
        <v>1989388</v>
      </c>
      <c r="D11" s="53">
        <f>Financials_Consolidated!D27+Financials_Consolidated!D28</f>
        <v>2287718</v>
      </c>
      <c r="E11" s="1000"/>
      <c r="F11" s="1000"/>
      <c r="G11" s="1000"/>
      <c r="H11" s="581"/>
      <c r="I11" s="581"/>
      <c r="J11" s="581"/>
      <c r="K11" s="581"/>
      <c r="L11" s="581"/>
      <c r="M11" s="581"/>
      <c r="N11" s="581"/>
      <c r="O11" s="994">
        <v>9</v>
      </c>
      <c r="P11" s="995" t="s">
        <v>2093</v>
      </c>
      <c r="Q11" s="996">
        <v>0.10228986013986013</v>
      </c>
      <c r="R11" s="581"/>
    </row>
    <row r="12" spans="2:18" ht="15" x14ac:dyDescent="0.2">
      <c r="B12" s="999" t="s">
        <v>234</v>
      </c>
      <c r="C12" s="53">
        <f>Financials_Consolidated!C22</f>
        <v>0</v>
      </c>
      <c r="D12" s="53">
        <f>Financials_Consolidated!D22</f>
        <v>0</v>
      </c>
      <c r="E12" s="1000"/>
      <c r="F12" s="1000"/>
      <c r="G12" s="1000"/>
      <c r="H12" s="581"/>
      <c r="I12" s="581"/>
      <c r="J12" s="581"/>
      <c r="K12" s="581"/>
      <c r="L12" s="581"/>
      <c r="M12" s="581"/>
      <c r="N12" s="581"/>
      <c r="O12" s="994">
        <v>10</v>
      </c>
      <c r="P12" s="995" t="s">
        <v>2094</v>
      </c>
      <c r="Q12" s="996">
        <v>4.811547182975754E-2</v>
      </c>
      <c r="R12" s="581"/>
    </row>
    <row r="13" spans="2:18" ht="15" x14ac:dyDescent="0.2">
      <c r="B13" s="999" t="s">
        <v>82</v>
      </c>
      <c r="C13" s="53">
        <f>Financials_Consolidated!C23</f>
        <v>0</v>
      </c>
      <c r="D13" s="53">
        <f>Financials_Consolidated!D23</f>
        <v>0</v>
      </c>
      <c r="E13" s="1000"/>
      <c r="F13" s="1000"/>
      <c r="G13" s="1000"/>
      <c r="H13" s="581"/>
      <c r="I13" s="581"/>
      <c r="J13" s="581"/>
      <c r="K13" s="581"/>
      <c r="L13" s="581"/>
      <c r="M13" s="581"/>
      <c r="N13" s="581"/>
      <c r="O13" s="994">
        <v>11</v>
      </c>
      <c r="P13" s="995" t="s">
        <v>2095</v>
      </c>
      <c r="Q13" s="996">
        <v>9.75683560311284E-2</v>
      </c>
      <c r="R13" s="581"/>
    </row>
    <row r="14" spans="2:18" ht="15" x14ac:dyDescent="0.2">
      <c r="B14" s="999" t="s">
        <v>233</v>
      </c>
      <c r="C14" s="53">
        <f>C10+C11+C12+C13</f>
        <v>-5702233.5399999935</v>
      </c>
      <c r="D14" s="53">
        <f>D10+D11+D12+D13</f>
        <v>87285.660000000149</v>
      </c>
      <c r="E14" s="53">
        <f>(C14+D14)/2</f>
        <v>-2807473.9399999967</v>
      </c>
      <c r="F14" s="53">
        <f>IF((C14-D14)/D14&gt;50%,E14,C14)</f>
        <v>-5702233.5399999935</v>
      </c>
      <c r="G14" s="1000" t="s">
        <v>297</v>
      </c>
      <c r="H14" s="581"/>
      <c r="I14" s="581"/>
      <c r="J14" s="581"/>
      <c r="K14" s="581"/>
      <c r="L14" s="581"/>
      <c r="M14" s="581"/>
      <c r="N14" s="581"/>
      <c r="O14" s="994">
        <v>12</v>
      </c>
      <c r="P14" s="995" t="s">
        <v>2096</v>
      </c>
      <c r="Q14" s="996">
        <v>0.13614166666666669</v>
      </c>
      <c r="R14" s="581"/>
    </row>
    <row r="15" spans="2:18" ht="15" x14ac:dyDescent="0.2">
      <c r="B15" s="999" t="s">
        <v>485</v>
      </c>
      <c r="C15" s="1">
        <v>500000</v>
      </c>
      <c r="D15" s="1">
        <v>400000</v>
      </c>
      <c r="E15" s="1000"/>
      <c r="F15" s="1000"/>
      <c r="G15" s="1000"/>
      <c r="H15" s="581"/>
      <c r="I15" s="581"/>
      <c r="J15" s="581"/>
      <c r="K15" s="581"/>
      <c r="L15" s="581"/>
      <c r="M15" s="581"/>
      <c r="N15" s="581"/>
      <c r="O15" s="994">
        <v>13</v>
      </c>
      <c r="P15" s="995" t="s">
        <v>2097</v>
      </c>
      <c r="Q15" s="996">
        <v>0.11523055555555554</v>
      </c>
      <c r="R15" s="581"/>
    </row>
    <row r="16" spans="2:18" ht="15" x14ac:dyDescent="0.2">
      <c r="B16" s="999" t="s">
        <v>729</v>
      </c>
      <c r="C16" s="53" t="str">
        <f>IF(AND(C14&gt;=500000,D14&gt;=400000),"Yes","No")</f>
        <v>No</v>
      </c>
      <c r="D16" s="1000" t="s">
        <v>728</v>
      </c>
      <c r="E16" s="581"/>
      <c r="F16" s="581"/>
      <c r="G16" s="581"/>
      <c r="H16" s="581"/>
      <c r="I16" s="581"/>
      <c r="J16" s="581"/>
      <c r="K16" s="581"/>
      <c r="L16" s="581"/>
      <c r="M16" s="581"/>
      <c r="N16" s="581"/>
      <c r="O16" s="994">
        <v>14</v>
      </c>
      <c r="P16" s="995" t="s">
        <v>2098</v>
      </c>
      <c r="Q16" s="996">
        <v>9.050833333333333E-2</v>
      </c>
      <c r="R16" s="581"/>
    </row>
    <row r="17" spans="2:18" ht="15.75" x14ac:dyDescent="0.25">
      <c r="B17" s="999" t="s">
        <v>218</v>
      </c>
      <c r="C17" s="116">
        <f>G28</f>
        <v>0</v>
      </c>
      <c r="D17" s="1000"/>
      <c r="E17" s="1001" t="s">
        <v>517</v>
      </c>
      <c r="F17" s="2149" t="s">
        <v>501</v>
      </c>
      <c r="G17" s="2149"/>
      <c r="H17" s="2149"/>
      <c r="I17" s="581"/>
      <c r="J17" s="581"/>
      <c r="K17" s="581"/>
      <c r="L17" s="581"/>
      <c r="M17" s="581"/>
      <c r="N17" s="581"/>
      <c r="O17" s="994">
        <v>15</v>
      </c>
      <c r="P17" s="995" t="s">
        <v>2099</v>
      </c>
      <c r="Q17" s="996">
        <v>0.14699999999999999</v>
      </c>
      <c r="R17" s="581"/>
    </row>
    <row r="18" spans="2:18" ht="15" x14ac:dyDescent="0.2">
      <c r="B18" s="999" t="s">
        <v>219</v>
      </c>
      <c r="C18" s="53">
        <f>F8*C17</f>
        <v>0</v>
      </c>
      <c r="D18" s="1000"/>
      <c r="E18" s="124" t="s">
        <v>687</v>
      </c>
      <c r="F18" s="2146">
        <f>Financials1!I4</f>
        <v>0</v>
      </c>
      <c r="G18" s="2147"/>
      <c r="H18" s="2148"/>
      <c r="I18" s="581"/>
      <c r="J18" s="581"/>
      <c r="K18" s="581"/>
      <c r="L18" s="581"/>
      <c r="M18" s="581"/>
      <c r="N18" s="581"/>
      <c r="O18" s="994">
        <v>16</v>
      </c>
      <c r="P18" s="995" t="s">
        <v>2100</v>
      </c>
      <c r="Q18" s="996">
        <v>5.6000000000000001E-2</v>
      </c>
      <c r="R18" s="581"/>
    </row>
    <row r="19" spans="2:18" ht="15" x14ac:dyDescent="0.2">
      <c r="B19" s="999" t="s">
        <v>202</v>
      </c>
      <c r="C19" s="1">
        <v>180</v>
      </c>
      <c r="D19" s="1000"/>
      <c r="E19" s="124" t="s">
        <v>688</v>
      </c>
      <c r="F19" s="2146">
        <f>Financials2!I4</f>
        <v>0</v>
      </c>
      <c r="G19" s="2147"/>
      <c r="H19" s="2148"/>
      <c r="I19" s="581"/>
      <c r="J19" s="581"/>
      <c r="K19" s="581"/>
      <c r="L19" s="581"/>
      <c r="M19" s="581"/>
      <c r="N19" s="581"/>
      <c r="O19" s="994">
        <v>17</v>
      </c>
      <c r="P19" s="995" t="s">
        <v>2101</v>
      </c>
      <c r="Q19" s="996">
        <v>0.156</v>
      </c>
      <c r="R19" s="581"/>
    </row>
    <row r="20" spans="2:18" ht="15" x14ac:dyDescent="0.2">
      <c r="B20" s="999" t="s">
        <v>220</v>
      </c>
      <c r="C20" s="88">
        <v>0.1</v>
      </c>
      <c r="D20" s="1000"/>
      <c r="E20" s="124" t="s">
        <v>698</v>
      </c>
      <c r="F20" s="2146">
        <f>Financials3!I4</f>
        <v>0</v>
      </c>
      <c r="G20" s="2150"/>
      <c r="H20" s="2151"/>
      <c r="I20" s="581"/>
      <c r="J20" s="581"/>
      <c r="K20" s="581"/>
      <c r="L20" s="581"/>
      <c r="M20" s="581"/>
      <c r="N20" s="581"/>
      <c r="O20" s="994">
        <v>18</v>
      </c>
      <c r="P20" s="995" t="s">
        <v>2102</v>
      </c>
      <c r="Q20" s="996">
        <v>9.3730609078903404E-2</v>
      </c>
      <c r="R20" s="581"/>
    </row>
    <row r="21" spans="2:18" ht="15" x14ac:dyDescent="0.2">
      <c r="B21" s="999" t="s">
        <v>221</v>
      </c>
      <c r="C21" s="53">
        <f>ROUND(-PMT(C20/12,C19,100000),0)</f>
        <v>1075</v>
      </c>
      <c r="D21" s="1000"/>
      <c r="E21" s="1002"/>
      <c r="F21" s="1002"/>
      <c r="G21" s="1002"/>
      <c r="H21" s="1002"/>
      <c r="I21" s="581"/>
      <c r="J21" s="581"/>
      <c r="K21" s="581"/>
      <c r="L21" s="581"/>
      <c r="M21" s="581"/>
      <c r="N21" s="581"/>
      <c r="O21" s="994">
        <v>19</v>
      </c>
      <c r="P21" s="995" t="s">
        <v>2103</v>
      </c>
      <c r="Q21" s="996">
        <v>0.19012000000000001</v>
      </c>
      <c r="R21" s="581"/>
    </row>
    <row r="22" spans="2:18" ht="15.75" thickBot="1" x14ac:dyDescent="0.25">
      <c r="B22" s="999" t="s">
        <v>222</v>
      </c>
      <c r="C22" s="22">
        <v>0.6</v>
      </c>
      <c r="D22" s="1000"/>
      <c r="E22" s="1002"/>
      <c r="F22" s="1002"/>
      <c r="G22" s="1002"/>
      <c r="H22" s="1002"/>
      <c r="I22" s="581"/>
      <c r="J22" s="581"/>
      <c r="K22" s="581"/>
      <c r="L22" s="581"/>
      <c r="M22" s="581"/>
      <c r="N22" s="581"/>
      <c r="O22" s="994">
        <v>20</v>
      </c>
      <c r="P22" s="995" t="s">
        <v>2104</v>
      </c>
      <c r="Q22" s="996">
        <v>0.11265</v>
      </c>
      <c r="R22" s="581"/>
    </row>
    <row r="23" spans="2:18" ht="15" x14ac:dyDescent="0.2">
      <c r="B23" s="999" t="s">
        <v>223</v>
      </c>
      <c r="C23" s="53">
        <f>C18/12</f>
        <v>0</v>
      </c>
      <c r="D23" s="1000"/>
      <c r="E23" s="1003" t="s">
        <v>517</v>
      </c>
      <c r="F23" s="1004" t="s">
        <v>697</v>
      </c>
      <c r="G23" s="1004" t="s">
        <v>463</v>
      </c>
      <c r="H23" s="1005" t="s">
        <v>699</v>
      </c>
      <c r="I23" s="581"/>
      <c r="J23" s="581"/>
      <c r="K23" s="581"/>
      <c r="L23" s="581"/>
      <c r="M23" s="581"/>
      <c r="N23" s="581"/>
      <c r="O23" s="994">
        <v>21</v>
      </c>
      <c r="P23" s="995" t="s">
        <v>2105</v>
      </c>
      <c r="Q23" s="996">
        <v>0.1</v>
      </c>
      <c r="R23" s="581"/>
    </row>
    <row r="24" spans="2:18" ht="15" x14ac:dyDescent="0.2">
      <c r="B24" s="999" t="s">
        <v>224</v>
      </c>
      <c r="C24" s="53">
        <f>C22*C23</f>
        <v>0</v>
      </c>
      <c r="D24" s="1000"/>
      <c r="E24" s="1006" t="s">
        <v>687</v>
      </c>
      <c r="F24" s="1010">
        <f>Financials1!C11</f>
        <v>67905203.25</v>
      </c>
      <c r="G24" s="121">
        <f>IF(ISERROR(VLOOKUP(F18,P2:Q153,2,0)),0,VLOOKUP(F18,P2:Q153,2,0))</f>
        <v>0</v>
      </c>
      <c r="H24" s="122">
        <f>F24*G24</f>
        <v>0</v>
      </c>
      <c r="I24" s="581"/>
      <c r="J24" s="581"/>
      <c r="K24" s="581"/>
      <c r="L24" s="581"/>
      <c r="M24" s="581"/>
      <c r="N24" s="581"/>
      <c r="O24" s="994">
        <v>22</v>
      </c>
      <c r="P24" s="995" t="s">
        <v>2106</v>
      </c>
      <c r="Q24" s="996">
        <v>9.8237381245688399E-2</v>
      </c>
      <c r="R24" s="581"/>
    </row>
    <row r="25" spans="2:18" ht="15" x14ac:dyDescent="0.2">
      <c r="B25" s="999" t="s">
        <v>225</v>
      </c>
      <c r="C25" s="53">
        <f>'EMI Chart'!I43</f>
        <v>96610</v>
      </c>
      <c r="D25" s="1000"/>
      <c r="E25" s="1006" t="s">
        <v>688</v>
      </c>
      <c r="F25" s="1010">
        <f>Financials2!C11</f>
        <v>0</v>
      </c>
      <c r="G25" s="121">
        <f>IF(ISERROR(VLOOKUP(F19,P2:Q153,2,0)),0,VLOOKUP(F19,P2:Q153,2,0))</f>
        <v>0</v>
      </c>
      <c r="H25" s="122">
        <f>F25*G25</f>
        <v>0</v>
      </c>
      <c r="I25" s="581"/>
      <c r="J25" s="581"/>
      <c r="K25" s="581"/>
      <c r="L25" s="581"/>
      <c r="M25" s="581"/>
      <c r="N25" s="581"/>
      <c r="O25" s="994">
        <v>23</v>
      </c>
      <c r="P25" s="995" t="s">
        <v>2107</v>
      </c>
      <c r="Q25" s="996">
        <v>0.24283166666666667</v>
      </c>
      <c r="R25" s="581"/>
    </row>
    <row r="26" spans="2:18" ht="15" x14ac:dyDescent="0.2">
      <c r="B26" s="999" t="s">
        <v>226</v>
      </c>
      <c r="C26" s="53">
        <f>C24-C25</f>
        <v>-96610</v>
      </c>
      <c r="D26" s="1000"/>
      <c r="E26" s="1006" t="s">
        <v>698</v>
      </c>
      <c r="F26" s="1010">
        <f>Financials3!C11</f>
        <v>0</v>
      </c>
      <c r="G26" s="121">
        <f>IF(ISERROR(VLOOKUP(F20,P2:Q153,2,0)),0,VLOOKUP(F20,P2:Q153,2,0))</f>
        <v>0</v>
      </c>
      <c r="H26" s="122">
        <f>F26*G26</f>
        <v>0</v>
      </c>
      <c r="I26" s="581"/>
      <c r="J26" s="581"/>
      <c r="K26" s="581"/>
      <c r="L26" s="581"/>
      <c r="M26" s="581"/>
      <c r="N26" s="581"/>
      <c r="O26" s="994">
        <v>24</v>
      </c>
      <c r="P26" s="995" t="s">
        <v>2108</v>
      </c>
      <c r="Q26" s="996">
        <v>0.23971631205673757</v>
      </c>
      <c r="R26" s="581"/>
    </row>
    <row r="27" spans="2:18" ht="15" x14ac:dyDescent="0.2">
      <c r="B27" s="999" t="s">
        <v>227</v>
      </c>
      <c r="C27" s="53">
        <f>C26/C21</f>
        <v>-89.869767441860461</v>
      </c>
      <c r="D27" s="1000"/>
      <c r="E27" s="1006" t="s">
        <v>26</v>
      </c>
      <c r="F27" s="120">
        <f>SUM(F24:F26)</f>
        <v>67905203.25</v>
      </c>
      <c r="G27" s="124"/>
      <c r="H27" s="122">
        <f>SUM(H24:H26)</f>
        <v>0</v>
      </c>
      <c r="I27" s="581"/>
      <c r="J27" s="581"/>
      <c r="K27" s="581"/>
      <c r="L27" s="581"/>
      <c r="M27" s="581"/>
      <c r="N27" s="581"/>
      <c r="O27" s="994">
        <v>25</v>
      </c>
      <c r="P27" s="995" t="s">
        <v>2109</v>
      </c>
      <c r="Q27" s="996">
        <v>0.14199999999999999</v>
      </c>
      <c r="R27" s="581"/>
    </row>
    <row r="28" spans="2:18" ht="15.75" thickBot="1" x14ac:dyDescent="0.25">
      <c r="B28" s="999" t="s">
        <v>228</v>
      </c>
      <c r="C28" s="1"/>
      <c r="D28" s="1000"/>
      <c r="E28" s="1007" t="s">
        <v>700</v>
      </c>
      <c r="F28" s="1008"/>
      <c r="G28" s="123">
        <f>H27/F27</f>
        <v>0</v>
      </c>
      <c r="H28" s="1009"/>
      <c r="I28" s="581"/>
      <c r="J28" s="581"/>
      <c r="K28" s="581"/>
      <c r="L28" s="581"/>
      <c r="M28" s="581"/>
      <c r="N28" s="581"/>
      <c r="O28" s="994">
        <v>26</v>
      </c>
      <c r="P28" s="995" t="s">
        <v>2110</v>
      </c>
      <c r="Q28" s="996">
        <v>6.2768726654215568E-2</v>
      </c>
      <c r="R28" s="581"/>
    </row>
    <row r="29" spans="2:18" ht="15" x14ac:dyDescent="0.2">
      <c r="B29" s="999" t="s">
        <v>229</v>
      </c>
      <c r="C29" s="53">
        <f>ROUND(-PMT(C20/12,C19,C28),0)</f>
        <v>0</v>
      </c>
      <c r="D29" s="1000"/>
      <c r="E29" s="1000"/>
      <c r="F29" s="1000"/>
      <c r="G29" s="581"/>
      <c r="H29" s="581"/>
      <c r="I29" s="581"/>
      <c r="J29" s="581"/>
      <c r="K29" s="581"/>
      <c r="L29" s="581"/>
      <c r="M29" s="581"/>
      <c r="N29" s="581"/>
      <c r="O29" s="994">
        <v>27</v>
      </c>
      <c r="P29" s="995" t="s">
        <v>2111</v>
      </c>
      <c r="Q29" s="996">
        <v>0.1003231818181818</v>
      </c>
      <c r="R29" s="581"/>
    </row>
    <row r="30" spans="2:18" ht="15" x14ac:dyDescent="0.2">
      <c r="B30" s="999" t="s">
        <v>230</v>
      </c>
      <c r="C30" s="116" t="e">
        <f>(C29+C25)/C23</f>
        <v>#DIV/0!</v>
      </c>
      <c r="D30" s="1000"/>
      <c r="E30" s="1000"/>
      <c r="F30" s="1000"/>
      <c r="G30" s="581"/>
      <c r="H30" s="581"/>
      <c r="I30" s="581"/>
      <c r="J30" s="581"/>
      <c r="K30" s="581"/>
      <c r="L30" s="581"/>
      <c r="M30" s="581"/>
      <c r="N30" s="581"/>
      <c r="O30" s="994">
        <v>28</v>
      </c>
      <c r="P30" s="995" t="s">
        <v>2112</v>
      </c>
      <c r="Q30" s="996">
        <v>0.14140148743204242</v>
      </c>
      <c r="R30" s="581"/>
    </row>
    <row r="31" spans="2:18" ht="15" x14ac:dyDescent="0.2">
      <c r="B31" s="581"/>
      <c r="C31" s="581"/>
      <c r="D31" s="1000"/>
      <c r="E31" s="1000"/>
      <c r="F31" s="1000"/>
      <c r="G31" s="581"/>
      <c r="H31" s="581"/>
      <c r="I31" s="581"/>
      <c r="J31" s="581"/>
      <c r="K31" s="581"/>
      <c r="L31" s="581"/>
      <c r="M31" s="581"/>
      <c r="N31" s="581"/>
      <c r="O31" s="994">
        <v>29</v>
      </c>
      <c r="P31" s="995" t="s">
        <v>2113</v>
      </c>
      <c r="Q31" s="996">
        <v>9.4200000000000006E-2</v>
      </c>
      <c r="R31" s="581"/>
    </row>
    <row r="32" spans="2:18" x14ac:dyDescent="0.2">
      <c r="B32" s="581"/>
      <c r="C32" s="581"/>
      <c r="D32" s="581"/>
      <c r="E32" s="581"/>
      <c r="F32" s="581"/>
      <c r="G32" s="581"/>
      <c r="H32" s="581"/>
      <c r="I32" s="581"/>
      <c r="J32" s="581"/>
      <c r="K32" s="581"/>
      <c r="L32" s="581"/>
      <c r="M32" s="581"/>
      <c r="N32" s="581"/>
      <c r="O32" s="994">
        <v>30</v>
      </c>
      <c r="P32" s="995" t="s">
        <v>2114</v>
      </c>
      <c r="Q32" s="996">
        <v>0.25553000000000003</v>
      </c>
      <c r="R32" s="581"/>
    </row>
    <row r="33" spans="2:18" x14ac:dyDescent="0.2">
      <c r="B33" s="581"/>
      <c r="C33" s="581"/>
      <c r="D33" s="581"/>
      <c r="E33" s="581"/>
      <c r="F33" s="581"/>
      <c r="G33" s="581"/>
      <c r="H33" s="581"/>
      <c r="I33" s="581"/>
      <c r="J33" s="581"/>
      <c r="K33" s="581"/>
      <c r="L33" s="581"/>
      <c r="M33" s="581"/>
      <c r="N33" s="581"/>
      <c r="O33" s="994">
        <v>31</v>
      </c>
      <c r="P33" s="995" t="s">
        <v>2115</v>
      </c>
      <c r="Q33" s="996">
        <v>0.2034357142857143</v>
      </c>
      <c r="R33" s="581"/>
    </row>
    <row r="34" spans="2:18" x14ac:dyDescent="0.2">
      <c r="B34" s="581"/>
      <c r="C34" s="581"/>
      <c r="D34" s="581"/>
      <c r="E34" s="581"/>
      <c r="F34" s="581"/>
      <c r="G34" s="581"/>
      <c r="H34" s="581"/>
      <c r="I34" s="581"/>
      <c r="J34" s="581"/>
      <c r="K34" s="581"/>
      <c r="L34" s="581"/>
      <c r="M34" s="581"/>
      <c r="N34" s="581"/>
      <c r="O34" s="994">
        <v>32</v>
      </c>
      <c r="P34" s="995" t="s">
        <v>2116</v>
      </c>
      <c r="Q34" s="996">
        <v>0.13240137597892099</v>
      </c>
      <c r="R34" s="581"/>
    </row>
    <row r="35" spans="2:18" x14ac:dyDescent="0.2">
      <c r="B35" s="581"/>
      <c r="C35" s="581"/>
      <c r="D35" s="581"/>
      <c r="E35" s="581"/>
      <c r="F35" s="581"/>
      <c r="G35" s="581"/>
      <c r="H35" s="581"/>
      <c r="I35" s="581"/>
      <c r="J35" s="581"/>
      <c r="K35" s="581"/>
      <c r="L35" s="581"/>
      <c r="M35" s="581"/>
      <c r="N35" s="581"/>
      <c r="O35" s="994">
        <v>33</v>
      </c>
      <c r="P35" s="995" t="s">
        <v>2117</v>
      </c>
      <c r="Q35" s="996">
        <v>0.129093497864262</v>
      </c>
      <c r="R35" s="581"/>
    </row>
    <row r="36" spans="2:18" x14ac:dyDescent="0.2">
      <c r="B36" s="581"/>
      <c r="C36" s="581"/>
      <c r="D36" s="581"/>
      <c r="E36" s="581"/>
      <c r="F36" s="581"/>
      <c r="G36" s="581"/>
      <c r="H36" s="581"/>
      <c r="I36" s="581"/>
      <c r="J36" s="581"/>
      <c r="K36" s="581"/>
      <c r="L36" s="581"/>
      <c r="M36" s="581"/>
      <c r="N36" s="581"/>
      <c r="O36" s="994">
        <v>34</v>
      </c>
      <c r="P36" s="995" t="s">
        <v>2118</v>
      </c>
      <c r="Q36" s="996">
        <v>0.15948000000000001</v>
      </c>
      <c r="R36" s="581"/>
    </row>
    <row r="37" spans="2:18" x14ac:dyDescent="0.2">
      <c r="B37" s="581"/>
      <c r="C37" s="581"/>
      <c r="D37" s="581"/>
      <c r="E37" s="581"/>
      <c r="F37" s="581"/>
      <c r="G37" s="581"/>
      <c r="H37" s="581"/>
      <c r="I37" s="581"/>
      <c r="J37" s="581"/>
      <c r="K37" s="581"/>
      <c r="L37" s="581"/>
      <c r="M37" s="581"/>
      <c r="N37" s="581"/>
      <c r="O37" s="994">
        <v>35</v>
      </c>
      <c r="P37" s="995" t="s">
        <v>2119</v>
      </c>
      <c r="Q37" s="996">
        <v>6.1831428571428572E-2</v>
      </c>
      <c r="R37" s="581"/>
    </row>
    <row r="38" spans="2:18" x14ac:dyDescent="0.2">
      <c r="B38" s="581"/>
      <c r="C38" s="581"/>
      <c r="D38" s="581"/>
      <c r="E38" s="581"/>
      <c r="F38" s="581"/>
      <c r="G38" s="581"/>
      <c r="H38" s="581"/>
      <c r="I38" s="581"/>
      <c r="J38" s="581"/>
      <c r="K38" s="581"/>
      <c r="L38" s="581"/>
      <c r="M38" s="581"/>
      <c r="N38" s="581"/>
      <c r="O38" s="994">
        <v>36</v>
      </c>
      <c r="P38" s="995" t="s">
        <v>2120</v>
      </c>
      <c r="Q38" s="996">
        <v>7.5254104769351099E-2</v>
      </c>
      <c r="R38" s="581"/>
    </row>
    <row r="39" spans="2:18" x14ac:dyDescent="0.2">
      <c r="B39" s="581"/>
      <c r="C39" s="581"/>
      <c r="D39" s="581"/>
      <c r="E39" s="581"/>
      <c r="F39" s="581"/>
      <c r="G39" s="581"/>
      <c r="H39" s="581"/>
      <c r="I39" s="581"/>
      <c r="J39" s="581"/>
      <c r="K39" s="581"/>
      <c r="L39" s="581"/>
      <c r="M39" s="581"/>
      <c r="N39" s="581"/>
      <c r="O39" s="994">
        <v>37</v>
      </c>
      <c r="P39" s="995" t="s">
        <v>2121</v>
      </c>
      <c r="Q39" s="996">
        <v>0.1</v>
      </c>
      <c r="R39" s="581"/>
    </row>
    <row r="40" spans="2:18" x14ac:dyDescent="0.2">
      <c r="B40" s="581"/>
      <c r="C40" s="581"/>
      <c r="D40" s="581"/>
      <c r="E40" s="581"/>
      <c r="F40" s="581"/>
      <c r="G40" s="581"/>
      <c r="H40" s="581"/>
      <c r="I40" s="581"/>
      <c r="J40" s="581"/>
      <c r="K40" s="581"/>
      <c r="L40" s="581"/>
      <c r="M40" s="581"/>
      <c r="N40" s="581"/>
      <c r="O40" s="994">
        <v>38</v>
      </c>
      <c r="P40" s="995" t="s">
        <v>2122</v>
      </c>
      <c r="Q40" s="996">
        <v>0.10534</v>
      </c>
      <c r="R40" s="581"/>
    </row>
    <row r="41" spans="2:18" x14ac:dyDescent="0.2">
      <c r="B41" s="581"/>
      <c r="C41" s="581"/>
      <c r="D41" s="581"/>
      <c r="E41" s="581"/>
      <c r="F41" s="581"/>
      <c r="G41" s="581"/>
      <c r="H41" s="581"/>
      <c r="I41" s="581"/>
      <c r="J41" s="581"/>
      <c r="K41" s="581"/>
      <c r="L41" s="581"/>
      <c r="M41" s="581"/>
      <c r="N41" s="581"/>
      <c r="O41" s="994">
        <v>39</v>
      </c>
      <c r="P41" s="995" t="s">
        <v>2123</v>
      </c>
      <c r="Q41" s="996">
        <v>0.1142</v>
      </c>
      <c r="R41" s="581"/>
    </row>
    <row r="42" spans="2:18" x14ac:dyDescent="0.2">
      <c r="B42" s="581"/>
      <c r="C42" s="581"/>
      <c r="D42" s="581"/>
      <c r="E42" s="581"/>
      <c r="F42" s="581"/>
      <c r="G42" s="581"/>
      <c r="H42" s="581"/>
      <c r="I42" s="581"/>
      <c r="J42" s="581"/>
      <c r="K42" s="581"/>
      <c r="L42" s="581"/>
      <c r="M42" s="581"/>
      <c r="N42" s="581"/>
      <c r="O42" s="994">
        <v>40</v>
      </c>
      <c r="P42" s="995" t="s">
        <v>2124</v>
      </c>
      <c r="Q42" s="996">
        <v>5.5300498601283526E-2</v>
      </c>
      <c r="R42" s="581"/>
    </row>
    <row r="43" spans="2:18" x14ac:dyDescent="0.2">
      <c r="B43" s="581"/>
      <c r="C43" s="581"/>
      <c r="D43" s="581"/>
      <c r="E43" s="581"/>
      <c r="F43" s="581"/>
      <c r="G43" s="581"/>
      <c r="H43" s="581"/>
      <c r="I43" s="581"/>
      <c r="J43" s="581"/>
      <c r="K43" s="581"/>
      <c r="L43" s="581"/>
      <c r="M43" s="581"/>
      <c r="N43" s="581"/>
      <c r="O43" s="994">
        <v>41</v>
      </c>
      <c r="P43" s="995" t="s">
        <v>2125</v>
      </c>
      <c r="Q43" s="996">
        <v>0.13085119487558514</v>
      </c>
      <c r="R43" s="581"/>
    </row>
    <row r="44" spans="2:18" x14ac:dyDescent="0.2">
      <c r="B44" s="581"/>
      <c r="C44" s="581"/>
      <c r="D44" s="581"/>
      <c r="E44" s="581"/>
      <c r="F44" s="581"/>
      <c r="G44" s="581"/>
      <c r="H44" s="581"/>
      <c r="I44" s="581"/>
      <c r="J44" s="581"/>
      <c r="K44" s="581"/>
      <c r="L44" s="581"/>
      <c r="M44" s="581"/>
      <c r="N44" s="581"/>
      <c r="O44" s="994">
        <v>42</v>
      </c>
      <c r="P44" s="995" t="s">
        <v>2126</v>
      </c>
      <c r="Q44" s="996">
        <v>0.10357507920098712</v>
      </c>
      <c r="R44" s="581"/>
    </row>
    <row r="45" spans="2:18" x14ac:dyDescent="0.2">
      <c r="B45" s="581"/>
      <c r="C45" s="581"/>
      <c r="D45" s="581"/>
      <c r="E45" s="581"/>
      <c r="F45" s="581"/>
      <c r="G45" s="581"/>
      <c r="H45" s="581"/>
      <c r="I45" s="581"/>
      <c r="J45" s="581"/>
      <c r="K45" s="581"/>
      <c r="L45" s="581"/>
      <c r="M45" s="581"/>
      <c r="N45" s="581"/>
      <c r="O45" s="994">
        <v>43</v>
      </c>
      <c r="P45" s="995" t="s">
        <v>2127</v>
      </c>
      <c r="Q45" s="996">
        <v>5.6000000000000001E-2</v>
      </c>
      <c r="R45" s="581"/>
    </row>
    <row r="46" spans="2:18" x14ac:dyDescent="0.2">
      <c r="B46" s="581"/>
      <c r="C46" s="581"/>
      <c r="D46" s="581"/>
      <c r="E46" s="581"/>
      <c r="F46" s="581"/>
      <c r="G46" s="581"/>
      <c r="H46" s="581"/>
      <c r="I46" s="581"/>
      <c r="J46" s="581"/>
      <c r="K46" s="581"/>
      <c r="L46" s="581"/>
      <c r="M46" s="581"/>
      <c r="N46" s="581"/>
      <c r="O46" s="994">
        <v>44</v>
      </c>
      <c r="P46" s="995" t="s">
        <v>2128</v>
      </c>
      <c r="Q46" s="996">
        <v>0.08</v>
      </c>
      <c r="R46" s="581"/>
    </row>
    <row r="47" spans="2:18" x14ac:dyDescent="0.2">
      <c r="B47" s="581"/>
      <c r="C47" s="581"/>
      <c r="D47" s="581"/>
      <c r="E47" s="581"/>
      <c r="F47" s="581"/>
      <c r="G47" s="581"/>
      <c r="H47" s="581"/>
      <c r="I47" s="581"/>
      <c r="J47" s="581"/>
      <c r="K47" s="581"/>
      <c r="L47" s="581"/>
      <c r="M47" s="581"/>
      <c r="N47" s="581"/>
      <c r="O47" s="994">
        <v>45</v>
      </c>
      <c r="P47" s="995" t="s">
        <v>2129</v>
      </c>
      <c r="Q47" s="996">
        <v>7.9803333333333296E-2</v>
      </c>
      <c r="R47" s="581"/>
    </row>
    <row r="48" spans="2:18" x14ac:dyDescent="0.2">
      <c r="B48" s="581"/>
      <c r="C48" s="581"/>
      <c r="D48" s="581"/>
      <c r="E48" s="581"/>
      <c r="F48" s="581"/>
      <c r="G48" s="581"/>
      <c r="H48" s="581"/>
      <c r="I48" s="581"/>
      <c r="J48" s="581"/>
      <c r="K48" s="581"/>
      <c r="L48" s="581"/>
      <c r="M48" s="581"/>
      <c r="N48" s="581"/>
      <c r="O48" s="994">
        <v>46</v>
      </c>
      <c r="P48" s="995" t="s">
        <v>2130</v>
      </c>
      <c r="Q48" s="996">
        <v>0.14907876901450878</v>
      </c>
      <c r="R48" s="581"/>
    </row>
    <row r="49" spans="2:18" x14ac:dyDescent="0.2">
      <c r="B49" s="581"/>
      <c r="C49" s="581"/>
      <c r="D49" s="581"/>
      <c r="E49" s="581"/>
      <c r="F49" s="581"/>
      <c r="G49" s="581"/>
      <c r="H49" s="581"/>
      <c r="I49" s="581"/>
      <c r="J49" s="581"/>
      <c r="K49" s="581"/>
      <c r="L49" s="581"/>
      <c r="M49" s="581"/>
      <c r="N49" s="581"/>
      <c r="O49" s="994">
        <v>47</v>
      </c>
      <c r="P49" s="995" t="s">
        <v>2131</v>
      </c>
      <c r="Q49" s="996">
        <v>3.8901785714285701E-2</v>
      </c>
      <c r="R49" s="581"/>
    </row>
    <row r="50" spans="2:18" x14ac:dyDescent="0.2">
      <c r="B50" s="581"/>
      <c r="C50" s="581"/>
      <c r="D50" s="581"/>
      <c r="E50" s="581"/>
      <c r="F50" s="581"/>
      <c r="G50" s="581"/>
      <c r="H50" s="581"/>
      <c r="I50" s="581"/>
      <c r="J50" s="581"/>
      <c r="K50" s="581"/>
      <c r="L50" s="581"/>
      <c r="M50" s="581"/>
      <c r="N50" s="581"/>
      <c r="O50" s="994">
        <v>48</v>
      </c>
      <c r="P50" s="995" t="s">
        <v>2132</v>
      </c>
      <c r="Q50" s="996">
        <v>0.11761666666666665</v>
      </c>
      <c r="R50" s="581"/>
    </row>
    <row r="51" spans="2:18" x14ac:dyDescent="0.2">
      <c r="B51" s="581"/>
      <c r="C51" s="581"/>
      <c r="D51" s="581"/>
      <c r="E51" s="581"/>
      <c r="F51" s="581"/>
      <c r="G51" s="581"/>
      <c r="H51" s="581"/>
      <c r="I51" s="581"/>
      <c r="J51" s="581"/>
      <c r="K51" s="581"/>
      <c r="L51" s="581"/>
      <c r="M51" s="581"/>
      <c r="N51" s="581"/>
      <c r="O51" s="994">
        <v>49</v>
      </c>
      <c r="P51" s="995" t="s">
        <v>2133</v>
      </c>
      <c r="Q51" s="996">
        <v>0.10112617131624017</v>
      </c>
      <c r="R51" s="581"/>
    </row>
    <row r="52" spans="2:18" x14ac:dyDescent="0.2">
      <c r="B52" s="581"/>
      <c r="C52" s="581"/>
      <c r="D52" s="581"/>
      <c r="E52" s="581"/>
      <c r="F52" s="581"/>
      <c r="G52" s="581"/>
      <c r="H52" s="581"/>
      <c r="I52" s="581"/>
      <c r="J52" s="581"/>
      <c r="K52" s="581"/>
      <c r="L52" s="581"/>
      <c r="M52" s="581"/>
      <c r="N52" s="581"/>
      <c r="O52" s="994">
        <v>50</v>
      </c>
      <c r="P52" s="995" t="s">
        <v>2134</v>
      </c>
      <c r="Q52" s="996">
        <v>0.19610595238095235</v>
      </c>
      <c r="R52" s="581"/>
    </row>
    <row r="53" spans="2:18" x14ac:dyDescent="0.2">
      <c r="B53" s="581"/>
      <c r="C53" s="581"/>
      <c r="D53" s="581"/>
      <c r="E53" s="581"/>
      <c r="F53" s="581"/>
      <c r="G53" s="581"/>
      <c r="H53" s="581"/>
      <c r="I53" s="581"/>
      <c r="J53" s="581"/>
      <c r="K53" s="581"/>
      <c r="L53" s="581"/>
      <c r="M53" s="581"/>
      <c r="N53" s="581"/>
      <c r="O53" s="994">
        <v>51</v>
      </c>
      <c r="P53" s="995" t="s">
        <v>2135</v>
      </c>
      <c r="Q53" s="996">
        <v>9.4614639025867281E-2</v>
      </c>
      <c r="R53" s="581"/>
    </row>
    <row r="54" spans="2:18" x14ac:dyDescent="0.2">
      <c r="B54" s="581"/>
      <c r="C54" s="581"/>
      <c r="D54" s="581"/>
      <c r="E54" s="581"/>
      <c r="F54" s="581"/>
      <c r="G54" s="581"/>
      <c r="H54" s="581"/>
      <c r="I54" s="581"/>
      <c r="J54" s="581"/>
      <c r="K54" s="581"/>
      <c r="L54" s="581"/>
      <c r="M54" s="581"/>
      <c r="N54" s="581"/>
      <c r="O54" s="994">
        <v>52</v>
      </c>
      <c r="P54" s="995" t="s">
        <v>2136</v>
      </c>
      <c r="Q54" s="996">
        <v>5.3999999999999999E-2</v>
      </c>
      <c r="R54" s="581"/>
    </row>
    <row r="55" spans="2:18" x14ac:dyDescent="0.2">
      <c r="B55" s="581"/>
      <c r="C55" s="581"/>
      <c r="D55" s="581"/>
      <c r="E55" s="581"/>
      <c r="F55" s="581"/>
      <c r="G55" s="581"/>
      <c r="H55" s="581"/>
      <c r="I55" s="581"/>
      <c r="J55" s="581"/>
      <c r="K55" s="581"/>
      <c r="L55" s="581"/>
      <c r="M55" s="581"/>
      <c r="N55" s="581"/>
      <c r="O55" s="994">
        <v>53</v>
      </c>
      <c r="P55" s="995" t="s">
        <v>2137</v>
      </c>
      <c r="Q55" s="996">
        <v>9.9909728209934406E-2</v>
      </c>
      <c r="R55" s="581"/>
    </row>
    <row r="56" spans="2:18" x14ac:dyDescent="0.2">
      <c r="B56" s="581"/>
      <c r="C56" s="581"/>
      <c r="D56" s="581"/>
      <c r="E56" s="581"/>
      <c r="F56" s="581"/>
      <c r="G56" s="581"/>
      <c r="H56" s="581"/>
      <c r="I56" s="581"/>
      <c r="J56" s="581"/>
      <c r="K56" s="581"/>
      <c r="L56" s="581"/>
      <c r="M56" s="581"/>
      <c r="N56" s="581"/>
      <c r="O56" s="994">
        <v>54</v>
      </c>
      <c r="P56" s="995" t="s">
        <v>2138</v>
      </c>
      <c r="Q56" s="996">
        <v>0.11398846153846154</v>
      </c>
      <c r="R56" s="581"/>
    </row>
    <row r="57" spans="2:18" x14ac:dyDescent="0.2">
      <c r="B57" s="581"/>
      <c r="C57" s="581"/>
      <c r="D57" s="581"/>
      <c r="E57" s="581"/>
      <c r="F57" s="581"/>
      <c r="G57" s="581"/>
      <c r="H57" s="581"/>
      <c r="I57" s="581"/>
      <c r="J57" s="581"/>
      <c r="K57" s="581"/>
      <c r="L57" s="581"/>
      <c r="M57" s="581"/>
      <c r="N57" s="581"/>
      <c r="O57" s="994">
        <v>55</v>
      </c>
      <c r="P57" s="995" t="s">
        <v>2139</v>
      </c>
      <c r="Q57" s="996">
        <v>0.10137151069518717</v>
      </c>
      <c r="R57" s="581"/>
    </row>
    <row r="58" spans="2:18" x14ac:dyDescent="0.2">
      <c r="B58" s="581"/>
      <c r="C58" s="581"/>
      <c r="D58" s="581"/>
      <c r="E58" s="581"/>
      <c r="F58" s="581"/>
      <c r="G58" s="581"/>
      <c r="H58" s="581"/>
      <c r="I58" s="581"/>
      <c r="J58" s="581"/>
      <c r="K58" s="581"/>
      <c r="L58" s="581"/>
      <c r="M58" s="581"/>
      <c r="N58" s="581"/>
      <c r="O58" s="994">
        <v>56</v>
      </c>
      <c r="P58" s="995" t="s">
        <v>2140</v>
      </c>
      <c r="Q58" s="996">
        <v>0.11209953547297297</v>
      </c>
      <c r="R58" s="581"/>
    </row>
    <row r="59" spans="2:18" x14ac:dyDescent="0.2">
      <c r="B59" s="581"/>
      <c r="C59" s="581"/>
      <c r="D59" s="581"/>
      <c r="E59" s="581"/>
      <c r="F59" s="581"/>
      <c r="G59" s="581"/>
      <c r="H59" s="581"/>
      <c r="I59" s="581"/>
      <c r="J59" s="581"/>
      <c r="K59" s="581"/>
      <c r="L59" s="581"/>
      <c r="M59" s="581"/>
      <c r="N59" s="581"/>
      <c r="O59" s="994">
        <v>57</v>
      </c>
      <c r="P59" s="995" t="s">
        <v>2141</v>
      </c>
      <c r="Q59" s="996">
        <v>0.1524875</v>
      </c>
      <c r="R59" s="581"/>
    </row>
    <row r="60" spans="2:18" x14ac:dyDescent="0.2">
      <c r="B60" s="581"/>
      <c r="C60" s="581"/>
      <c r="D60" s="581"/>
      <c r="E60" s="581"/>
      <c r="F60" s="581"/>
      <c r="G60" s="581"/>
      <c r="H60" s="581"/>
      <c r="I60" s="581"/>
      <c r="J60" s="581"/>
      <c r="K60" s="581"/>
      <c r="L60" s="581"/>
      <c r="M60" s="581"/>
      <c r="N60" s="581"/>
      <c r="O60" s="994">
        <v>58</v>
      </c>
      <c r="P60" s="995" t="s">
        <v>2142</v>
      </c>
      <c r="Q60" s="996">
        <v>0.20300628314350863</v>
      </c>
      <c r="R60" s="581"/>
    </row>
    <row r="61" spans="2:18" x14ac:dyDescent="0.2">
      <c r="B61" s="581"/>
      <c r="C61" s="581"/>
      <c r="D61" s="581"/>
      <c r="E61" s="581"/>
      <c r="F61" s="581"/>
      <c r="G61" s="581"/>
      <c r="H61" s="581"/>
      <c r="I61" s="581"/>
      <c r="J61" s="581"/>
      <c r="K61" s="581"/>
      <c r="L61" s="581"/>
      <c r="M61" s="581"/>
      <c r="N61" s="581"/>
      <c r="O61" s="994">
        <v>59</v>
      </c>
      <c r="P61" s="995" t="s">
        <v>2143</v>
      </c>
      <c r="Q61" s="996">
        <v>9.0999999999999998E-2</v>
      </c>
      <c r="R61" s="581"/>
    </row>
    <row r="62" spans="2:18" x14ac:dyDescent="0.2">
      <c r="B62" s="581"/>
      <c r="C62" s="581"/>
      <c r="D62" s="581"/>
      <c r="E62" s="581"/>
      <c r="F62" s="581"/>
      <c r="G62" s="581"/>
      <c r="H62" s="581"/>
      <c r="I62" s="581"/>
      <c r="J62" s="581"/>
      <c r="K62" s="581"/>
      <c r="L62" s="581"/>
      <c r="M62" s="581"/>
      <c r="N62" s="581"/>
      <c r="O62" s="994">
        <v>60</v>
      </c>
      <c r="P62" s="995" t="s">
        <v>2144</v>
      </c>
      <c r="Q62" s="996">
        <v>0.126397006395776</v>
      </c>
      <c r="R62" s="581"/>
    </row>
    <row r="63" spans="2:18" x14ac:dyDescent="0.2">
      <c r="B63" s="581"/>
      <c r="C63" s="581"/>
      <c r="D63" s="581"/>
      <c r="E63" s="581"/>
      <c r="F63" s="581"/>
      <c r="G63" s="581"/>
      <c r="H63" s="581"/>
      <c r="I63" s="581"/>
      <c r="J63" s="581"/>
      <c r="K63" s="581"/>
      <c r="L63" s="581"/>
      <c r="M63" s="581"/>
      <c r="N63" s="581"/>
      <c r="O63" s="994">
        <v>61</v>
      </c>
      <c r="P63" s="995" t="s">
        <v>2145</v>
      </c>
      <c r="Q63" s="996">
        <v>0.25478997126274289</v>
      </c>
      <c r="R63" s="581"/>
    </row>
    <row r="64" spans="2:18" x14ac:dyDescent="0.2">
      <c r="B64" s="581"/>
      <c r="C64" s="581"/>
      <c r="D64" s="581"/>
      <c r="E64" s="581"/>
      <c r="F64" s="581"/>
      <c r="G64" s="581"/>
      <c r="H64" s="581"/>
      <c r="I64" s="581"/>
      <c r="J64" s="581"/>
      <c r="K64" s="581"/>
      <c r="L64" s="581"/>
      <c r="M64" s="581"/>
      <c r="N64" s="581"/>
      <c r="O64" s="994">
        <v>62</v>
      </c>
      <c r="P64" s="995" t="s">
        <v>2146</v>
      </c>
      <c r="Q64" s="996">
        <v>0.25130775937227556</v>
      </c>
      <c r="R64" s="581"/>
    </row>
    <row r="65" spans="2:18" x14ac:dyDescent="0.2">
      <c r="B65" s="581"/>
      <c r="C65" s="581"/>
      <c r="D65" s="581"/>
      <c r="E65" s="581"/>
      <c r="F65" s="581"/>
      <c r="G65" s="581"/>
      <c r="H65" s="581"/>
      <c r="I65" s="581"/>
      <c r="J65" s="581"/>
      <c r="K65" s="581"/>
      <c r="L65" s="581"/>
      <c r="M65" s="581"/>
      <c r="N65" s="581"/>
      <c r="O65" s="994">
        <v>63</v>
      </c>
      <c r="P65" s="995" t="s">
        <v>2147</v>
      </c>
      <c r="Q65" s="996">
        <v>0.2049390784743943</v>
      </c>
      <c r="R65" s="581"/>
    </row>
    <row r="66" spans="2:18" x14ac:dyDescent="0.2">
      <c r="B66" s="581"/>
      <c r="C66" s="581"/>
      <c r="D66" s="581"/>
      <c r="E66" s="581"/>
      <c r="F66" s="581"/>
      <c r="G66" s="581"/>
      <c r="H66" s="581"/>
      <c r="I66" s="581"/>
      <c r="J66" s="581"/>
      <c r="K66" s="581"/>
      <c r="L66" s="581"/>
      <c r="M66" s="581"/>
      <c r="N66" s="581"/>
      <c r="O66" s="994">
        <v>64</v>
      </c>
      <c r="P66" s="995" t="s">
        <v>2148</v>
      </c>
      <c r="Q66" s="996">
        <v>0.06</v>
      </c>
      <c r="R66" s="581"/>
    </row>
    <row r="67" spans="2:18" x14ac:dyDescent="0.2">
      <c r="B67" s="581"/>
      <c r="C67" s="581"/>
      <c r="D67" s="581"/>
      <c r="E67" s="581"/>
      <c r="F67" s="581"/>
      <c r="G67" s="581"/>
      <c r="H67" s="581"/>
      <c r="I67" s="581"/>
      <c r="J67" s="581"/>
      <c r="K67" s="581"/>
      <c r="L67" s="581"/>
      <c r="M67" s="581"/>
      <c r="N67" s="581"/>
      <c r="O67" s="994">
        <v>65</v>
      </c>
      <c r="P67" s="995" t="s">
        <v>2149</v>
      </c>
      <c r="Q67" s="996">
        <v>0.12041666666666666</v>
      </c>
      <c r="R67" s="581"/>
    </row>
    <row r="68" spans="2:18" x14ac:dyDescent="0.2">
      <c r="B68" s="581"/>
      <c r="C68" s="581"/>
      <c r="D68" s="581"/>
      <c r="E68" s="581"/>
      <c r="F68" s="581"/>
      <c r="G68" s="581"/>
      <c r="H68" s="581"/>
      <c r="I68" s="581"/>
      <c r="J68" s="581"/>
      <c r="K68" s="581"/>
      <c r="L68" s="581"/>
      <c r="M68" s="581"/>
      <c r="N68" s="581"/>
      <c r="O68" s="994">
        <v>66</v>
      </c>
      <c r="P68" s="995" t="s">
        <v>2150</v>
      </c>
      <c r="Q68" s="996">
        <v>0.16345999999999997</v>
      </c>
      <c r="R68" s="581"/>
    </row>
    <row r="69" spans="2:18" x14ac:dyDescent="0.2">
      <c r="B69" s="581"/>
      <c r="C69" s="581"/>
      <c r="D69" s="581"/>
      <c r="E69" s="581"/>
      <c r="F69" s="581"/>
      <c r="G69" s="581"/>
      <c r="H69" s="581"/>
      <c r="I69" s="581"/>
      <c r="J69" s="581"/>
      <c r="K69" s="581"/>
      <c r="L69" s="581"/>
      <c r="M69" s="581"/>
      <c r="N69" s="581"/>
      <c r="O69" s="994">
        <v>67</v>
      </c>
      <c r="P69" s="995" t="s">
        <v>2151</v>
      </c>
      <c r="Q69" s="996">
        <v>0.15679162885662432</v>
      </c>
      <c r="R69" s="581"/>
    </row>
    <row r="70" spans="2:18" x14ac:dyDescent="0.2">
      <c r="B70" s="581"/>
      <c r="C70" s="581"/>
      <c r="D70" s="581"/>
      <c r="E70" s="581"/>
      <c r="F70" s="581"/>
      <c r="G70" s="581"/>
      <c r="H70" s="581"/>
      <c r="I70" s="581"/>
      <c r="J70" s="581"/>
      <c r="K70" s="581"/>
      <c r="L70" s="581"/>
      <c r="M70" s="581"/>
      <c r="N70" s="581"/>
      <c r="O70" s="994">
        <v>68</v>
      </c>
      <c r="P70" s="995" t="s">
        <v>2152</v>
      </c>
      <c r="Q70" s="996">
        <v>0.14141041666666668</v>
      </c>
      <c r="R70" s="581"/>
    </row>
    <row r="71" spans="2:18" x14ac:dyDescent="0.2">
      <c r="B71" s="581"/>
      <c r="C71" s="581"/>
      <c r="D71" s="581"/>
      <c r="E71" s="581"/>
      <c r="F71" s="581"/>
      <c r="G71" s="581"/>
      <c r="H71" s="581"/>
      <c r="I71" s="581"/>
      <c r="J71" s="581"/>
      <c r="K71" s="581"/>
      <c r="L71" s="581"/>
      <c r="M71" s="581"/>
      <c r="N71" s="581"/>
      <c r="O71" s="994">
        <v>69</v>
      </c>
      <c r="P71" s="995" t="s">
        <v>2153</v>
      </c>
      <c r="Q71" s="996">
        <v>0.08</v>
      </c>
      <c r="R71" s="581"/>
    </row>
    <row r="72" spans="2:18" x14ac:dyDescent="0.2">
      <c r="B72" s="581"/>
      <c r="C72" s="581"/>
      <c r="D72" s="581"/>
      <c r="E72" s="581"/>
      <c r="F72" s="581"/>
      <c r="G72" s="581"/>
      <c r="H72" s="581"/>
      <c r="I72" s="581"/>
      <c r="J72" s="581"/>
      <c r="K72" s="581"/>
      <c r="L72" s="581"/>
      <c r="M72" s="581"/>
      <c r="N72" s="581"/>
      <c r="O72" s="994">
        <v>70</v>
      </c>
      <c r="P72" s="995" t="s">
        <v>2154</v>
      </c>
      <c r="Q72" s="996">
        <v>0.11744444444444445</v>
      </c>
      <c r="R72" s="581"/>
    </row>
    <row r="73" spans="2:18" x14ac:dyDescent="0.2">
      <c r="B73" s="581"/>
      <c r="C73" s="581"/>
      <c r="D73" s="581"/>
      <c r="E73" s="581"/>
      <c r="F73" s="581"/>
      <c r="G73" s="581"/>
      <c r="H73" s="581"/>
      <c r="I73" s="581"/>
      <c r="J73" s="581"/>
      <c r="K73" s="581"/>
      <c r="L73" s="581"/>
      <c r="M73" s="581"/>
      <c r="N73" s="581"/>
      <c r="O73" s="994">
        <v>71</v>
      </c>
      <c r="P73" s="995" t="s">
        <v>2155</v>
      </c>
      <c r="Q73" s="996">
        <v>3.2187594299062962E-2</v>
      </c>
      <c r="R73" s="581"/>
    </row>
    <row r="74" spans="2:18" x14ac:dyDescent="0.2">
      <c r="B74" s="581"/>
      <c r="C74" s="581"/>
      <c r="D74" s="581"/>
      <c r="E74" s="581"/>
      <c r="F74" s="581"/>
      <c r="G74" s="581"/>
      <c r="H74" s="581"/>
      <c r="I74" s="581"/>
      <c r="J74" s="581"/>
      <c r="K74" s="581"/>
      <c r="L74" s="581"/>
      <c r="M74" s="581"/>
      <c r="N74" s="581"/>
      <c r="O74" s="994">
        <v>72</v>
      </c>
      <c r="P74" s="995" t="s">
        <v>2156</v>
      </c>
      <c r="Q74" s="996">
        <v>9.2269047619047626E-2</v>
      </c>
      <c r="R74" s="581"/>
    </row>
    <row r="75" spans="2:18" x14ac:dyDescent="0.2">
      <c r="B75" s="581"/>
      <c r="C75" s="581"/>
      <c r="D75" s="581"/>
      <c r="E75" s="581"/>
      <c r="F75" s="581"/>
      <c r="G75" s="581"/>
      <c r="H75" s="581"/>
      <c r="I75" s="581"/>
      <c r="J75" s="581"/>
      <c r="K75" s="581"/>
      <c r="L75" s="581"/>
      <c r="M75" s="581"/>
      <c r="N75" s="581"/>
      <c r="O75" s="994">
        <v>73</v>
      </c>
      <c r="P75" s="995" t="s">
        <v>2157</v>
      </c>
      <c r="Q75" s="996">
        <v>0.11565507031828275</v>
      </c>
      <c r="R75" s="581"/>
    </row>
    <row r="76" spans="2:18" x14ac:dyDescent="0.2">
      <c r="B76" s="581"/>
      <c r="C76" s="581"/>
      <c r="D76" s="581"/>
      <c r="E76" s="581"/>
      <c r="F76" s="581"/>
      <c r="G76" s="581"/>
      <c r="H76" s="581"/>
      <c r="I76" s="581"/>
      <c r="J76" s="581"/>
      <c r="K76" s="581"/>
      <c r="L76" s="581"/>
      <c r="M76" s="581"/>
      <c r="N76" s="581"/>
      <c r="O76" s="994">
        <v>74</v>
      </c>
      <c r="P76" s="995" t="s">
        <v>2158</v>
      </c>
      <c r="Q76" s="996">
        <v>8.9227115384615377E-2</v>
      </c>
      <c r="R76" s="581"/>
    </row>
    <row r="77" spans="2:18" x14ac:dyDescent="0.2">
      <c r="B77" s="581"/>
      <c r="C77" s="581"/>
      <c r="D77" s="581"/>
      <c r="E77" s="581"/>
      <c r="F77" s="581"/>
      <c r="G77" s="581"/>
      <c r="H77" s="581"/>
      <c r="I77" s="581"/>
      <c r="J77" s="581"/>
      <c r="K77" s="581"/>
      <c r="L77" s="581"/>
      <c r="M77" s="581"/>
      <c r="N77" s="581"/>
      <c r="O77" s="994">
        <v>75</v>
      </c>
      <c r="P77" s="995" t="s">
        <v>2159</v>
      </c>
      <c r="Q77" s="996">
        <v>0.14914711644130152</v>
      </c>
      <c r="R77" s="581"/>
    </row>
    <row r="78" spans="2:18" x14ac:dyDescent="0.2">
      <c r="B78" s="581"/>
      <c r="C78" s="581"/>
      <c r="D78" s="581"/>
      <c r="E78" s="581"/>
      <c r="F78" s="581"/>
      <c r="G78" s="581"/>
      <c r="H78" s="581"/>
      <c r="I78" s="581"/>
      <c r="J78" s="581"/>
      <c r="K78" s="581"/>
      <c r="L78" s="581"/>
      <c r="M78" s="581"/>
      <c r="N78" s="581"/>
      <c r="O78" s="994">
        <v>76</v>
      </c>
      <c r="P78" s="995" t="s">
        <v>2160</v>
      </c>
      <c r="Q78" s="996">
        <v>0.33354310887350541</v>
      </c>
      <c r="R78" s="581"/>
    </row>
    <row r="79" spans="2:18" x14ac:dyDescent="0.2">
      <c r="B79" s="581"/>
      <c r="C79" s="581"/>
      <c r="D79" s="581"/>
      <c r="E79" s="581"/>
      <c r="F79" s="581"/>
      <c r="G79" s="581"/>
      <c r="H79" s="581"/>
      <c r="I79" s="581"/>
      <c r="J79" s="581"/>
      <c r="K79" s="581"/>
      <c r="L79" s="581"/>
      <c r="M79" s="581"/>
      <c r="N79" s="581"/>
      <c r="O79" s="994">
        <v>77</v>
      </c>
      <c r="P79" s="995" t="s">
        <v>2161</v>
      </c>
      <c r="Q79" s="996">
        <v>0.18</v>
      </c>
      <c r="R79" s="581"/>
    </row>
    <row r="80" spans="2:18" x14ac:dyDescent="0.2">
      <c r="B80" s="581"/>
      <c r="C80" s="581"/>
      <c r="D80" s="581"/>
      <c r="E80" s="581"/>
      <c r="F80" s="581"/>
      <c r="G80" s="581"/>
      <c r="H80" s="581"/>
      <c r="I80" s="581"/>
      <c r="J80" s="581"/>
      <c r="K80" s="581"/>
      <c r="L80" s="581"/>
      <c r="M80" s="581"/>
      <c r="N80" s="581"/>
      <c r="O80" s="994">
        <v>78</v>
      </c>
      <c r="P80" s="995" t="s">
        <v>2162</v>
      </c>
      <c r="Q80" s="996">
        <v>0.14385425292795501</v>
      </c>
      <c r="R80" s="581"/>
    </row>
    <row r="81" spans="2:18" x14ac:dyDescent="0.2">
      <c r="B81" s="581"/>
      <c r="C81" s="581"/>
      <c r="D81" s="581"/>
      <c r="E81" s="581"/>
      <c r="F81" s="581"/>
      <c r="G81" s="581"/>
      <c r="H81" s="581"/>
      <c r="I81" s="581"/>
      <c r="J81" s="581"/>
      <c r="K81" s="581"/>
      <c r="L81" s="581"/>
      <c r="M81" s="581"/>
      <c r="N81" s="581"/>
      <c r="O81" s="994">
        <v>79</v>
      </c>
      <c r="P81" s="995" t="s">
        <v>2163</v>
      </c>
      <c r="Q81" s="996">
        <v>0.16716814098431121</v>
      </c>
      <c r="R81" s="581"/>
    </row>
    <row r="82" spans="2:18" x14ac:dyDescent="0.2">
      <c r="B82" s="581"/>
      <c r="C82" s="581"/>
      <c r="D82" s="581"/>
      <c r="E82" s="581"/>
      <c r="F82" s="581"/>
      <c r="G82" s="581"/>
      <c r="H82" s="581"/>
      <c r="I82" s="581"/>
      <c r="J82" s="581"/>
      <c r="K82" s="581"/>
      <c r="L82" s="581"/>
      <c r="M82" s="581"/>
      <c r="N82" s="581"/>
      <c r="O82" s="994">
        <v>80</v>
      </c>
      <c r="P82" s="995" t="s">
        <v>2164</v>
      </c>
      <c r="Q82" s="996">
        <v>0.17399999999999999</v>
      </c>
      <c r="R82" s="581"/>
    </row>
    <row r="83" spans="2:18" x14ac:dyDescent="0.2">
      <c r="B83" s="581"/>
      <c r="C83" s="581"/>
      <c r="D83" s="581"/>
      <c r="E83" s="581"/>
      <c r="F83" s="581"/>
      <c r="G83" s="581"/>
      <c r="H83" s="581"/>
      <c r="I83" s="581"/>
      <c r="J83" s="581"/>
      <c r="K83" s="581"/>
      <c r="L83" s="581"/>
      <c r="M83" s="581"/>
      <c r="N83" s="581"/>
      <c r="O83" s="994">
        <v>81</v>
      </c>
      <c r="P83" s="995" t="s">
        <v>2165</v>
      </c>
      <c r="Q83" s="996">
        <v>8.0022350696502653E-2</v>
      </c>
      <c r="R83" s="581"/>
    </row>
    <row r="84" spans="2:18" x14ac:dyDescent="0.2">
      <c r="B84" s="581"/>
      <c r="C84" s="581"/>
      <c r="D84" s="581"/>
      <c r="E84" s="581"/>
      <c r="F84" s="581"/>
      <c r="G84" s="581"/>
      <c r="H84" s="581"/>
      <c r="I84" s="581"/>
      <c r="J84" s="581"/>
      <c r="K84" s="581"/>
      <c r="L84" s="581"/>
      <c r="M84" s="581"/>
      <c r="N84" s="581"/>
      <c r="O84" s="994">
        <v>82</v>
      </c>
      <c r="P84" s="995" t="s">
        <v>2166</v>
      </c>
      <c r="Q84" s="996">
        <v>9.5273333333333335E-2</v>
      </c>
      <c r="R84" s="581"/>
    </row>
    <row r="85" spans="2:18" x14ac:dyDescent="0.2">
      <c r="B85" s="581"/>
      <c r="C85" s="581"/>
      <c r="D85" s="581"/>
      <c r="E85" s="581"/>
      <c r="F85" s="581"/>
      <c r="G85" s="581"/>
      <c r="H85" s="581"/>
      <c r="I85" s="581"/>
      <c r="J85" s="581"/>
      <c r="K85" s="581"/>
      <c r="L85" s="581"/>
      <c r="M85" s="581"/>
      <c r="N85" s="581"/>
      <c r="O85" s="994">
        <v>83</v>
      </c>
      <c r="P85" s="995" t="s">
        <v>2167</v>
      </c>
      <c r="Q85" s="996">
        <v>0.11944545454545454</v>
      </c>
      <c r="R85" s="581"/>
    </row>
    <row r="86" spans="2:18" x14ac:dyDescent="0.2">
      <c r="B86" s="581"/>
      <c r="C86" s="581"/>
      <c r="D86" s="581"/>
      <c r="E86" s="581"/>
      <c r="F86" s="581"/>
      <c r="G86" s="581"/>
      <c r="H86" s="581"/>
      <c r="I86" s="581"/>
      <c r="J86" s="581"/>
      <c r="K86" s="581"/>
      <c r="L86" s="581"/>
      <c r="M86" s="581"/>
      <c r="N86" s="581"/>
      <c r="O86" s="994">
        <v>84</v>
      </c>
      <c r="P86" s="995" t="s">
        <v>2168</v>
      </c>
      <c r="Q86" s="996">
        <v>0.10148488612836438</v>
      </c>
      <c r="R86" s="581"/>
    </row>
    <row r="87" spans="2:18" x14ac:dyDescent="0.2">
      <c r="B87" s="581"/>
      <c r="C87" s="581"/>
      <c r="D87" s="581"/>
      <c r="E87" s="581"/>
      <c r="F87" s="581"/>
      <c r="G87" s="581"/>
      <c r="H87" s="581"/>
      <c r="I87" s="581"/>
      <c r="J87" s="581"/>
      <c r="K87" s="581"/>
      <c r="L87" s="581"/>
      <c r="M87" s="581"/>
      <c r="N87" s="581"/>
      <c r="O87" s="994">
        <v>85</v>
      </c>
      <c r="P87" s="995" t="s">
        <v>2169</v>
      </c>
      <c r="Q87" s="996">
        <v>0.17212666666666668</v>
      </c>
      <c r="R87" s="581"/>
    </row>
    <row r="88" spans="2:18" x14ac:dyDescent="0.2">
      <c r="B88" s="581"/>
      <c r="C88" s="581"/>
      <c r="D88" s="581"/>
      <c r="E88" s="581"/>
      <c r="F88" s="581"/>
      <c r="G88" s="581"/>
      <c r="H88" s="581"/>
      <c r="I88" s="581"/>
      <c r="J88" s="581"/>
      <c r="K88" s="581"/>
      <c r="L88" s="581"/>
      <c r="M88" s="581"/>
      <c r="N88" s="581"/>
      <c r="O88" s="994">
        <v>86</v>
      </c>
      <c r="P88" s="995" t="s">
        <v>2170</v>
      </c>
      <c r="Q88" s="996">
        <v>6.3676513500118825E-2</v>
      </c>
      <c r="R88" s="581"/>
    </row>
    <row r="89" spans="2:18" x14ac:dyDescent="0.2">
      <c r="B89" s="581"/>
      <c r="C89" s="581"/>
      <c r="D89" s="581"/>
      <c r="E89" s="581"/>
      <c r="F89" s="581"/>
      <c r="G89" s="581"/>
      <c r="H89" s="581"/>
      <c r="I89" s="581"/>
      <c r="J89" s="581"/>
      <c r="K89" s="581"/>
      <c r="L89" s="581"/>
      <c r="M89" s="581"/>
      <c r="N89" s="581"/>
      <c r="O89" s="994">
        <v>87</v>
      </c>
      <c r="P89" s="995" t="s">
        <v>2171</v>
      </c>
      <c r="Q89" s="996">
        <v>0.18642063492063493</v>
      </c>
      <c r="R89" s="581"/>
    </row>
    <row r="90" spans="2:18" x14ac:dyDescent="0.2">
      <c r="B90" s="581"/>
      <c r="C90" s="581"/>
      <c r="D90" s="581"/>
      <c r="E90" s="581"/>
      <c r="F90" s="581"/>
      <c r="G90" s="581"/>
      <c r="H90" s="581"/>
      <c r="I90" s="581"/>
      <c r="J90" s="581"/>
      <c r="K90" s="581"/>
      <c r="L90" s="581"/>
      <c r="M90" s="581"/>
      <c r="N90" s="581"/>
      <c r="O90" s="994">
        <v>88</v>
      </c>
      <c r="P90" s="995" t="s">
        <v>2172</v>
      </c>
      <c r="Q90" s="996">
        <v>0.10912763157894735</v>
      </c>
      <c r="R90" s="581"/>
    </row>
    <row r="91" spans="2:18" x14ac:dyDescent="0.2">
      <c r="B91" s="581"/>
      <c r="C91" s="581"/>
      <c r="D91" s="581"/>
      <c r="E91" s="581"/>
      <c r="F91" s="581"/>
      <c r="G91" s="581"/>
      <c r="H91" s="581"/>
      <c r="I91" s="581"/>
      <c r="J91" s="581"/>
      <c r="K91" s="581"/>
      <c r="L91" s="581"/>
      <c r="M91" s="581"/>
      <c r="N91" s="581"/>
      <c r="O91" s="994">
        <v>89</v>
      </c>
      <c r="P91" s="995" t="s">
        <v>2173</v>
      </c>
      <c r="Q91" s="996">
        <v>7.9449494055148007E-2</v>
      </c>
      <c r="R91" s="581"/>
    </row>
    <row r="92" spans="2:18" x14ac:dyDescent="0.2">
      <c r="B92" s="581"/>
      <c r="C92" s="581"/>
      <c r="D92" s="581"/>
      <c r="E92" s="581"/>
      <c r="F92" s="581"/>
      <c r="G92" s="581"/>
      <c r="H92" s="581"/>
      <c r="I92" s="581"/>
      <c r="J92" s="581"/>
      <c r="K92" s="581"/>
      <c r="L92" s="581"/>
      <c r="M92" s="581"/>
      <c r="N92" s="581"/>
      <c r="O92" s="994">
        <v>90</v>
      </c>
      <c r="P92" s="995" t="s">
        <v>2174</v>
      </c>
      <c r="Q92" s="996">
        <v>8.2048571428571415E-2</v>
      </c>
      <c r="R92" s="581"/>
    </row>
    <row r="93" spans="2:18" x14ac:dyDescent="0.2">
      <c r="B93" s="581"/>
      <c r="C93" s="581"/>
      <c r="D93" s="581"/>
      <c r="E93" s="581"/>
      <c r="F93" s="581"/>
      <c r="G93" s="581"/>
      <c r="H93" s="581"/>
      <c r="I93" s="581"/>
      <c r="J93" s="581"/>
      <c r="K93" s="581"/>
      <c r="L93" s="581"/>
      <c r="M93" s="581"/>
      <c r="N93" s="581"/>
      <c r="O93" s="994">
        <v>91</v>
      </c>
      <c r="P93" s="995" t="s">
        <v>2175</v>
      </c>
      <c r="Q93" s="996">
        <v>0.15</v>
      </c>
      <c r="R93" s="581"/>
    </row>
    <row r="94" spans="2:18" x14ac:dyDescent="0.2">
      <c r="B94" s="581"/>
      <c r="C94" s="581"/>
      <c r="D94" s="581"/>
      <c r="E94" s="581"/>
      <c r="F94" s="581"/>
      <c r="G94" s="581"/>
      <c r="H94" s="581"/>
      <c r="I94" s="581"/>
      <c r="J94" s="581"/>
      <c r="K94" s="581"/>
      <c r="L94" s="581"/>
      <c r="M94" s="581"/>
      <c r="N94" s="581"/>
      <c r="O94" s="994">
        <v>92</v>
      </c>
      <c r="P94" s="995" t="s">
        <v>2176</v>
      </c>
      <c r="Q94" s="996">
        <v>0.12271333333333334</v>
      </c>
      <c r="R94" s="581"/>
    </row>
    <row r="95" spans="2:18" x14ac:dyDescent="0.2">
      <c r="B95" s="581"/>
      <c r="C95" s="581"/>
      <c r="D95" s="581"/>
      <c r="E95" s="581"/>
      <c r="F95" s="581"/>
      <c r="G95" s="581"/>
      <c r="H95" s="581"/>
      <c r="I95" s="581"/>
      <c r="J95" s="581"/>
      <c r="K95" s="581"/>
      <c r="L95" s="581"/>
      <c r="M95" s="581"/>
      <c r="N95" s="581"/>
      <c r="O95" s="994">
        <v>93</v>
      </c>
      <c r="P95" s="995" t="s">
        <v>2177</v>
      </c>
      <c r="Q95" s="996">
        <v>8.5111731666558998E-2</v>
      </c>
      <c r="R95" s="581"/>
    </row>
    <row r="96" spans="2:18" x14ac:dyDescent="0.2">
      <c r="B96" s="581"/>
      <c r="C96" s="581"/>
      <c r="D96" s="581"/>
      <c r="E96" s="581"/>
      <c r="F96" s="581"/>
      <c r="G96" s="581"/>
      <c r="H96" s="581"/>
      <c r="I96" s="581"/>
      <c r="J96" s="581"/>
      <c r="K96" s="581"/>
      <c r="L96" s="581"/>
      <c r="M96" s="581"/>
      <c r="N96" s="581"/>
      <c r="O96" s="994">
        <v>94</v>
      </c>
      <c r="P96" s="995" t="s">
        <v>2178</v>
      </c>
      <c r="Q96" s="996">
        <v>0.14799999999999999</v>
      </c>
      <c r="R96" s="581"/>
    </row>
    <row r="97" spans="2:18" x14ac:dyDescent="0.2">
      <c r="B97" s="581"/>
      <c r="C97" s="581"/>
      <c r="D97" s="581"/>
      <c r="E97" s="581"/>
      <c r="F97" s="581"/>
      <c r="G97" s="581"/>
      <c r="H97" s="581"/>
      <c r="I97" s="581"/>
      <c r="J97" s="581"/>
      <c r="K97" s="581"/>
      <c r="L97" s="581"/>
      <c r="M97" s="581"/>
      <c r="N97" s="581"/>
      <c r="O97" s="994">
        <v>95</v>
      </c>
      <c r="P97" s="995" t="s">
        <v>2179</v>
      </c>
      <c r="Q97" s="996">
        <v>7.9000000000000001E-2</v>
      </c>
      <c r="R97" s="581"/>
    </row>
    <row r="98" spans="2:18" x14ac:dyDescent="0.2">
      <c r="B98" s="581"/>
      <c r="C98" s="581"/>
      <c r="D98" s="581"/>
      <c r="E98" s="581"/>
      <c r="F98" s="581"/>
      <c r="G98" s="581"/>
      <c r="H98" s="581"/>
      <c r="I98" s="581"/>
      <c r="J98" s="581"/>
      <c r="K98" s="581"/>
      <c r="L98" s="581"/>
      <c r="M98" s="581"/>
      <c r="N98" s="581"/>
      <c r="O98" s="994">
        <v>96</v>
      </c>
      <c r="P98" s="995" t="s">
        <v>2180</v>
      </c>
      <c r="Q98" s="996">
        <v>0.11151947087594487</v>
      </c>
      <c r="R98" s="581"/>
    </row>
    <row r="99" spans="2:18" x14ac:dyDescent="0.2">
      <c r="B99" s="581"/>
      <c r="C99" s="581"/>
      <c r="D99" s="581"/>
      <c r="E99" s="581"/>
      <c r="F99" s="581"/>
      <c r="G99" s="581"/>
      <c r="H99" s="581"/>
      <c r="I99" s="581"/>
      <c r="J99" s="581"/>
      <c r="K99" s="581"/>
      <c r="L99" s="581"/>
      <c r="M99" s="581"/>
      <c r="N99" s="581"/>
      <c r="O99" s="994">
        <v>97</v>
      </c>
      <c r="P99" s="995" t="s">
        <v>2181</v>
      </c>
      <c r="Q99" s="996">
        <v>0.16297</v>
      </c>
      <c r="R99" s="581"/>
    </row>
    <row r="100" spans="2:18" x14ac:dyDescent="0.2">
      <c r="B100" s="581"/>
      <c r="C100" s="581"/>
      <c r="D100" s="581"/>
      <c r="E100" s="581"/>
      <c r="F100" s="581"/>
      <c r="G100" s="581"/>
      <c r="H100" s="581"/>
      <c r="I100" s="581"/>
      <c r="J100" s="581"/>
      <c r="K100" s="581"/>
      <c r="L100" s="581"/>
      <c r="M100" s="581"/>
      <c r="N100" s="581"/>
      <c r="O100" s="994">
        <v>98</v>
      </c>
      <c r="P100" s="995" t="s">
        <v>2182</v>
      </c>
      <c r="Q100" s="996">
        <v>6.062502787068004E-2</v>
      </c>
      <c r="R100" s="581"/>
    </row>
    <row r="101" spans="2:18" x14ac:dyDescent="0.2">
      <c r="B101" s="581"/>
      <c r="C101" s="581"/>
      <c r="D101" s="581"/>
      <c r="E101" s="581"/>
      <c r="F101" s="581"/>
      <c r="G101" s="581"/>
      <c r="H101" s="581"/>
      <c r="I101" s="581"/>
      <c r="J101" s="581"/>
      <c r="K101" s="581"/>
      <c r="L101" s="581"/>
      <c r="M101" s="581"/>
      <c r="N101" s="581"/>
      <c r="O101" s="994">
        <v>99</v>
      </c>
      <c r="P101" s="995" t="s">
        <v>2183</v>
      </c>
      <c r="Q101" s="996">
        <v>0.14799999999999999</v>
      </c>
      <c r="R101" s="581"/>
    </row>
    <row r="102" spans="2:18" x14ac:dyDescent="0.2">
      <c r="B102" s="581"/>
      <c r="C102" s="581"/>
      <c r="D102" s="581"/>
      <c r="E102" s="581"/>
      <c r="F102" s="581"/>
      <c r="G102" s="581"/>
      <c r="H102" s="581"/>
      <c r="I102" s="581"/>
      <c r="J102" s="581"/>
      <c r="K102" s="581"/>
      <c r="L102" s="581"/>
      <c r="M102" s="581"/>
      <c r="N102" s="581"/>
      <c r="O102" s="994">
        <v>100</v>
      </c>
      <c r="P102" s="995" t="s">
        <v>2184</v>
      </c>
      <c r="Q102" s="996">
        <v>8.5000000000000006E-2</v>
      </c>
      <c r="R102" s="581"/>
    </row>
    <row r="103" spans="2:18" x14ac:dyDescent="0.2">
      <c r="B103" s="581"/>
      <c r="C103" s="581"/>
      <c r="D103" s="581"/>
      <c r="E103" s="581"/>
      <c r="F103" s="581"/>
      <c r="G103" s="581"/>
      <c r="H103" s="581"/>
      <c r="I103" s="581"/>
      <c r="J103" s="581"/>
      <c r="K103" s="581"/>
      <c r="L103" s="581"/>
      <c r="M103" s="581"/>
      <c r="N103" s="581"/>
      <c r="O103" s="994">
        <v>101</v>
      </c>
      <c r="P103" s="995" t="s">
        <v>2185</v>
      </c>
      <c r="Q103" s="996">
        <v>0.14837228066908734</v>
      </c>
      <c r="R103" s="581"/>
    </row>
    <row r="104" spans="2:18" x14ac:dyDescent="0.2">
      <c r="B104" s="581"/>
      <c r="C104" s="581"/>
      <c r="D104" s="581"/>
      <c r="E104" s="581"/>
      <c r="F104" s="581"/>
      <c r="G104" s="581"/>
      <c r="H104" s="581"/>
      <c r="I104" s="581"/>
      <c r="J104" s="581"/>
      <c r="K104" s="581"/>
      <c r="L104" s="581"/>
      <c r="M104" s="581"/>
      <c r="N104" s="581"/>
      <c r="O104" s="994">
        <v>102</v>
      </c>
      <c r="P104" s="995" t="s">
        <v>2186</v>
      </c>
      <c r="Q104" s="996">
        <v>6.9500000000000006E-2</v>
      </c>
      <c r="R104" s="581"/>
    </row>
    <row r="105" spans="2:18" x14ac:dyDescent="0.2">
      <c r="B105" s="581"/>
      <c r="C105" s="581"/>
      <c r="D105" s="581"/>
      <c r="E105" s="581"/>
      <c r="F105" s="581"/>
      <c r="G105" s="581"/>
      <c r="H105" s="581"/>
      <c r="I105" s="581"/>
      <c r="J105" s="581"/>
      <c r="K105" s="581"/>
      <c r="L105" s="581"/>
      <c r="M105" s="581"/>
      <c r="N105" s="581"/>
      <c r="O105" s="994">
        <v>103</v>
      </c>
      <c r="P105" s="995" t="s">
        <v>2187</v>
      </c>
      <c r="Q105" s="996">
        <v>7.8114772522265494E-2</v>
      </c>
      <c r="R105" s="581"/>
    </row>
    <row r="106" spans="2:18" x14ac:dyDescent="0.2">
      <c r="B106" s="581"/>
      <c r="C106" s="581"/>
      <c r="D106" s="581"/>
      <c r="E106" s="581"/>
      <c r="F106" s="581"/>
      <c r="G106" s="581"/>
      <c r="H106" s="581"/>
      <c r="I106" s="581"/>
      <c r="J106" s="581"/>
      <c r="K106" s="581"/>
      <c r="L106" s="581"/>
      <c r="M106" s="581"/>
      <c r="N106" s="581"/>
      <c r="O106" s="994">
        <v>104</v>
      </c>
      <c r="P106" s="995" t="s">
        <v>2188</v>
      </c>
      <c r="Q106" s="996">
        <v>0.11744999999999997</v>
      </c>
      <c r="R106" s="581"/>
    </row>
    <row r="107" spans="2:18" x14ac:dyDescent="0.2">
      <c r="B107" s="581"/>
      <c r="C107" s="581"/>
      <c r="D107" s="581"/>
      <c r="E107" s="581"/>
      <c r="F107" s="581"/>
      <c r="G107" s="581"/>
      <c r="H107" s="581"/>
      <c r="I107" s="581"/>
      <c r="J107" s="581"/>
      <c r="K107" s="581"/>
      <c r="L107" s="581"/>
      <c r="M107" s="581"/>
      <c r="N107" s="581"/>
      <c r="O107" s="994">
        <v>105</v>
      </c>
      <c r="P107" s="995" t="s">
        <v>2189</v>
      </c>
      <c r="Q107" s="996">
        <v>0.12045535714285714</v>
      </c>
      <c r="R107" s="581"/>
    </row>
    <row r="108" spans="2:18" x14ac:dyDescent="0.2">
      <c r="B108" s="581"/>
      <c r="C108" s="581"/>
      <c r="D108" s="581"/>
      <c r="E108" s="581"/>
      <c r="F108" s="581"/>
      <c r="G108" s="581"/>
      <c r="H108" s="581"/>
      <c r="I108" s="581"/>
      <c r="J108" s="581"/>
      <c r="K108" s="581"/>
      <c r="L108" s="581"/>
      <c r="M108" s="581"/>
      <c r="N108" s="581"/>
      <c r="O108" s="994">
        <v>106</v>
      </c>
      <c r="P108" s="995" t="s">
        <v>2190</v>
      </c>
      <c r="Q108" s="996">
        <v>0.12723333333333334</v>
      </c>
      <c r="R108" s="581"/>
    </row>
    <row r="109" spans="2:18" x14ac:dyDescent="0.2">
      <c r="B109" s="581"/>
      <c r="C109" s="581"/>
      <c r="D109" s="581"/>
      <c r="E109" s="581"/>
      <c r="F109" s="581"/>
      <c r="G109" s="581"/>
      <c r="H109" s="581"/>
      <c r="I109" s="581"/>
      <c r="J109" s="581"/>
      <c r="K109" s="581"/>
      <c r="L109" s="581"/>
      <c r="M109" s="581"/>
      <c r="N109" s="581"/>
      <c r="O109" s="994">
        <v>107</v>
      </c>
      <c r="P109" s="995" t="s">
        <v>2191</v>
      </c>
      <c r="Q109" s="996">
        <v>3.090909090909091E-2</v>
      </c>
      <c r="R109" s="581"/>
    </row>
    <row r="110" spans="2:18" x14ac:dyDescent="0.2">
      <c r="B110" s="581"/>
      <c r="C110" s="581"/>
      <c r="D110" s="581"/>
      <c r="E110" s="581"/>
      <c r="F110" s="581"/>
      <c r="G110" s="581"/>
      <c r="H110" s="581"/>
      <c r="I110" s="581"/>
      <c r="J110" s="581"/>
      <c r="K110" s="581"/>
      <c r="L110" s="581"/>
      <c r="M110" s="581"/>
      <c r="N110" s="581"/>
      <c r="O110" s="994">
        <v>108</v>
      </c>
      <c r="P110" s="995" t="s">
        <v>2192</v>
      </c>
      <c r="Q110" s="996">
        <v>7.6676666666666671E-2</v>
      </c>
      <c r="R110" s="581"/>
    </row>
    <row r="111" spans="2:18" x14ac:dyDescent="0.2">
      <c r="B111" s="581"/>
      <c r="C111" s="581"/>
      <c r="D111" s="581"/>
      <c r="E111" s="581"/>
      <c r="F111" s="581"/>
      <c r="G111" s="581"/>
      <c r="H111" s="581"/>
      <c r="I111" s="581"/>
      <c r="J111" s="581"/>
      <c r="K111" s="581"/>
      <c r="L111" s="581"/>
      <c r="M111" s="581"/>
      <c r="N111" s="581"/>
      <c r="O111" s="994">
        <v>109</v>
      </c>
      <c r="P111" s="995" t="s">
        <v>2193</v>
      </c>
      <c r="Q111" s="996">
        <v>0.10946357142857099</v>
      </c>
      <c r="R111" s="581"/>
    </row>
    <row r="112" spans="2:18" x14ac:dyDescent="0.2">
      <c r="B112" s="581"/>
      <c r="C112" s="581"/>
      <c r="D112" s="581"/>
      <c r="E112" s="581"/>
      <c r="F112" s="581"/>
      <c r="G112" s="581"/>
      <c r="H112" s="581"/>
      <c r="I112" s="581"/>
      <c r="J112" s="581"/>
      <c r="K112" s="581"/>
      <c r="L112" s="581"/>
      <c r="M112" s="581"/>
      <c r="N112" s="581"/>
      <c r="O112" s="994">
        <v>110</v>
      </c>
      <c r="P112" s="995" t="s">
        <v>2194</v>
      </c>
      <c r="Q112" s="996">
        <v>7.7632189239332086E-2</v>
      </c>
      <c r="R112" s="581"/>
    </row>
    <row r="113" spans="2:18" x14ac:dyDescent="0.2">
      <c r="B113" s="581"/>
      <c r="C113" s="581"/>
      <c r="D113" s="581"/>
      <c r="E113" s="581"/>
      <c r="F113" s="581"/>
      <c r="G113" s="581"/>
      <c r="H113" s="581"/>
      <c r="I113" s="581"/>
      <c r="J113" s="581"/>
      <c r="K113" s="581"/>
      <c r="L113" s="581"/>
      <c r="M113" s="581"/>
      <c r="N113" s="581"/>
      <c r="O113" s="994">
        <v>111</v>
      </c>
      <c r="P113" s="995" t="s">
        <v>2195</v>
      </c>
      <c r="Q113" s="996">
        <v>8.2020999999999997E-2</v>
      </c>
      <c r="R113" s="581"/>
    </row>
    <row r="114" spans="2:18" x14ac:dyDescent="0.2">
      <c r="B114" s="581"/>
      <c r="C114" s="581"/>
      <c r="D114" s="581"/>
      <c r="E114" s="581"/>
      <c r="F114" s="581"/>
      <c r="G114" s="581"/>
      <c r="H114" s="581"/>
      <c r="I114" s="581"/>
      <c r="J114" s="581"/>
      <c r="K114" s="581"/>
      <c r="L114" s="581"/>
      <c r="M114" s="581"/>
      <c r="N114" s="581"/>
      <c r="O114" s="994">
        <v>112</v>
      </c>
      <c r="P114" s="995" t="s">
        <v>2196</v>
      </c>
      <c r="Q114" s="996">
        <v>0.13080952380952382</v>
      </c>
      <c r="R114" s="581"/>
    </row>
    <row r="115" spans="2:18" x14ac:dyDescent="0.2">
      <c r="B115" s="581"/>
      <c r="C115" s="581"/>
      <c r="D115" s="581"/>
      <c r="E115" s="581"/>
      <c r="F115" s="581"/>
      <c r="G115" s="581"/>
      <c r="H115" s="581"/>
      <c r="I115" s="581"/>
      <c r="J115" s="581"/>
      <c r="K115" s="581"/>
      <c r="L115" s="581"/>
      <c r="M115" s="581"/>
      <c r="N115" s="581"/>
      <c r="O115" s="994">
        <v>113</v>
      </c>
      <c r="P115" s="995" t="s">
        <v>2197</v>
      </c>
      <c r="Q115" s="996">
        <v>7.3201531986531995E-2</v>
      </c>
      <c r="R115" s="581"/>
    </row>
    <row r="116" spans="2:18" x14ac:dyDescent="0.2">
      <c r="B116" s="581"/>
      <c r="C116" s="581"/>
      <c r="D116" s="581"/>
      <c r="E116" s="581"/>
      <c r="F116" s="581"/>
      <c r="G116" s="581"/>
      <c r="H116" s="581"/>
      <c r="I116" s="581"/>
      <c r="J116" s="581"/>
      <c r="K116" s="581"/>
      <c r="L116" s="581"/>
      <c r="M116" s="581"/>
      <c r="N116" s="581"/>
      <c r="O116" s="994">
        <v>114</v>
      </c>
      <c r="P116" s="995" t="s">
        <v>2198</v>
      </c>
      <c r="Q116" s="996">
        <v>0.180736393258427</v>
      </c>
      <c r="R116" s="581"/>
    </row>
    <row r="117" spans="2:18" x14ac:dyDescent="0.2">
      <c r="B117" s="581"/>
      <c r="C117" s="581"/>
      <c r="D117" s="581"/>
      <c r="E117" s="581"/>
      <c r="F117" s="581"/>
      <c r="G117" s="581"/>
      <c r="H117" s="581"/>
      <c r="I117" s="581"/>
      <c r="J117" s="581"/>
      <c r="K117" s="581"/>
      <c r="L117" s="581"/>
      <c r="M117" s="581"/>
      <c r="N117" s="581"/>
      <c r="O117" s="994">
        <v>115</v>
      </c>
      <c r="P117" s="995" t="s">
        <v>2199</v>
      </c>
      <c r="Q117" s="996">
        <v>0.13655454545454546</v>
      </c>
      <c r="R117" s="581"/>
    </row>
    <row r="118" spans="2:18" x14ac:dyDescent="0.2">
      <c r="B118" s="581"/>
      <c r="C118" s="581"/>
      <c r="D118" s="581"/>
      <c r="E118" s="581"/>
      <c r="F118" s="581"/>
      <c r="G118" s="581"/>
      <c r="H118" s="581"/>
      <c r="I118" s="581"/>
      <c r="J118" s="581"/>
      <c r="K118" s="581"/>
      <c r="L118" s="581"/>
      <c r="M118" s="581"/>
      <c r="N118" s="581"/>
      <c r="O118" s="994">
        <v>116</v>
      </c>
      <c r="P118" s="995" t="s">
        <v>2200</v>
      </c>
      <c r="Q118" s="996">
        <v>7.5152809017548353E-2</v>
      </c>
      <c r="R118" s="581"/>
    </row>
    <row r="119" spans="2:18" x14ac:dyDescent="0.2">
      <c r="B119" s="581"/>
      <c r="C119" s="581"/>
      <c r="D119" s="581"/>
      <c r="E119" s="581"/>
      <c r="F119" s="581"/>
      <c r="G119" s="581"/>
      <c r="H119" s="581"/>
      <c r="I119" s="581"/>
      <c r="J119" s="581"/>
      <c r="K119" s="581"/>
      <c r="L119" s="581"/>
      <c r="M119" s="581"/>
      <c r="N119" s="581"/>
      <c r="O119" s="994">
        <v>117</v>
      </c>
      <c r="P119" s="995" t="s">
        <v>2201</v>
      </c>
      <c r="Q119" s="996">
        <v>5.1042857142857147E-2</v>
      </c>
      <c r="R119" s="581"/>
    </row>
    <row r="120" spans="2:18" x14ac:dyDescent="0.2">
      <c r="B120" s="581"/>
      <c r="C120" s="581"/>
      <c r="D120" s="581"/>
      <c r="E120" s="581"/>
      <c r="F120" s="581"/>
      <c r="G120" s="581"/>
      <c r="H120" s="581"/>
      <c r="I120" s="581"/>
      <c r="J120" s="581"/>
      <c r="K120" s="581"/>
      <c r="L120" s="581"/>
      <c r="M120" s="581"/>
      <c r="N120" s="581"/>
      <c r="O120" s="994">
        <v>118</v>
      </c>
      <c r="P120" s="995" t="s">
        <v>2202</v>
      </c>
      <c r="Q120" s="996">
        <v>7.7666559221819573E-2</v>
      </c>
      <c r="R120" s="581"/>
    </row>
    <row r="121" spans="2:18" x14ac:dyDescent="0.2">
      <c r="B121" s="581"/>
      <c r="C121" s="581"/>
      <c r="D121" s="581"/>
      <c r="E121" s="581"/>
      <c r="F121" s="581"/>
      <c r="G121" s="581"/>
      <c r="H121" s="581"/>
      <c r="I121" s="581"/>
      <c r="J121" s="581"/>
      <c r="K121" s="581"/>
      <c r="L121" s="581"/>
      <c r="M121" s="581"/>
      <c r="N121" s="581"/>
      <c r="O121" s="994">
        <v>119</v>
      </c>
      <c r="P121" s="995" t="s">
        <v>2203</v>
      </c>
      <c r="Q121" s="996">
        <v>0.14702706466069143</v>
      </c>
      <c r="R121" s="581"/>
    </row>
    <row r="122" spans="2:18" x14ac:dyDescent="0.2">
      <c r="B122" s="581"/>
      <c r="C122" s="581"/>
      <c r="D122" s="581"/>
      <c r="E122" s="581"/>
      <c r="F122" s="581"/>
      <c r="G122" s="581"/>
      <c r="H122" s="581"/>
      <c r="I122" s="581"/>
      <c r="J122" s="581"/>
      <c r="K122" s="581"/>
      <c r="L122" s="581"/>
      <c r="M122" s="581"/>
      <c r="N122" s="581"/>
      <c r="O122" s="994">
        <v>120</v>
      </c>
      <c r="P122" s="995" t="s">
        <v>2204</v>
      </c>
      <c r="Q122" s="996">
        <v>0.28620892857142854</v>
      </c>
      <c r="R122" s="581"/>
    </row>
    <row r="123" spans="2:18" x14ac:dyDescent="0.2">
      <c r="B123" s="581"/>
      <c r="C123" s="581"/>
      <c r="D123" s="581"/>
      <c r="E123" s="581"/>
      <c r="F123" s="581"/>
      <c r="G123" s="581"/>
      <c r="H123" s="581"/>
      <c r="I123" s="581"/>
      <c r="J123" s="581"/>
      <c r="K123" s="581"/>
      <c r="L123" s="581"/>
      <c r="M123" s="581"/>
      <c r="N123" s="581"/>
      <c r="O123" s="994">
        <v>121</v>
      </c>
      <c r="P123" s="995" t="s">
        <v>2205</v>
      </c>
      <c r="Q123" s="996">
        <v>0.1</v>
      </c>
      <c r="R123" s="581"/>
    </row>
    <row r="124" spans="2:18" x14ac:dyDescent="0.2">
      <c r="B124" s="581"/>
      <c r="C124" s="581"/>
      <c r="D124" s="581"/>
      <c r="E124" s="581"/>
      <c r="F124" s="581"/>
      <c r="G124" s="581"/>
      <c r="H124" s="581"/>
      <c r="I124" s="581"/>
      <c r="J124" s="581"/>
      <c r="K124" s="581"/>
      <c r="L124" s="581"/>
      <c r="M124" s="581"/>
      <c r="N124" s="581"/>
      <c r="O124" s="994">
        <v>122</v>
      </c>
      <c r="P124" s="995" t="s">
        <v>2206</v>
      </c>
      <c r="Q124" s="996">
        <v>0.14698333333333333</v>
      </c>
      <c r="R124" s="581"/>
    </row>
    <row r="125" spans="2:18" x14ac:dyDescent="0.2">
      <c r="B125" s="581"/>
      <c r="C125" s="581"/>
      <c r="D125" s="581"/>
      <c r="E125" s="581"/>
      <c r="F125" s="581"/>
      <c r="G125" s="581"/>
      <c r="H125" s="581"/>
      <c r="I125" s="581"/>
      <c r="J125" s="581"/>
      <c r="K125" s="581"/>
      <c r="L125" s="581"/>
      <c r="M125" s="581"/>
      <c r="N125" s="581"/>
      <c r="O125" s="994">
        <v>123</v>
      </c>
      <c r="P125" s="995" t="s">
        <v>2207</v>
      </c>
      <c r="Q125" s="996">
        <v>6.4000000000000001E-2</v>
      </c>
      <c r="R125" s="581"/>
    </row>
    <row r="126" spans="2:18" x14ac:dyDescent="0.2">
      <c r="B126" s="581"/>
      <c r="C126" s="581"/>
      <c r="D126" s="581"/>
      <c r="E126" s="581"/>
      <c r="F126" s="581"/>
      <c r="G126" s="581"/>
      <c r="H126" s="581"/>
      <c r="I126" s="581"/>
      <c r="J126" s="581"/>
      <c r="K126" s="581"/>
      <c r="L126" s="581"/>
      <c r="M126" s="581"/>
      <c r="N126" s="581"/>
      <c r="O126" s="994">
        <v>124</v>
      </c>
      <c r="P126" s="995" t="s">
        <v>2208</v>
      </c>
      <c r="Q126" s="996">
        <v>0.21391375171940621</v>
      </c>
      <c r="R126" s="581"/>
    </row>
    <row r="127" spans="2:18" x14ac:dyDescent="0.2">
      <c r="B127" s="581"/>
      <c r="C127" s="581"/>
      <c r="D127" s="581"/>
      <c r="E127" s="581"/>
      <c r="F127" s="581"/>
      <c r="G127" s="581"/>
      <c r="H127" s="581"/>
      <c r="I127" s="581"/>
      <c r="J127" s="581"/>
      <c r="K127" s="581"/>
      <c r="L127" s="581"/>
      <c r="M127" s="581"/>
      <c r="N127" s="581"/>
      <c r="O127" s="994">
        <v>125</v>
      </c>
      <c r="P127" s="995" t="s">
        <v>2209</v>
      </c>
      <c r="Q127" s="996">
        <v>2.8308237378210799E-2</v>
      </c>
      <c r="R127" s="581"/>
    </row>
    <row r="128" spans="2:18" x14ac:dyDescent="0.2">
      <c r="B128" s="581"/>
      <c r="C128" s="581"/>
      <c r="D128" s="581"/>
      <c r="E128" s="581"/>
      <c r="F128" s="581"/>
      <c r="G128" s="581"/>
      <c r="H128" s="581"/>
      <c r="I128" s="581"/>
      <c r="J128" s="581"/>
      <c r="K128" s="581"/>
      <c r="L128" s="581"/>
      <c r="M128" s="581"/>
      <c r="N128" s="581"/>
      <c r="O128" s="994">
        <v>126</v>
      </c>
      <c r="P128" s="995" t="s">
        <v>2210</v>
      </c>
      <c r="Q128" s="996">
        <v>4.704894696728508E-2</v>
      </c>
      <c r="R128" s="581"/>
    </row>
    <row r="129" spans="2:18" x14ac:dyDescent="0.2">
      <c r="B129" s="581"/>
      <c r="C129" s="581"/>
      <c r="D129" s="581"/>
      <c r="E129" s="581"/>
      <c r="F129" s="581"/>
      <c r="G129" s="581"/>
      <c r="H129" s="581"/>
      <c r="I129" s="581"/>
      <c r="J129" s="581"/>
      <c r="K129" s="581"/>
      <c r="L129" s="581"/>
      <c r="M129" s="581"/>
      <c r="N129" s="581"/>
      <c r="O129" s="994">
        <v>127</v>
      </c>
      <c r="P129" s="995" t="s">
        <v>2211</v>
      </c>
      <c r="Q129" s="996">
        <v>0.23117230576441103</v>
      </c>
      <c r="R129" s="581"/>
    </row>
    <row r="130" spans="2:18" x14ac:dyDescent="0.2">
      <c r="B130" s="581"/>
      <c r="C130" s="581"/>
      <c r="D130" s="581"/>
      <c r="E130" s="581"/>
      <c r="F130" s="581"/>
      <c r="G130" s="581"/>
      <c r="H130" s="581"/>
      <c r="I130" s="581"/>
      <c r="J130" s="581"/>
      <c r="K130" s="581"/>
      <c r="L130" s="581"/>
      <c r="M130" s="581"/>
      <c r="N130" s="581"/>
      <c r="O130" s="994">
        <v>128</v>
      </c>
      <c r="P130" s="995" t="s">
        <v>2212</v>
      </c>
      <c r="Q130" s="996">
        <v>5.8328517836563898E-2</v>
      </c>
      <c r="R130" s="581"/>
    </row>
    <row r="131" spans="2:18" x14ac:dyDescent="0.2">
      <c r="B131" s="581"/>
      <c r="C131" s="581"/>
      <c r="D131" s="581"/>
      <c r="E131" s="581"/>
      <c r="F131" s="581"/>
      <c r="G131" s="581"/>
      <c r="H131" s="581"/>
      <c r="I131" s="581"/>
      <c r="J131" s="581"/>
      <c r="K131" s="581"/>
      <c r="L131" s="581"/>
      <c r="M131" s="581"/>
      <c r="N131" s="581"/>
      <c r="O131" s="994">
        <v>129</v>
      </c>
      <c r="P131" s="995" t="s">
        <v>2213</v>
      </c>
      <c r="Q131" s="996">
        <v>0.11798212974296204</v>
      </c>
      <c r="R131" s="581"/>
    </row>
    <row r="132" spans="2:18" x14ac:dyDescent="0.2">
      <c r="B132" s="581"/>
      <c r="C132" s="581"/>
      <c r="D132" s="581"/>
      <c r="E132" s="581"/>
      <c r="F132" s="581"/>
      <c r="G132" s="581"/>
      <c r="H132" s="581"/>
      <c r="I132" s="581"/>
      <c r="J132" s="581"/>
      <c r="K132" s="581"/>
      <c r="L132" s="581"/>
      <c r="M132" s="581"/>
      <c r="N132" s="581"/>
      <c r="O132" s="994">
        <v>130</v>
      </c>
      <c r="P132" s="995" t="s">
        <v>2214</v>
      </c>
      <c r="Q132" s="996">
        <v>4.2000000000000003E-2</v>
      </c>
      <c r="R132" s="581"/>
    </row>
    <row r="133" spans="2:18" x14ac:dyDescent="0.2">
      <c r="B133" s="581"/>
      <c r="C133" s="581"/>
      <c r="D133" s="581"/>
      <c r="E133" s="581"/>
      <c r="F133" s="581"/>
      <c r="G133" s="581"/>
      <c r="H133" s="581"/>
      <c r="I133" s="581"/>
      <c r="J133" s="581"/>
      <c r="K133" s="581"/>
      <c r="L133" s="581"/>
      <c r="M133" s="581"/>
      <c r="N133" s="581"/>
      <c r="O133" s="994">
        <v>131</v>
      </c>
      <c r="P133" s="995" t="s">
        <v>2215</v>
      </c>
      <c r="Q133" s="996">
        <v>9.0718105423987783E-2</v>
      </c>
      <c r="R133" s="581"/>
    </row>
    <row r="134" spans="2:18" x14ac:dyDescent="0.2">
      <c r="B134" s="581"/>
      <c r="C134" s="581"/>
      <c r="D134" s="581"/>
      <c r="E134" s="581"/>
      <c r="F134" s="581"/>
      <c r="G134" s="581"/>
      <c r="H134" s="581"/>
      <c r="I134" s="581"/>
      <c r="J134" s="581"/>
      <c r="K134" s="581"/>
      <c r="L134" s="581"/>
      <c r="M134" s="581"/>
      <c r="N134" s="581"/>
      <c r="O134" s="994">
        <v>132</v>
      </c>
      <c r="P134" s="995" t="s">
        <v>2216</v>
      </c>
      <c r="Q134" s="996">
        <v>2.3775000000000001E-2</v>
      </c>
      <c r="R134" s="581"/>
    </row>
    <row r="135" spans="2:18" x14ac:dyDescent="0.2">
      <c r="B135" s="581"/>
      <c r="C135" s="581"/>
      <c r="D135" s="581"/>
      <c r="E135" s="581"/>
      <c r="F135" s="581"/>
      <c r="G135" s="581"/>
      <c r="H135" s="581"/>
      <c r="I135" s="581"/>
      <c r="J135" s="581"/>
      <c r="K135" s="581"/>
      <c r="L135" s="581"/>
      <c r="M135" s="581"/>
      <c r="N135" s="581"/>
      <c r="O135" s="994">
        <v>133</v>
      </c>
      <c r="P135" s="995" t="s">
        <v>2217</v>
      </c>
      <c r="Q135" s="996">
        <v>0.2287867784167861</v>
      </c>
      <c r="R135" s="581"/>
    </row>
    <row r="136" spans="2:18" x14ac:dyDescent="0.2">
      <c r="B136" s="581"/>
      <c r="C136" s="581"/>
      <c r="D136" s="581"/>
      <c r="E136" s="581"/>
      <c r="F136" s="581"/>
      <c r="G136" s="581"/>
      <c r="H136" s="581"/>
      <c r="I136" s="581"/>
      <c r="J136" s="581"/>
      <c r="K136" s="581"/>
      <c r="L136" s="581"/>
      <c r="M136" s="581"/>
      <c r="N136" s="581"/>
      <c r="O136" s="994">
        <v>134</v>
      </c>
      <c r="P136" s="995" t="s">
        <v>2218</v>
      </c>
      <c r="Q136" s="996">
        <v>0.1176</v>
      </c>
      <c r="R136" s="581"/>
    </row>
    <row r="137" spans="2:18" x14ac:dyDescent="0.2">
      <c r="B137" s="581"/>
      <c r="C137" s="581"/>
      <c r="D137" s="581"/>
      <c r="E137" s="581"/>
      <c r="F137" s="581"/>
      <c r="G137" s="581"/>
      <c r="H137" s="581"/>
      <c r="I137" s="581"/>
      <c r="J137" s="581"/>
      <c r="K137" s="581"/>
      <c r="L137" s="581"/>
      <c r="M137" s="581"/>
      <c r="N137" s="581"/>
      <c r="O137" s="994">
        <v>135</v>
      </c>
      <c r="P137" s="995" t="s">
        <v>2219</v>
      </c>
      <c r="Q137" s="996">
        <v>6.4000000000000001E-2</v>
      </c>
      <c r="R137" s="581"/>
    </row>
    <row r="138" spans="2:18" x14ac:dyDescent="0.2">
      <c r="B138" s="581"/>
      <c r="C138" s="581"/>
      <c r="D138" s="581"/>
      <c r="E138" s="581"/>
      <c r="F138" s="581"/>
      <c r="G138" s="581"/>
      <c r="H138" s="581"/>
      <c r="I138" s="581"/>
      <c r="J138" s="581"/>
      <c r="K138" s="581"/>
      <c r="L138" s="581"/>
      <c r="M138" s="581"/>
      <c r="N138" s="581"/>
      <c r="O138" s="994">
        <v>136</v>
      </c>
      <c r="P138" s="995" t="s">
        <v>2220</v>
      </c>
      <c r="Q138" s="996">
        <v>0.11814</v>
      </c>
      <c r="R138" s="581"/>
    </row>
    <row r="139" spans="2:18" x14ac:dyDescent="0.2">
      <c r="B139" s="581"/>
      <c r="C139" s="581"/>
      <c r="D139" s="581"/>
      <c r="E139" s="581"/>
      <c r="F139" s="581"/>
      <c r="G139" s="581"/>
      <c r="H139" s="581"/>
      <c r="I139" s="581"/>
      <c r="J139" s="581"/>
      <c r="K139" s="581"/>
      <c r="L139" s="581"/>
      <c r="M139" s="581"/>
      <c r="N139" s="581"/>
      <c r="O139" s="994">
        <v>137</v>
      </c>
      <c r="P139" s="995" t="s">
        <v>2221</v>
      </c>
      <c r="Q139" s="996">
        <v>7.4748925790411855E-2</v>
      </c>
      <c r="R139" s="581"/>
    </row>
    <row r="140" spans="2:18" x14ac:dyDescent="0.2">
      <c r="B140" s="581"/>
      <c r="C140" s="581"/>
      <c r="D140" s="581"/>
      <c r="E140" s="581"/>
      <c r="F140" s="581"/>
      <c r="G140" s="581"/>
      <c r="H140" s="581"/>
      <c r="I140" s="581"/>
      <c r="J140" s="581"/>
      <c r="K140" s="581"/>
      <c r="L140" s="581"/>
      <c r="M140" s="581"/>
      <c r="N140" s="581"/>
      <c r="O140" s="994">
        <v>138</v>
      </c>
      <c r="P140" s="995" t="s">
        <v>2222</v>
      </c>
      <c r="Q140" s="996">
        <v>0.12854990592390805</v>
      </c>
      <c r="R140" s="581"/>
    </row>
    <row r="141" spans="2:18" x14ac:dyDescent="0.2">
      <c r="B141" s="581"/>
      <c r="C141" s="581"/>
      <c r="D141" s="581"/>
      <c r="E141" s="581"/>
      <c r="F141" s="581"/>
      <c r="G141" s="581"/>
      <c r="H141" s="581"/>
      <c r="I141" s="581"/>
      <c r="J141" s="581"/>
      <c r="K141" s="581"/>
      <c r="L141" s="581"/>
      <c r="M141" s="581"/>
      <c r="N141" s="581"/>
      <c r="O141" s="994">
        <v>139</v>
      </c>
      <c r="P141" s="995" t="s">
        <v>2223</v>
      </c>
      <c r="Q141" s="996">
        <v>8.4452636811605364E-2</v>
      </c>
      <c r="R141" s="581"/>
    </row>
    <row r="142" spans="2:18" x14ac:dyDescent="0.2">
      <c r="B142" s="581"/>
      <c r="C142" s="581"/>
      <c r="D142" s="581"/>
      <c r="E142" s="581"/>
      <c r="F142" s="581"/>
      <c r="G142" s="581"/>
      <c r="H142" s="581"/>
      <c r="I142" s="581"/>
      <c r="J142" s="581"/>
      <c r="K142" s="581"/>
      <c r="L142" s="581"/>
      <c r="M142" s="581"/>
      <c r="N142" s="581"/>
      <c r="O142" s="994">
        <v>140</v>
      </c>
      <c r="P142" s="995" t="s">
        <v>2224</v>
      </c>
      <c r="Q142" s="996">
        <v>0.151</v>
      </c>
      <c r="R142" s="581"/>
    </row>
    <row r="143" spans="2:18" x14ac:dyDescent="0.2">
      <c r="B143" s="581"/>
      <c r="C143" s="581"/>
      <c r="D143" s="581"/>
      <c r="E143" s="581"/>
      <c r="F143" s="581"/>
      <c r="G143" s="581"/>
      <c r="H143" s="581"/>
      <c r="I143" s="581"/>
      <c r="J143" s="581"/>
      <c r="K143" s="581"/>
      <c r="L143" s="581"/>
      <c r="M143" s="581"/>
      <c r="N143" s="581"/>
      <c r="O143" s="994">
        <v>141</v>
      </c>
      <c r="P143" s="995" t="s">
        <v>2225</v>
      </c>
      <c r="Q143" s="996">
        <v>7.8371573460051761E-2</v>
      </c>
      <c r="R143" s="581"/>
    </row>
    <row r="144" spans="2:18" x14ac:dyDescent="0.2">
      <c r="B144" s="581"/>
      <c r="C144" s="581"/>
      <c r="D144" s="581"/>
      <c r="E144" s="581"/>
      <c r="F144" s="581"/>
      <c r="G144" s="581"/>
      <c r="H144" s="581"/>
      <c r="I144" s="581"/>
      <c r="J144" s="581"/>
      <c r="K144" s="581"/>
      <c r="L144" s="581"/>
      <c r="M144" s="581"/>
      <c r="N144" s="581"/>
      <c r="O144" s="994">
        <v>142</v>
      </c>
      <c r="P144" s="995" t="s">
        <v>2226</v>
      </c>
      <c r="Q144" s="996">
        <v>6.7259203227433187E-2</v>
      </c>
      <c r="R144" s="581"/>
    </row>
    <row r="145" spans="2:18" x14ac:dyDescent="0.2">
      <c r="B145" s="581"/>
      <c r="C145" s="581"/>
      <c r="D145" s="581"/>
      <c r="E145" s="581"/>
      <c r="F145" s="581"/>
      <c r="G145" s="581"/>
      <c r="H145" s="581"/>
      <c r="I145" s="581"/>
      <c r="J145" s="581"/>
      <c r="K145" s="581"/>
      <c r="L145" s="581"/>
      <c r="M145" s="581"/>
      <c r="N145" s="581"/>
      <c r="O145" s="994">
        <v>143</v>
      </c>
      <c r="P145" s="995" t="s">
        <v>2227</v>
      </c>
      <c r="Q145" s="996">
        <v>0.12039999999999999</v>
      </c>
      <c r="R145" s="581"/>
    </row>
    <row r="146" spans="2:18" x14ac:dyDescent="0.2">
      <c r="B146" s="581"/>
      <c r="C146" s="581"/>
      <c r="D146" s="581"/>
      <c r="E146" s="581"/>
      <c r="F146" s="581"/>
      <c r="G146" s="581"/>
      <c r="H146" s="581"/>
      <c r="I146" s="581"/>
      <c r="J146" s="581"/>
      <c r="K146" s="581"/>
      <c r="L146" s="581"/>
      <c r="M146" s="581"/>
      <c r="N146" s="581"/>
      <c r="O146" s="994">
        <v>144</v>
      </c>
      <c r="P146" s="995" t="s">
        <v>2228</v>
      </c>
      <c r="Q146" s="996">
        <v>9.1999999999999998E-2</v>
      </c>
      <c r="R146" s="581"/>
    </row>
    <row r="147" spans="2:18" x14ac:dyDescent="0.2">
      <c r="B147" s="581"/>
      <c r="C147" s="581"/>
      <c r="D147" s="581"/>
      <c r="E147" s="581"/>
      <c r="F147" s="581"/>
      <c r="G147" s="581"/>
      <c r="H147" s="581"/>
      <c r="I147" s="581"/>
      <c r="J147" s="581"/>
      <c r="K147" s="581"/>
      <c r="L147" s="581"/>
      <c r="M147" s="581"/>
      <c r="N147" s="581"/>
      <c r="O147" s="994">
        <v>145</v>
      </c>
      <c r="P147" s="995" t="s">
        <v>2229</v>
      </c>
      <c r="Q147" s="996">
        <v>6.6142751957344231E-2</v>
      </c>
      <c r="R147" s="581"/>
    </row>
    <row r="148" spans="2:18" x14ac:dyDescent="0.2">
      <c r="B148" s="581"/>
      <c r="C148" s="581"/>
      <c r="D148" s="581"/>
      <c r="E148" s="581"/>
      <c r="F148" s="581"/>
      <c r="G148" s="581"/>
      <c r="H148" s="581"/>
      <c r="I148" s="581"/>
      <c r="J148" s="581"/>
      <c r="K148" s="581"/>
      <c r="L148" s="581"/>
      <c r="M148" s="581"/>
      <c r="N148" s="581"/>
      <c r="O148" s="994">
        <v>146</v>
      </c>
      <c r="P148" s="995" t="s">
        <v>2230</v>
      </c>
      <c r="Q148" s="996">
        <v>4.2182525645560659E-2</v>
      </c>
      <c r="R148" s="581"/>
    </row>
    <row r="149" spans="2:18" x14ac:dyDescent="0.2">
      <c r="B149" s="581"/>
      <c r="C149" s="581"/>
      <c r="D149" s="581"/>
      <c r="E149" s="581"/>
      <c r="F149" s="581"/>
      <c r="G149" s="581"/>
      <c r="H149" s="581"/>
      <c r="I149" s="581"/>
      <c r="J149" s="581"/>
      <c r="K149" s="581"/>
      <c r="L149" s="581"/>
      <c r="M149" s="581"/>
      <c r="N149" s="581"/>
      <c r="O149" s="994">
        <v>147</v>
      </c>
      <c r="P149" s="995" t="s">
        <v>2231</v>
      </c>
      <c r="Q149" s="996">
        <v>0.1055888888888889</v>
      </c>
      <c r="R149" s="581"/>
    </row>
    <row r="150" spans="2:18" x14ac:dyDescent="0.2">
      <c r="B150" s="581"/>
      <c r="C150" s="581"/>
      <c r="D150" s="581"/>
      <c r="E150" s="581"/>
      <c r="F150" s="581"/>
      <c r="G150" s="581"/>
      <c r="H150" s="581"/>
      <c r="I150" s="581"/>
      <c r="J150" s="581"/>
      <c r="K150" s="581"/>
      <c r="L150" s="581"/>
      <c r="M150" s="581"/>
      <c r="N150" s="581"/>
      <c r="O150" s="994">
        <v>148</v>
      </c>
      <c r="P150" s="995" t="s">
        <v>2232</v>
      </c>
      <c r="Q150" s="996">
        <v>3.3894142857142859E-2</v>
      </c>
      <c r="R150" s="581"/>
    </row>
    <row r="151" spans="2:18" x14ac:dyDescent="0.2">
      <c r="B151" s="581"/>
      <c r="C151" s="581"/>
      <c r="D151" s="581"/>
      <c r="E151" s="581"/>
      <c r="F151" s="581"/>
      <c r="G151" s="581"/>
      <c r="H151" s="581"/>
      <c r="I151" s="581"/>
      <c r="J151" s="581"/>
      <c r="K151" s="581"/>
      <c r="L151" s="581"/>
      <c r="M151" s="581"/>
      <c r="N151" s="581"/>
      <c r="O151" s="994">
        <v>149</v>
      </c>
      <c r="P151" s="995" t="s">
        <v>2233</v>
      </c>
      <c r="Q151" s="996">
        <v>0.20462222222222223</v>
      </c>
      <c r="R151" s="581"/>
    </row>
    <row r="152" spans="2:18" x14ac:dyDescent="0.2">
      <c r="B152" s="581"/>
      <c r="C152" s="581"/>
      <c r="D152" s="581"/>
      <c r="E152" s="581"/>
      <c r="F152" s="581"/>
      <c r="G152" s="581"/>
      <c r="H152" s="581"/>
      <c r="I152" s="581"/>
      <c r="J152" s="581"/>
      <c r="K152" s="581"/>
      <c r="L152" s="581"/>
      <c r="M152" s="581"/>
      <c r="N152" s="581"/>
      <c r="O152" s="994">
        <v>150</v>
      </c>
      <c r="P152" s="995" t="s">
        <v>2234</v>
      </c>
      <c r="Q152" s="996">
        <v>8.3876225490196077E-2</v>
      </c>
      <c r="R152" s="581"/>
    </row>
    <row r="153" spans="2:18" ht="14.25" x14ac:dyDescent="0.2">
      <c r="B153" s="581"/>
      <c r="C153" s="581"/>
      <c r="D153" s="581"/>
      <c r="E153" s="581"/>
      <c r="F153" s="581"/>
      <c r="G153" s="581"/>
      <c r="H153" s="581"/>
      <c r="I153" s="581"/>
      <c r="J153" s="581"/>
      <c r="K153" s="581"/>
      <c r="L153" s="581"/>
      <c r="M153" s="581"/>
      <c r="N153" s="581"/>
      <c r="O153" s="582">
        <v>151</v>
      </c>
      <c r="P153" s="583" t="s">
        <v>2235</v>
      </c>
      <c r="Q153" s="1011">
        <f>AVERAGE(Financials_Consolidated!C26,Financials_Consolidated!D26)</f>
        <v>2.8833481556680654E-2</v>
      </c>
      <c r="R153" s="581"/>
    </row>
  </sheetData>
  <sheetProtection algorithmName="SHA-512" hashValue="sWPoghdQB2deKRLWUEnNd3jHo6JiZchYJpP9EfeqTFwAoQZSuuWfsbKTj1OEB80P0hGyRtLmhGPsQfqjGmpBAw==" saltValue="2SRuj4GRqdYzxCZBrdyNSA==" spinCount="100000" sheet="1" formatCells="0" formatColumns="0" formatRows="0" insertColumns="0" insertRows="0" insertHyperlinks="0" deleteColumns="0" deleteRows="0" autoFilter="0"/>
  <mergeCells count="8">
    <mergeCell ref="F19:H19"/>
    <mergeCell ref="F17:H17"/>
    <mergeCell ref="F18:H18"/>
    <mergeCell ref="F20:H20"/>
    <mergeCell ref="B1:C3"/>
    <mergeCell ref="C6:F6"/>
    <mergeCell ref="B5:F5"/>
    <mergeCell ref="B4:F4"/>
  </mergeCells>
  <dataValidations count="1">
    <dataValidation type="list" allowBlank="1" showInputMessage="1" showErrorMessage="1" sqref="F18:H20" xr:uid="{00000000-0002-0000-2400-000000000000}">
      <formula1>$P$3:$P$153</formula1>
    </dataValidation>
  </dataValidations>
  <pageMargins left="0.27" right="0.17" top="0.75" bottom="0.75" header="0.3" footer="0.3"/>
  <pageSetup paperSize="9" scale="76"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E8 E14 C14:D14 C16" unlockedFormula="1"/>
    <ignoredError sqref="F8 D28 D15 D23 F14 F30:F31 D30:E31 D29 D24:D27" evalError="1" unlockedFormula="1"/>
    <ignoredError sqref="C18 C26:C30 C21 C23:C24" evalError="1"/>
  </ignoredError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dimension ref="B1:J29"/>
  <sheetViews>
    <sheetView zoomScaleNormal="100" workbookViewId="0">
      <selection activeCell="R1" sqref="R1:R1048576"/>
    </sheetView>
  </sheetViews>
  <sheetFormatPr defaultColWidth="9.140625" defaultRowHeight="12.75" x14ac:dyDescent="0.2"/>
  <cols>
    <col min="1" max="1" width="3" style="119" customWidth="1"/>
    <col min="2" max="2" width="49.85546875" style="119" bestFit="1" customWidth="1"/>
    <col min="3" max="3" width="15.7109375" style="119" customWidth="1"/>
    <col min="4" max="4" width="16.42578125" style="119" customWidth="1"/>
    <col min="5" max="5" width="26.85546875" style="119" customWidth="1"/>
    <col min="6" max="9" width="9.140625" style="119"/>
    <col min="10" max="10" width="11" style="119" customWidth="1"/>
    <col min="11" max="16384" width="9.140625" style="119"/>
  </cols>
  <sheetData>
    <row r="1" spans="2:10" ht="16.5" x14ac:dyDescent="0.2">
      <c r="B1" s="2141" t="str">
        <f>'Borrower Details'!A2</f>
        <v>Mortgage-Magnus-Unsecured</v>
      </c>
      <c r="C1" s="978"/>
      <c r="D1" s="1012"/>
      <c r="E1" s="581"/>
      <c r="F1" s="581"/>
      <c r="G1" s="581"/>
      <c r="H1" s="581"/>
      <c r="I1" s="581"/>
      <c r="J1" s="581"/>
    </row>
    <row r="2" spans="2:10" ht="16.5" x14ac:dyDescent="0.2">
      <c r="B2" s="2142"/>
      <c r="C2" s="979" t="s">
        <v>3</v>
      </c>
      <c r="D2" s="1013"/>
      <c r="E2" s="581"/>
      <c r="F2" s="581"/>
      <c r="G2" s="581"/>
      <c r="H2" s="581"/>
      <c r="I2" s="581"/>
      <c r="J2" s="581"/>
    </row>
    <row r="3" spans="2:10" ht="16.5" x14ac:dyDescent="0.2">
      <c r="B3" s="2143"/>
      <c r="C3" s="980"/>
      <c r="D3" s="1014"/>
      <c r="E3" s="581"/>
      <c r="F3" s="581"/>
      <c r="G3" s="581"/>
      <c r="H3" s="581"/>
      <c r="I3" s="581"/>
      <c r="J3" s="581"/>
    </row>
    <row r="4" spans="2:10" x14ac:dyDescent="0.2">
      <c r="B4" s="2178" t="s">
        <v>2501</v>
      </c>
      <c r="C4" s="2179"/>
      <c r="D4" s="2180"/>
      <c r="E4" s="581"/>
      <c r="F4" s="581"/>
      <c r="G4" s="581"/>
      <c r="H4" s="581"/>
      <c r="I4" s="581"/>
      <c r="J4" s="581"/>
    </row>
    <row r="5" spans="2:10" ht="15.75" x14ac:dyDescent="0.2">
      <c r="B5" s="2102" t="s">
        <v>452</v>
      </c>
      <c r="C5" s="2103"/>
      <c r="D5" s="2106"/>
      <c r="E5" s="581"/>
      <c r="F5" s="581"/>
      <c r="G5" s="581"/>
      <c r="H5" s="581"/>
      <c r="I5" s="581"/>
      <c r="J5" s="581"/>
    </row>
    <row r="6" spans="2:10" ht="51" customHeight="1" x14ac:dyDescent="0.2">
      <c r="B6" s="1015" t="s">
        <v>20</v>
      </c>
      <c r="C6" s="293">
        <f>Financials_Consolidated!C7</f>
        <v>43921</v>
      </c>
      <c r="D6" s="1024">
        <f>Financials_Consolidated!D7</f>
        <v>43555</v>
      </c>
      <c r="E6" s="2171" t="s">
        <v>482</v>
      </c>
      <c r="F6" s="2171"/>
      <c r="G6" s="2171"/>
      <c r="H6" s="2171"/>
      <c r="I6" s="2171"/>
      <c r="J6" s="2171"/>
    </row>
    <row r="7" spans="2:10" ht="12.75" customHeight="1" x14ac:dyDescent="0.2">
      <c r="B7" s="1016" t="s">
        <v>434</v>
      </c>
      <c r="C7" s="584">
        <f>Financials_Consolidated!C11</f>
        <v>67905203.25</v>
      </c>
      <c r="D7" s="585">
        <f>Financials_Consolidated!D11</f>
        <v>77950161.870000005</v>
      </c>
      <c r="E7" s="2171"/>
      <c r="F7" s="2171"/>
      <c r="G7" s="2171"/>
      <c r="H7" s="2171"/>
      <c r="I7" s="2171"/>
      <c r="J7" s="2171"/>
    </row>
    <row r="8" spans="2:10" ht="12.75" customHeight="1" x14ac:dyDescent="0.2">
      <c r="B8" s="1017" t="s">
        <v>435</v>
      </c>
      <c r="C8" s="1025">
        <f>Financials_Consolidated!C17</f>
        <v>40738528.969999999</v>
      </c>
      <c r="D8" s="1026">
        <f>Financials_Consolidated!D17</f>
        <v>36394424.450000003</v>
      </c>
      <c r="E8" s="581"/>
      <c r="F8" s="581"/>
      <c r="G8" s="581"/>
      <c r="H8" s="581"/>
      <c r="I8" s="581"/>
      <c r="J8" s="581"/>
    </row>
    <row r="9" spans="2:10" x14ac:dyDescent="0.2">
      <c r="B9" s="1018" t="s">
        <v>436</v>
      </c>
      <c r="C9" s="1025">
        <f>Financials_Consolidated!C18</f>
        <v>18949844.119999997</v>
      </c>
      <c r="D9" s="1026">
        <f>Financials_Consolidated!D18</f>
        <v>27055468.520000003</v>
      </c>
      <c r="E9" s="581"/>
      <c r="F9" s="581"/>
      <c r="G9" s="581"/>
      <c r="H9" s="581"/>
      <c r="I9" s="581"/>
      <c r="J9" s="581"/>
    </row>
    <row r="10" spans="2:10" x14ac:dyDescent="0.2">
      <c r="B10" s="1016" t="s">
        <v>28</v>
      </c>
      <c r="C10" s="58">
        <f>C7-C8-C9</f>
        <v>8216830.1600000039</v>
      </c>
      <c r="D10" s="514">
        <f>D7-D8-D9</f>
        <v>14500268.899999999</v>
      </c>
      <c r="E10" s="581"/>
      <c r="F10" s="581"/>
      <c r="G10" s="581"/>
      <c r="H10" s="581"/>
      <c r="I10" s="581"/>
      <c r="J10" s="581"/>
    </row>
    <row r="11" spans="2:10" x14ac:dyDescent="0.2">
      <c r="B11" s="1016" t="s">
        <v>437</v>
      </c>
      <c r="C11" s="917">
        <f>C10/C7</f>
        <v>0.12100442626979405</v>
      </c>
      <c r="D11" s="918">
        <f>D10/D7</f>
        <v>0.18601974071821126</v>
      </c>
      <c r="E11" s="581"/>
      <c r="F11" s="581"/>
      <c r="G11" s="581"/>
      <c r="H11" s="581"/>
      <c r="I11" s="581"/>
      <c r="J11" s="581"/>
    </row>
    <row r="12" spans="2:10" x14ac:dyDescent="0.2">
      <c r="B12" s="1016" t="s">
        <v>438</v>
      </c>
      <c r="C12" s="2174">
        <f>(C11+D11)/2</f>
        <v>0.15351208349400264</v>
      </c>
      <c r="D12" s="2175"/>
      <c r="E12" s="59"/>
      <c r="F12" s="59"/>
      <c r="G12" s="59"/>
      <c r="H12" s="59"/>
      <c r="I12" s="581"/>
      <c r="J12" s="581"/>
    </row>
    <row r="13" spans="2:10" x14ac:dyDescent="0.2">
      <c r="B13" s="1018" t="s">
        <v>439</v>
      </c>
      <c r="C13" s="2176">
        <f>C7*20%</f>
        <v>13581040.65</v>
      </c>
      <c r="D13" s="2177"/>
      <c r="E13" s="59"/>
      <c r="F13" s="59"/>
      <c r="G13" s="59"/>
      <c r="H13" s="59"/>
      <c r="I13" s="581"/>
      <c r="J13" s="581"/>
    </row>
    <row r="14" spans="2:10" x14ac:dyDescent="0.2">
      <c r="B14" s="1018" t="s">
        <v>440</v>
      </c>
      <c r="C14" s="2176">
        <f>C7*C12</f>
        <v>10424269.23099122</v>
      </c>
      <c r="D14" s="2177"/>
      <c r="E14" s="59"/>
      <c r="F14" s="59"/>
      <c r="G14" s="59"/>
      <c r="H14" s="59"/>
      <c r="I14" s="581"/>
      <c r="J14" s="581"/>
    </row>
    <row r="15" spans="2:10" x14ac:dyDescent="0.2">
      <c r="B15" s="1016" t="s">
        <v>441</v>
      </c>
      <c r="C15" s="2176">
        <f>MIN(C13:D14)</f>
        <v>10424269.23099122</v>
      </c>
      <c r="D15" s="2177"/>
      <c r="E15" s="59"/>
      <c r="F15" s="59"/>
      <c r="G15" s="59"/>
      <c r="H15" s="59"/>
      <c r="I15" s="581"/>
      <c r="J15" s="581"/>
    </row>
    <row r="16" spans="2:10" x14ac:dyDescent="0.2">
      <c r="B16" s="1016" t="s">
        <v>442</v>
      </c>
      <c r="C16" s="60"/>
      <c r="D16" s="515"/>
      <c r="E16" s="59"/>
      <c r="F16" s="59"/>
      <c r="G16" s="59"/>
      <c r="H16" s="59"/>
      <c r="I16" s="581"/>
      <c r="J16" s="581"/>
    </row>
    <row r="17" spans="2:10" x14ac:dyDescent="0.2">
      <c r="B17" s="1018" t="s">
        <v>443</v>
      </c>
      <c r="C17" s="2166">
        <v>0.6</v>
      </c>
      <c r="D17" s="2161"/>
      <c r="E17" s="59"/>
      <c r="F17" s="59"/>
      <c r="G17" s="59"/>
      <c r="H17" s="59"/>
      <c r="I17" s="581"/>
      <c r="J17" s="581"/>
    </row>
    <row r="18" spans="2:10" x14ac:dyDescent="0.2">
      <c r="B18" s="1018" t="s">
        <v>444</v>
      </c>
      <c r="C18" s="2162">
        <f>C15/12</f>
        <v>868689.10258260171</v>
      </c>
      <c r="D18" s="2163"/>
      <c r="E18" s="59"/>
      <c r="F18" s="59"/>
      <c r="G18" s="59"/>
      <c r="H18" s="59"/>
      <c r="I18" s="581"/>
      <c r="J18" s="581"/>
    </row>
    <row r="19" spans="2:10" x14ac:dyDescent="0.2">
      <c r="B19" s="1018" t="s">
        <v>445</v>
      </c>
      <c r="C19" s="2162">
        <f>C17*C18</f>
        <v>521213.46154956101</v>
      </c>
      <c r="D19" s="2163"/>
      <c r="E19" s="59"/>
      <c r="F19" s="59"/>
      <c r="G19" s="1020"/>
      <c r="H19" s="59"/>
      <c r="I19" s="581"/>
      <c r="J19" s="581"/>
    </row>
    <row r="20" spans="2:10" x14ac:dyDescent="0.2">
      <c r="B20" s="1018" t="s">
        <v>225</v>
      </c>
      <c r="C20" s="2167">
        <f>'EMI Chart'!I43</f>
        <v>96610</v>
      </c>
      <c r="D20" s="2168"/>
      <c r="E20" s="59"/>
      <c r="F20" s="1021"/>
      <c r="G20" s="1021"/>
      <c r="H20" s="59"/>
      <c r="I20" s="581"/>
      <c r="J20" s="581"/>
    </row>
    <row r="21" spans="2:10" x14ac:dyDescent="0.2">
      <c r="B21" s="1018" t="s">
        <v>446</v>
      </c>
      <c r="C21" s="2162">
        <f>C19-C20</f>
        <v>424603.46154956101</v>
      </c>
      <c r="D21" s="2163"/>
      <c r="E21" s="59"/>
      <c r="F21" s="59"/>
      <c r="G21" s="59"/>
      <c r="H21" s="59"/>
      <c r="I21" s="581"/>
      <c r="J21" s="581"/>
    </row>
    <row r="22" spans="2:10" x14ac:dyDescent="0.2">
      <c r="B22" s="1018" t="s">
        <v>451</v>
      </c>
      <c r="C22" s="2160">
        <v>180</v>
      </c>
      <c r="D22" s="2161"/>
      <c r="E22" s="59"/>
      <c r="F22" s="59"/>
      <c r="G22" s="59"/>
      <c r="H22" s="59"/>
      <c r="I22" s="581"/>
      <c r="J22" s="581"/>
    </row>
    <row r="23" spans="2:10" x14ac:dyDescent="0.2">
      <c r="B23" s="1018" t="s">
        <v>447</v>
      </c>
      <c r="C23" s="2172">
        <v>0.1</v>
      </c>
      <c r="D23" s="2173"/>
      <c r="E23" s="59"/>
      <c r="F23" s="59"/>
      <c r="G23" s="59"/>
      <c r="H23" s="59"/>
      <c r="I23" s="581"/>
      <c r="J23" s="581"/>
    </row>
    <row r="24" spans="2:10" x14ac:dyDescent="0.2">
      <c r="B24" s="1018" t="s">
        <v>221</v>
      </c>
      <c r="C24" s="2162">
        <f>PMT(C23/12,C22,-100000,0)</f>
        <v>1074.6051177081163</v>
      </c>
      <c r="D24" s="2163"/>
      <c r="E24" s="59"/>
      <c r="F24" s="59"/>
      <c r="G24" s="59"/>
      <c r="H24" s="59"/>
      <c r="I24" s="581"/>
      <c r="J24" s="581"/>
    </row>
    <row r="25" spans="2:10" x14ac:dyDescent="0.2">
      <c r="B25" s="1016" t="s">
        <v>448</v>
      </c>
      <c r="C25" s="2169">
        <f>C21/C24</f>
        <v>395.12510647180039</v>
      </c>
      <c r="D25" s="2170"/>
      <c r="E25" s="59"/>
      <c r="F25" s="59"/>
      <c r="G25" s="59"/>
      <c r="H25" s="59"/>
      <c r="I25" s="581"/>
      <c r="J25" s="581"/>
    </row>
    <row r="26" spans="2:10" x14ac:dyDescent="0.2">
      <c r="B26" s="1016" t="s">
        <v>449</v>
      </c>
      <c r="C26" s="2160"/>
      <c r="D26" s="2161"/>
      <c r="E26" s="59"/>
      <c r="F26" s="59"/>
      <c r="G26" s="59"/>
      <c r="H26" s="59"/>
      <c r="I26" s="581"/>
      <c r="J26" s="581"/>
    </row>
    <row r="27" spans="2:10" x14ac:dyDescent="0.2">
      <c r="B27" s="1016" t="s">
        <v>229</v>
      </c>
      <c r="C27" s="2162">
        <f>C26*C24/100000</f>
        <v>0</v>
      </c>
      <c r="D27" s="2163"/>
      <c r="E27" s="59"/>
      <c r="F27" s="59"/>
      <c r="G27" s="59"/>
      <c r="H27" s="59"/>
      <c r="I27" s="581"/>
      <c r="J27" s="581"/>
    </row>
    <row r="28" spans="2:10" ht="13.5" thickBot="1" x14ac:dyDescent="0.25">
      <c r="B28" s="1022" t="s">
        <v>450</v>
      </c>
      <c r="C28" s="2164">
        <f>(C27+C20)/C18</f>
        <v>0.11121355121502007</v>
      </c>
      <c r="D28" s="2165"/>
      <c r="E28" s="59"/>
      <c r="F28" s="59"/>
      <c r="G28" s="59"/>
      <c r="H28" s="59"/>
      <c r="I28" s="581"/>
      <c r="J28" s="581"/>
    </row>
    <row r="29" spans="2:10" x14ac:dyDescent="0.2">
      <c r="B29" s="1023"/>
      <c r="C29" s="581"/>
      <c r="D29" s="581"/>
      <c r="E29" s="581"/>
      <c r="F29" s="581"/>
      <c r="G29" s="581"/>
      <c r="H29" s="581"/>
      <c r="I29" s="581"/>
      <c r="J29" s="581"/>
    </row>
  </sheetData>
  <sheetProtection algorithmName="SHA-512" hashValue="CC3SP3XswWB1Xv+9seSYMn5p2DU2zN4ObbsbbVnPSjQh7ISxEUj79h6C+9C+08f/+obHCYgzcbFpLBjlcqQrRw==" saltValue="5Hz6MhpiCtkWUI7HceRnpw==" spinCount="100000" sheet="1" formatCells="0" formatColumns="0" formatRows="0" insertColumns="0" insertRows="0" insertHyperlinks="0" deleteColumns="0" deleteRows="0" autoFilter="0"/>
  <mergeCells count="20">
    <mergeCell ref="E6:J7"/>
    <mergeCell ref="B1:B3"/>
    <mergeCell ref="B5:D5"/>
    <mergeCell ref="C23:D23"/>
    <mergeCell ref="C24:D24"/>
    <mergeCell ref="C12:D12"/>
    <mergeCell ref="C13:D13"/>
    <mergeCell ref="C14:D14"/>
    <mergeCell ref="C15:D15"/>
    <mergeCell ref="B4:D4"/>
    <mergeCell ref="C26:D26"/>
    <mergeCell ref="C27:D27"/>
    <mergeCell ref="C28:D28"/>
    <mergeCell ref="C17:D17"/>
    <mergeCell ref="C18:D18"/>
    <mergeCell ref="C19:D19"/>
    <mergeCell ref="C20:D20"/>
    <mergeCell ref="C21:D21"/>
    <mergeCell ref="C22:D22"/>
    <mergeCell ref="C25:D25"/>
  </mergeCells>
  <dataValidations count="1">
    <dataValidation type="list" allowBlank="1" showInputMessage="1" showErrorMessage="1" sqref="C16:D16" xr:uid="{00000000-0002-0000-2500-000000000000}">
      <formula1>"Yes, No"</formula1>
    </dataValidation>
  </dataValidations>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pageSetUpPr fitToPage="1"/>
  </sheetPr>
  <dimension ref="B1:F38"/>
  <sheetViews>
    <sheetView workbookViewId="0">
      <selection activeCell="R1" sqref="R1:R1048576"/>
    </sheetView>
  </sheetViews>
  <sheetFormatPr defaultColWidth="9.140625" defaultRowHeight="12.75" x14ac:dyDescent="0.2"/>
  <cols>
    <col min="1" max="1" width="3.28515625" style="586" customWidth="1"/>
    <col min="2" max="2" width="48" style="586" customWidth="1"/>
    <col min="3" max="3" width="30.28515625" style="586" customWidth="1"/>
    <col min="4" max="5" width="9.140625" style="586"/>
    <col min="6" max="6" width="23.140625" style="587" bestFit="1" customWidth="1"/>
    <col min="7" max="16384" width="9.140625" style="586"/>
  </cols>
  <sheetData>
    <row r="1" spans="2:6" x14ac:dyDescent="0.2">
      <c r="B1" s="2141" t="str">
        <f>'Borrower Details'!A2</f>
        <v>Mortgage-Magnus-Unsecured</v>
      </c>
      <c r="C1" s="2182" t="s">
        <v>3</v>
      </c>
      <c r="D1" s="581"/>
      <c r="E1" s="581"/>
      <c r="F1" s="1023"/>
    </row>
    <row r="2" spans="2:6" x14ac:dyDescent="0.2">
      <c r="B2" s="2142"/>
      <c r="C2" s="2183"/>
      <c r="D2" s="581"/>
      <c r="E2" s="581"/>
      <c r="F2" s="1023"/>
    </row>
    <row r="3" spans="2:6" ht="9" customHeight="1" x14ac:dyDescent="0.2">
      <c r="B3" s="2143"/>
      <c r="C3" s="2184"/>
      <c r="D3" s="581"/>
      <c r="E3" s="581"/>
      <c r="F3" s="1023"/>
    </row>
    <row r="4" spans="2:6" x14ac:dyDescent="0.2">
      <c r="B4" s="2139" t="s">
        <v>2501</v>
      </c>
      <c r="C4" s="2140"/>
      <c r="D4" s="581"/>
      <c r="E4" s="581"/>
      <c r="F4" s="1023"/>
    </row>
    <row r="5" spans="2:6" ht="15.75" x14ac:dyDescent="0.2">
      <c r="B5" s="2102" t="s">
        <v>430</v>
      </c>
      <c r="C5" s="2181"/>
      <c r="D5" s="581"/>
      <c r="E5" s="581"/>
      <c r="F5" s="1023"/>
    </row>
    <row r="6" spans="2:6" ht="15.75" x14ac:dyDescent="0.2">
      <c r="B6" s="19" t="str">
        <f>'Borrower Details'!A8</f>
        <v>Name of  Main Applicant</v>
      </c>
      <c r="C6" s="516" t="str">
        <f>'Borrower Details'!B8</f>
        <v>AARBUR</v>
      </c>
      <c r="D6" s="581"/>
      <c r="E6" s="581"/>
      <c r="F6" s="1023"/>
    </row>
    <row r="7" spans="2:6" x14ac:dyDescent="0.2">
      <c r="B7" s="1027" t="s">
        <v>20</v>
      </c>
      <c r="C7" s="1028" t="s">
        <v>404</v>
      </c>
      <c r="D7" s="581"/>
      <c r="E7" s="581"/>
      <c r="F7" s="1023"/>
    </row>
    <row r="8" spans="2:6" x14ac:dyDescent="0.2">
      <c r="B8" s="1029" t="s">
        <v>483</v>
      </c>
      <c r="C8" s="517"/>
      <c r="D8" s="581"/>
      <c r="E8" s="581"/>
      <c r="F8" s="1023"/>
    </row>
    <row r="9" spans="2:6" x14ac:dyDescent="0.2">
      <c r="B9" s="1029" t="s">
        <v>407</v>
      </c>
      <c r="C9" s="517"/>
      <c r="D9" s="581"/>
      <c r="E9" s="581"/>
      <c r="F9" s="1023"/>
    </row>
    <row r="10" spans="2:6" x14ac:dyDescent="0.2">
      <c r="B10" s="1029" t="s">
        <v>408</v>
      </c>
      <c r="C10" s="1042">
        <f>C8*0.7</f>
        <v>0</v>
      </c>
      <c r="D10" s="581"/>
      <c r="E10" s="581"/>
      <c r="F10" s="1023"/>
    </row>
    <row r="11" spans="2:6" x14ac:dyDescent="0.2">
      <c r="B11" s="1030" t="s">
        <v>409</v>
      </c>
      <c r="C11" s="1042">
        <f>C9*0.9</f>
        <v>0</v>
      </c>
      <c r="D11" s="581"/>
      <c r="E11" s="581"/>
      <c r="F11" s="1023"/>
    </row>
    <row r="12" spans="2:6" x14ac:dyDescent="0.2">
      <c r="B12" s="1030" t="s">
        <v>410</v>
      </c>
      <c r="C12" s="1042">
        <f>MIN(C10:C11)</f>
        <v>0</v>
      </c>
      <c r="D12" s="581"/>
      <c r="E12" s="581"/>
      <c r="F12" s="1023"/>
    </row>
    <row r="13" spans="2:6" x14ac:dyDescent="0.2">
      <c r="B13" s="1027" t="s">
        <v>431</v>
      </c>
      <c r="C13" s="1042">
        <f>C12</f>
        <v>0</v>
      </c>
      <c r="D13" s="581"/>
      <c r="E13" s="581"/>
      <c r="F13" s="1023"/>
    </row>
    <row r="14" spans="2:6" x14ac:dyDescent="0.2">
      <c r="B14" s="1027" t="s">
        <v>416</v>
      </c>
      <c r="C14" s="1042">
        <f>C13/C18*100000</f>
        <v>0</v>
      </c>
      <c r="D14" s="581"/>
      <c r="E14" s="581"/>
      <c r="F14" s="1023"/>
    </row>
    <row r="15" spans="2:6" x14ac:dyDescent="0.2">
      <c r="B15" s="1030" t="s">
        <v>405</v>
      </c>
      <c r="C15" s="517"/>
      <c r="D15" s="581"/>
      <c r="E15" s="581"/>
      <c r="F15" s="1023"/>
    </row>
    <row r="16" spans="2:6" x14ac:dyDescent="0.2">
      <c r="B16" s="1030" t="s">
        <v>417</v>
      </c>
      <c r="C16" s="517">
        <v>180</v>
      </c>
      <c r="D16" s="581"/>
      <c r="E16" s="581"/>
      <c r="F16" s="1023"/>
    </row>
    <row r="17" spans="2:6" x14ac:dyDescent="0.2">
      <c r="B17" s="1030" t="s">
        <v>406</v>
      </c>
      <c r="C17" s="588">
        <v>0.1</v>
      </c>
      <c r="D17" s="581"/>
      <c r="E17" s="581"/>
      <c r="F17" s="1023"/>
    </row>
    <row r="18" spans="2:6" x14ac:dyDescent="0.2">
      <c r="B18" s="1030" t="s">
        <v>418</v>
      </c>
      <c r="C18" s="1042">
        <f>ROUND(-PMT(C17/12,C16,100000),0)</f>
        <v>1075</v>
      </c>
      <c r="D18" s="581"/>
      <c r="E18" s="581"/>
      <c r="F18" s="1023"/>
    </row>
    <row r="19" spans="2:6" ht="13.5" thickBot="1" x14ac:dyDescent="0.25">
      <c r="B19" s="1031" t="s">
        <v>432</v>
      </c>
      <c r="C19" s="1043">
        <f>C18*C15/100000</f>
        <v>0</v>
      </c>
      <c r="D19" s="581"/>
      <c r="E19" s="581"/>
      <c r="F19" s="1023"/>
    </row>
    <row r="20" spans="2:6" x14ac:dyDescent="0.2">
      <c r="B20" s="581"/>
      <c r="C20" s="581"/>
      <c r="D20" s="581"/>
      <c r="E20" s="581"/>
      <c r="F20" s="1023"/>
    </row>
    <row r="21" spans="2:6" x14ac:dyDescent="0.2">
      <c r="B21" s="1032" t="s">
        <v>433</v>
      </c>
      <c r="C21" s="581"/>
      <c r="D21" s="581"/>
      <c r="E21" s="581"/>
      <c r="F21" s="1023"/>
    </row>
    <row r="22" spans="2:6" x14ac:dyDescent="0.2">
      <c r="B22" s="581"/>
      <c r="C22" s="581"/>
      <c r="D22" s="581"/>
      <c r="E22" s="581"/>
      <c r="F22" s="1023"/>
    </row>
    <row r="23" spans="2:6" x14ac:dyDescent="0.2">
      <c r="B23" s="1033" t="s">
        <v>3125</v>
      </c>
      <c r="C23" s="1034" t="s">
        <v>1659</v>
      </c>
      <c r="D23" s="1034" t="s">
        <v>3126</v>
      </c>
      <c r="E23" s="1034" t="s">
        <v>3127</v>
      </c>
      <c r="F23" s="1034" t="s">
        <v>3128</v>
      </c>
    </row>
    <row r="24" spans="2:6" x14ac:dyDescent="0.2">
      <c r="B24" s="1033"/>
      <c r="C24" s="1034"/>
      <c r="D24" s="1034"/>
      <c r="E24" s="1034"/>
      <c r="F24" s="1034"/>
    </row>
    <row r="25" spans="2:6" x14ac:dyDescent="0.2">
      <c r="B25" s="1033"/>
      <c r="C25" s="1034"/>
      <c r="D25" s="1034"/>
      <c r="E25" s="1034"/>
      <c r="F25" s="1034"/>
    </row>
    <row r="26" spans="2:6" x14ac:dyDescent="0.2">
      <c r="B26" s="1033"/>
      <c r="C26" s="1034"/>
      <c r="D26" s="1034"/>
      <c r="E26" s="1034"/>
      <c r="F26" s="1034"/>
    </row>
    <row r="27" spans="2:6" x14ac:dyDescent="0.2">
      <c r="B27" s="1033"/>
      <c r="C27" s="1034"/>
      <c r="D27" s="1034"/>
      <c r="E27" s="1034"/>
      <c r="F27" s="1034"/>
    </row>
    <row r="28" spans="2:6" x14ac:dyDescent="0.2">
      <c r="B28" s="1033"/>
      <c r="C28" s="1034"/>
      <c r="D28" s="1034"/>
      <c r="E28" s="1034"/>
      <c r="F28" s="1034"/>
    </row>
    <row r="29" spans="2:6" x14ac:dyDescent="0.2">
      <c r="B29" s="1033"/>
      <c r="C29" s="1034"/>
      <c r="D29" s="1034"/>
      <c r="E29" s="1034"/>
      <c r="F29" s="1034"/>
    </row>
    <row r="30" spans="2:6" x14ac:dyDescent="0.2">
      <c r="B30" s="1035"/>
      <c r="C30" s="1036"/>
      <c r="D30" s="1034"/>
      <c r="E30" s="1034"/>
      <c r="F30" s="1034"/>
    </row>
    <row r="31" spans="2:6" x14ac:dyDescent="0.2">
      <c r="B31" s="1035"/>
      <c r="C31" s="1036"/>
      <c r="D31" s="1034"/>
      <c r="E31" s="1034"/>
      <c r="F31" s="1034"/>
    </row>
    <row r="32" spans="2:6" x14ac:dyDescent="0.2">
      <c r="B32" s="1035"/>
      <c r="C32" s="1036"/>
      <c r="D32" s="1034"/>
      <c r="E32" s="1034"/>
      <c r="F32" s="1034"/>
    </row>
    <row r="33" spans="2:6" x14ac:dyDescent="0.2">
      <c r="B33" s="1037"/>
      <c r="C33" s="1038"/>
      <c r="D33" s="1034"/>
      <c r="E33" s="1034"/>
      <c r="F33" s="1034"/>
    </row>
    <row r="34" spans="2:6" x14ac:dyDescent="0.2">
      <c r="B34" s="1039"/>
      <c r="C34" s="1036"/>
      <c r="D34" s="1034"/>
      <c r="E34" s="1034"/>
      <c r="F34" s="1034"/>
    </row>
    <row r="35" spans="2:6" x14ac:dyDescent="0.2">
      <c r="B35" s="1034"/>
      <c r="C35" s="1036"/>
      <c r="D35" s="1034"/>
      <c r="E35" s="1034"/>
      <c r="F35" s="1034"/>
    </row>
    <row r="36" spans="2:6" x14ac:dyDescent="0.2">
      <c r="B36" s="1039"/>
      <c r="C36" s="1036"/>
      <c r="D36" s="1034"/>
      <c r="E36" s="1034"/>
      <c r="F36" s="1034"/>
    </row>
    <row r="37" spans="2:6" x14ac:dyDescent="0.2">
      <c r="B37" s="1039"/>
      <c r="C37" s="1036"/>
      <c r="D37" s="1034"/>
      <c r="E37" s="1034"/>
      <c r="F37" s="1034"/>
    </row>
    <row r="38" spans="2:6" x14ac:dyDescent="0.2">
      <c r="B38" s="1040" t="s">
        <v>26</v>
      </c>
      <c r="C38" s="1041"/>
      <c r="D38" s="1034"/>
      <c r="E38" s="1044">
        <f>SUM(E24:E37)</f>
        <v>0</v>
      </c>
      <c r="F38" s="1044">
        <f>SUM(F24:F37)</f>
        <v>0</v>
      </c>
    </row>
  </sheetData>
  <sheetProtection algorithmName="SHA-512" hashValue="m7F1fRE3bZZfiwCLJ73qzCJRqPvgymEOy63TNuxftcxnd4FNO0T//P/hyvoJk+4IzEOWRbr/7TXZsGrIpAtD2Q==" saltValue="aDkiDXnKvZrmNd/Pat1t3g==" spinCount="100000" sheet="1" formatCells="0" formatColumns="0" formatRows="0" insertColumns="0" insertRows="0" insertHyperlinks="0" deleteColumns="0" deleteRows="0" autoFilter="0"/>
  <mergeCells count="4">
    <mergeCell ref="B1:B3"/>
    <mergeCell ref="B5:C5"/>
    <mergeCell ref="C1:C3"/>
    <mergeCell ref="B4:C4"/>
  </mergeCells>
  <pageMargins left="0.7" right="0.7" top="0.75" bottom="0.75" header="0.3" footer="0.3"/>
  <pageSetup paperSize="9" fitToHeight="0" orientation="landscape"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5"/>
  <dimension ref="A1:I322"/>
  <sheetViews>
    <sheetView showGridLines="0" zoomScale="70" zoomScaleNormal="70" workbookViewId="0">
      <pane ySplit="4" topLeftCell="A5" activePane="bottomLeft" state="frozen"/>
      <selection activeCell="R1" sqref="R1:R1048576"/>
      <selection pane="bottomLeft" activeCell="R1" sqref="R1:R1048576"/>
    </sheetView>
  </sheetViews>
  <sheetFormatPr defaultColWidth="0" defaultRowHeight="0" customHeight="1" zeroHeight="1" x14ac:dyDescent="0.2"/>
  <cols>
    <col min="1" max="1" width="53.28515625" style="268" customWidth="1"/>
    <col min="2" max="2" width="28.5703125" style="268" customWidth="1"/>
    <col min="3" max="3" width="28.85546875" style="268" customWidth="1"/>
    <col min="4" max="4" width="27.28515625" style="268" bestFit="1" customWidth="1"/>
    <col min="5" max="5" width="36.140625" style="268" bestFit="1" customWidth="1"/>
    <col min="6" max="6" width="20.28515625" style="268" customWidth="1"/>
    <col min="7" max="7" width="28.85546875" style="252" bestFit="1" customWidth="1"/>
    <col min="8" max="8" width="18.7109375" style="252" hidden="1" customWidth="1"/>
    <col min="9" max="9" width="57.28515625" style="253" hidden="1" customWidth="1"/>
    <col min="10" max="16384" width="1.28515625" style="252" hidden="1"/>
  </cols>
  <sheetData>
    <row r="1" spans="1:9" ht="14.25" customHeight="1" x14ac:dyDescent="0.2">
      <c r="A1" s="2141" t="str">
        <f>'Borrower Details'!A2</f>
        <v>Mortgage-Magnus-Unsecured</v>
      </c>
      <c r="B1" s="2152"/>
      <c r="C1" s="2152"/>
      <c r="D1" s="2152"/>
      <c r="E1" s="1045"/>
      <c r="F1" s="1046"/>
    </row>
    <row r="2" spans="1:9" ht="16.5" x14ac:dyDescent="0.2">
      <c r="A2" s="2142"/>
      <c r="B2" s="2153"/>
      <c r="C2" s="2153"/>
      <c r="D2" s="2153"/>
      <c r="E2" s="990" t="s">
        <v>3</v>
      </c>
      <c r="F2" s="991"/>
    </row>
    <row r="3" spans="1:9" ht="14.25" customHeight="1" thickBot="1" x14ac:dyDescent="0.25">
      <c r="A3" s="2154"/>
      <c r="B3" s="2155"/>
      <c r="C3" s="2155"/>
      <c r="D3" s="2155"/>
      <c r="E3" s="1047"/>
      <c r="F3" s="1048"/>
      <c r="I3" s="254"/>
    </row>
    <row r="4" spans="1:9" s="255" customFormat="1" ht="15.75" thickBot="1" x14ac:dyDescent="0.25">
      <c r="A4" s="2197" t="s">
        <v>2505</v>
      </c>
      <c r="B4" s="2198"/>
      <c r="C4" s="2198"/>
      <c r="D4" s="2198"/>
      <c r="E4" s="2198"/>
      <c r="F4" s="2199"/>
      <c r="G4" s="252"/>
      <c r="H4" s="252"/>
      <c r="I4" s="256" t="s">
        <v>1093</v>
      </c>
    </row>
    <row r="5" spans="1:9" ht="16.5" thickBot="1" x14ac:dyDescent="0.3">
      <c r="A5" s="938" t="s">
        <v>1091</v>
      </c>
      <c r="B5" s="2201" t="str">
        <f>'Borrower Details'!B8:K8</f>
        <v>AARBUR</v>
      </c>
      <c r="C5" s="2201"/>
      <c r="D5" s="2201"/>
      <c r="E5" s="1049" t="s">
        <v>1092</v>
      </c>
      <c r="F5" s="1063" t="str">
        <f>'Borrower Details'!F16</f>
        <v>Manufacturing</v>
      </c>
      <c r="G5" s="255"/>
      <c r="H5" s="255"/>
      <c r="I5" s="253" t="s">
        <v>348</v>
      </c>
    </row>
    <row r="6" spans="1:9" ht="18" customHeight="1" thickBot="1" x14ac:dyDescent="0.25">
      <c r="A6" s="2202" t="s">
        <v>1094</v>
      </c>
      <c r="B6" s="2203"/>
      <c r="C6" s="2204"/>
      <c r="D6" s="2203"/>
      <c r="E6" s="2205"/>
      <c r="F6" s="2206"/>
      <c r="I6" s="253" t="s">
        <v>1098</v>
      </c>
    </row>
    <row r="7" spans="1:9" ht="23.25" customHeight="1" thickBot="1" x14ac:dyDescent="0.25">
      <c r="A7" s="1050" t="s">
        <v>1095</v>
      </c>
      <c r="B7" s="235"/>
      <c r="C7" s="1051" t="s">
        <v>1096</v>
      </c>
      <c r="D7" s="236">
        <v>36</v>
      </c>
      <c r="E7" s="1052" t="s">
        <v>1097</v>
      </c>
      <c r="F7" s="519">
        <v>0.18</v>
      </c>
      <c r="I7" s="253" t="s">
        <v>1100</v>
      </c>
    </row>
    <row r="8" spans="1:9" ht="23.25" customHeight="1" thickBot="1" x14ac:dyDescent="0.25">
      <c r="A8" s="2207" t="s">
        <v>1099</v>
      </c>
      <c r="B8" s="2208"/>
      <c r="C8" s="2208"/>
      <c r="D8" s="2208"/>
      <c r="E8" s="2208"/>
      <c r="F8" s="2209"/>
      <c r="I8" s="253" t="s">
        <v>1101</v>
      </c>
    </row>
    <row r="9" spans="1:9" ht="23.25" customHeight="1" x14ac:dyDescent="0.2">
      <c r="A9" s="1064">
        <f>emi_oblig</f>
        <v>96610</v>
      </c>
      <c r="B9" s="258"/>
      <c r="C9" s="259"/>
      <c r="D9" s="259"/>
      <c r="E9" s="520"/>
      <c r="F9" s="521"/>
      <c r="I9" s="253" t="s">
        <v>1102</v>
      </c>
    </row>
    <row r="10" spans="1:9" ht="23.25" customHeight="1" x14ac:dyDescent="0.2">
      <c r="A10" s="257"/>
      <c r="B10" s="262"/>
      <c r="C10" s="262"/>
      <c r="D10" s="262"/>
      <c r="E10" s="263"/>
      <c r="F10" s="522"/>
      <c r="I10" s="256" t="s">
        <v>1104</v>
      </c>
    </row>
    <row r="11" spans="1:9" ht="23.25" customHeight="1" thickBot="1" x14ac:dyDescent="0.25">
      <c r="A11" s="257"/>
      <c r="B11" s="262"/>
      <c r="C11" s="262"/>
      <c r="D11" s="262"/>
      <c r="E11" s="1051" t="s">
        <v>1103</v>
      </c>
      <c r="F11" s="528">
        <f>SUM(A9:D11)+SUM(E9:F10)</f>
        <v>96610</v>
      </c>
      <c r="I11" s="256"/>
    </row>
    <row r="12" spans="1:9" ht="23.25" customHeight="1" x14ac:dyDescent="0.2">
      <c r="A12" s="2187" t="s">
        <v>1105</v>
      </c>
      <c r="B12" s="2188"/>
      <c r="C12" s="2188"/>
      <c r="D12" s="2188"/>
      <c r="E12" s="2188"/>
      <c r="F12" s="2189"/>
      <c r="I12" s="256"/>
    </row>
    <row r="13" spans="1:9" ht="23.25" customHeight="1" x14ac:dyDescent="0.2">
      <c r="A13" s="1053" t="s">
        <v>81</v>
      </c>
      <c r="B13" s="1067">
        <f>Financials_Consolidated!C22</f>
        <v>0</v>
      </c>
      <c r="C13" s="1054" t="s">
        <v>9</v>
      </c>
      <c r="D13" s="1067">
        <f>Financials_Consolidated!C27</f>
        <v>1989388</v>
      </c>
      <c r="E13" s="952" t="s">
        <v>10</v>
      </c>
      <c r="F13" s="1065">
        <f>Financials_Consolidated!C32</f>
        <v>-7691621.5399999935</v>
      </c>
      <c r="G13" s="2200" t="s">
        <v>1624</v>
      </c>
      <c r="I13" s="256"/>
    </row>
    <row r="14" spans="1:9" ht="23.25" customHeight="1" thickBot="1" x14ac:dyDescent="0.25">
      <c r="A14" s="1053" t="s">
        <v>82</v>
      </c>
      <c r="B14" s="1067">
        <f>Financials_Consolidated!C23</f>
        <v>0</v>
      </c>
      <c r="C14" s="1054" t="s">
        <v>8</v>
      </c>
      <c r="D14" s="1067">
        <f>Financials_Consolidated!C31</f>
        <v>4971108.01</v>
      </c>
      <c r="E14" s="180"/>
      <c r="F14" s="518"/>
      <c r="G14" s="2200"/>
      <c r="I14" s="256" t="s">
        <v>1108</v>
      </c>
    </row>
    <row r="15" spans="1:9" ht="23.25" customHeight="1" x14ac:dyDescent="0.2">
      <c r="A15" s="1055" t="s">
        <v>1106</v>
      </c>
      <c r="B15" s="1068">
        <f>PMT(F7/12,D7,-B7)</f>
        <v>0</v>
      </c>
      <c r="C15" s="1056" t="s">
        <v>1107</v>
      </c>
      <c r="D15" s="1070">
        <f>IF(H15="No",H16,H17)</f>
        <v>-4811895.8249999844</v>
      </c>
      <c r="E15" s="1056" t="s">
        <v>444</v>
      </c>
      <c r="F15" s="1066">
        <f>D15/12</f>
        <v>-400991.3187499987</v>
      </c>
      <c r="G15" s="264">
        <v>1.5</v>
      </c>
      <c r="H15" s="252" t="str">
        <f>IF(Financials_Consolidated!G11&gt;50%,"Yes","No")</f>
        <v>No</v>
      </c>
      <c r="I15" s="253" t="s">
        <v>1112</v>
      </c>
    </row>
    <row r="16" spans="1:9" ht="20.25" customHeight="1" x14ac:dyDescent="0.2">
      <c r="A16" s="1057" t="s">
        <v>1109</v>
      </c>
      <c r="B16" s="1069">
        <f>B15+F11</f>
        <v>96610</v>
      </c>
      <c r="C16" s="1058" t="s">
        <v>1110</v>
      </c>
      <c r="D16" s="1071">
        <f>B16/F15</f>
        <v>-0.24092790911573897</v>
      </c>
      <c r="E16" s="1058" t="s">
        <v>1111</v>
      </c>
      <c r="F16" s="523"/>
      <c r="H16" s="252">
        <f>IF(F5="Manufacturing",((F13+D14+B14+B13)*2.5+D13),IF(F5="Service",((F13+D14+B14+B13)*2+D13),IF(F5="Trading",((F13+D14+B14+B13)*2+D13))))</f>
        <v>-4811895.8249999844</v>
      </c>
      <c r="I16" s="253" t="s">
        <v>1114</v>
      </c>
    </row>
    <row r="17" spans="1:9" ht="23.25" customHeight="1" thickBot="1" x14ac:dyDescent="0.25">
      <c r="A17" s="524"/>
      <c r="B17" s="265"/>
      <c r="C17" s="265"/>
      <c r="D17" s="266"/>
      <c r="E17" s="1059" t="s">
        <v>1113</v>
      </c>
      <c r="F17" s="1072" t="str">
        <f>IF(D16&lt;=50%,"YES","NO")</f>
        <v>YES</v>
      </c>
      <c r="H17" s="252">
        <f>H21*(Financials_Consolidated!D11*G15)</f>
        <v>-8285551.9277234329</v>
      </c>
      <c r="I17" s="253" t="s">
        <v>1115</v>
      </c>
    </row>
    <row r="18" spans="1:9" ht="18" x14ac:dyDescent="0.2">
      <c r="A18" s="2187" t="s">
        <v>1625</v>
      </c>
      <c r="B18" s="2188"/>
      <c r="C18" s="2188"/>
      <c r="D18" s="2188"/>
      <c r="E18" s="2188"/>
      <c r="F18" s="2189"/>
      <c r="I18" s="253" t="s">
        <v>1116</v>
      </c>
    </row>
    <row r="19" spans="1:9" ht="15" x14ac:dyDescent="0.2">
      <c r="A19" s="2190" t="s">
        <v>1626</v>
      </c>
      <c r="B19" s="2191"/>
      <c r="C19" s="1073">
        <f>'Borrower Details'!J8</f>
        <v>44407</v>
      </c>
      <c r="D19" s="2191" t="s">
        <v>1627</v>
      </c>
      <c r="E19" s="2191"/>
      <c r="F19" s="2192">
        <f>'Borrower Details'!M40</f>
        <v>753.5</v>
      </c>
      <c r="H19" s="267">
        <f>Financials_Consolidated!C11</f>
        <v>67905203.25</v>
      </c>
      <c r="I19" s="256" t="s">
        <v>1117</v>
      </c>
    </row>
    <row r="20" spans="1:9" ht="15" x14ac:dyDescent="0.2">
      <c r="A20" s="2190" t="s">
        <v>1628</v>
      </c>
      <c r="B20" s="2191"/>
      <c r="C20" s="1060" t="s">
        <v>1545</v>
      </c>
      <c r="D20" s="2191"/>
      <c r="E20" s="2191"/>
      <c r="F20" s="2192"/>
      <c r="I20" s="256"/>
    </row>
    <row r="21" spans="1:9" ht="21.75" customHeight="1" x14ac:dyDescent="0.2">
      <c r="A21" s="525"/>
      <c r="B21" s="526"/>
      <c r="C21" s="1061"/>
      <c r="D21" s="526"/>
      <c r="E21" s="526"/>
      <c r="F21" s="1062" t="s">
        <v>1085</v>
      </c>
      <c r="H21" s="237">
        <f>H16/H19</f>
        <v>-7.0861960419800155E-2</v>
      </c>
      <c r="I21" s="253" t="s">
        <v>369</v>
      </c>
    </row>
    <row r="22" spans="1:9" ht="25.5" customHeight="1" x14ac:dyDescent="0.2">
      <c r="A22" s="527" t="s">
        <v>1629</v>
      </c>
      <c r="B22" s="2193" t="s">
        <v>1630</v>
      </c>
      <c r="C22" s="2193"/>
      <c r="D22" s="2193"/>
      <c r="E22" s="2193"/>
      <c r="F22" s="528" t="str">
        <f>IF(AND(F5="Manufacturing",Financials_Consolidated!C11&gt;200000000,(C19-'Borrower Details'!B13)/365&lt;7),"Decline","Ok")</f>
        <v>Ok</v>
      </c>
      <c r="I22" s="253" t="s">
        <v>1118</v>
      </c>
    </row>
    <row r="23" spans="1:9" ht="29.25" customHeight="1" x14ac:dyDescent="0.2">
      <c r="A23" s="527" t="s">
        <v>1631</v>
      </c>
      <c r="B23" s="2193" t="s">
        <v>1632</v>
      </c>
      <c r="C23" s="2193"/>
      <c r="D23" s="2193"/>
      <c r="E23" s="2193"/>
      <c r="F23" s="528" t="str">
        <f>IF(AND(F5="Service",Financials_Consolidated!C11&gt;200000000,(C19-'Borrower Details'!B13)/365&lt;7),"Decline","Ok")</f>
        <v>Ok</v>
      </c>
      <c r="I23" s="256" t="s">
        <v>1119</v>
      </c>
    </row>
    <row r="24" spans="1:9" ht="30.75" customHeight="1" x14ac:dyDescent="0.2">
      <c r="A24" s="527" t="s">
        <v>1633</v>
      </c>
      <c r="B24" s="2193" t="s">
        <v>1634</v>
      </c>
      <c r="C24" s="2193"/>
      <c r="D24" s="2193"/>
      <c r="E24" s="2193"/>
      <c r="F24" s="528" t="str">
        <f>IF(AND(Financials_Consolidated!C11&lt;20000000,(C19-'Borrower Details'!B13)/365&lt;7),"Decline","Ok")</f>
        <v>Ok</v>
      </c>
      <c r="I24" s="256" t="s">
        <v>390</v>
      </c>
    </row>
    <row r="25" spans="1:9" ht="33" customHeight="1" x14ac:dyDescent="0.2">
      <c r="A25" s="527" t="s">
        <v>1635</v>
      </c>
      <c r="B25" s="2194" t="s">
        <v>1636</v>
      </c>
      <c r="C25" s="2195"/>
      <c r="D25" s="2195"/>
      <c r="E25" s="2196"/>
      <c r="F25" s="528" t="str">
        <f>IF(C20="Yes","Decline","Ok")</f>
        <v>Ok</v>
      </c>
      <c r="I25" s="253" t="s">
        <v>1120</v>
      </c>
    </row>
    <row r="26" spans="1:9" ht="30.75" customHeight="1" x14ac:dyDescent="0.2">
      <c r="A26" s="527" t="s">
        <v>1637</v>
      </c>
      <c r="B26" s="2194" t="s">
        <v>1638</v>
      </c>
      <c r="C26" s="2195"/>
      <c r="D26" s="2195"/>
      <c r="E26" s="2196"/>
      <c r="F26" s="528" t="str">
        <f>IF(AND((C19-'Borrower Details'!B13)/365&lt;10,F19&lt;675,D16&gt;45%),"Decline","Ok")</f>
        <v>Ok</v>
      </c>
      <c r="I26" s="253" t="s">
        <v>320</v>
      </c>
    </row>
    <row r="27" spans="1:9" ht="15" x14ac:dyDescent="0.2">
      <c r="A27" s="527" t="s">
        <v>1639</v>
      </c>
      <c r="B27" s="2194" t="s">
        <v>1640</v>
      </c>
      <c r="C27" s="2195"/>
      <c r="D27" s="2195"/>
      <c r="E27" s="2196"/>
      <c r="F27" s="528" t="str">
        <f>IF(AND(F5="Manufacturing",Financials_Consolidated!C11&gt;300000000,D16&gt;45%),"To be processed by RCH","Ok")</f>
        <v>Ok</v>
      </c>
      <c r="I27" s="256" t="s">
        <v>401</v>
      </c>
    </row>
    <row r="28" spans="1:9" ht="110.25" customHeight="1" x14ac:dyDescent="0.2">
      <c r="A28" s="529"/>
      <c r="B28" s="530"/>
      <c r="C28" s="530"/>
      <c r="D28" s="530"/>
      <c r="E28" s="530"/>
      <c r="F28" s="531"/>
      <c r="I28" s="256" t="s">
        <v>1121</v>
      </c>
    </row>
    <row r="29" spans="1:9" ht="15.75" thickBot="1" x14ac:dyDescent="0.25">
      <c r="A29" s="532" t="s">
        <v>1641</v>
      </c>
      <c r="B29" s="2185"/>
      <c r="C29" s="2185"/>
      <c r="D29" s="2185"/>
      <c r="E29" s="2185"/>
      <c r="F29" s="2186"/>
      <c r="I29" s="256" t="s">
        <v>391</v>
      </c>
    </row>
    <row r="30" spans="1:9" ht="14.25" x14ac:dyDescent="0.2">
      <c r="I30" s="253" t="s">
        <v>1122</v>
      </c>
    </row>
    <row r="31" spans="1:9" ht="14.25" x14ac:dyDescent="0.2">
      <c r="I31" s="253" t="s">
        <v>1123</v>
      </c>
    </row>
    <row r="32" spans="1:9" ht="14.25" x14ac:dyDescent="0.2">
      <c r="I32" s="253" t="s">
        <v>1124</v>
      </c>
    </row>
    <row r="33" spans="9:9" ht="14.25" x14ac:dyDescent="0.2">
      <c r="I33" s="253" t="s">
        <v>1125</v>
      </c>
    </row>
    <row r="34" spans="9:9" ht="14.25" x14ac:dyDescent="0.2">
      <c r="I34" s="253" t="s">
        <v>1126</v>
      </c>
    </row>
    <row r="35" spans="9:9" ht="14.25" x14ac:dyDescent="0.2">
      <c r="I35" s="253" t="s">
        <v>1127</v>
      </c>
    </row>
    <row r="36" spans="9:9" ht="14.25" x14ac:dyDescent="0.2">
      <c r="I36" s="256" t="s">
        <v>1128</v>
      </c>
    </row>
    <row r="37" spans="9:9" ht="14.25" x14ac:dyDescent="0.2">
      <c r="I37" s="256" t="s">
        <v>1129</v>
      </c>
    </row>
    <row r="38" spans="9:9" ht="14.25" x14ac:dyDescent="0.2">
      <c r="I38" s="253" t="s">
        <v>1130</v>
      </c>
    </row>
    <row r="39" spans="9:9" ht="14.25" x14ac:dyDescent="0.2">
      <c r="I39" s="256" t="s">
        <v>358</v>
      </c>
    </row>
    <row r="40" spans="9:9" ht="14.25" x14ac:dyDescent="0.2">
      <c r="I40" s="256" t="s">
        <v>338</v>
      </c>
    </row>
    <row r="41" spans="9:9" ht="14.25" x14ac:dyDescent="0.2">
      <c r="I41" s="256" t="s">
        <v>324</v>
      </c>
    </row>
    <row r="42" spans="9:9" ht="14.25" x14ac:dyDescent="0.2">
      <c r="I42" s="253" t="s">
        <v>1131</v>
      </c>
    </row>
    <row r="43" spans="9:9" ht="14.25" x14ac:dyDescent="0.2">
      <c r="I43" s="256" t="s">
        <v>1132</v>
      </c>
    </row>
    <row r="44" spans="9:9" ht="14.25" x14ac:dyDescent="0.2">
      <c r="I44" s="253" t="s">
        <v>1133</v>
      </c>
    </row>
    <row r="45" spans="9:9" ht="14.25" x14ac:dyDescent="0.2">
      <c r="I45" s="256" t="s">
        <v>392</v>
      </c>
    </row>
    <row r="46" spans="9:9" ht="14.25" x14ac:dyDescent="0.2">
      <c r="I46" s="256" t="s">
        <v>1134</v>
      </c>
    </row>
    <row r="47" spans="9:9" ht="14.25" x14ac:dyDescent="0.2">
      <c r="I47" s="256" t="s">
        <v>1135</v>
      </c>
    </row>
    <row r="48" spans="9:9" ht="14.25" x14ac:dyDescent="0.2">
      <c r="I48" s="253" t="s">
        <v>1136</v>
      </c>
    </row>
    <row r="49" spans="9:9" ht="14.25" x14ac:dyDescent="0.2">
      <c r="I49" s="256" t="s">
        <v>398</v>
      </c>
    </row>
    <row r="50" spans="9:9" ht="14.25" x14ac:dyDescent="0.2">
      <c r="I50" s="253" t="s">
        <v>1137</v>
      </c>
    </row>
    <row r="51" spans="9:9" ht="14.25" x14ac:dyDescent="0.2">
      <c r="I51" s="253" t="s">
        <v>1138</v>
      </c>
    </row>
    <row r="52" spans="9:9" ht="14.25" x14ac:dyDescent="0.2">
      <c r="I52" s="256" t="s">
        <v>1139</v>
      </c>
    </row>
    <row r="53" spans="9:9" ht="14.25" x14ac:dyDescent="0.2">
      <c r="I53" s="256" t="s">
        <v>1140</v>
      </c>
    </row>
    <row r="54" spans="9:9" ht="14.25" x14ac:dyDescent="0.2">
      <c r="I54" s="253" t="s">
        <v>342</v>
      </c>
    </row>
    <row r="55" spans="9:9" ht="14.25" x14ac:dyDescent="0.2">
      <c r="I55" s="253" t="s">
        <v>1141</v>
      </c>
    </row>
    <row r="56" spans="9:9" ht="14.25" x14ac:dyDescent="0.2">
      <c r="I56" s="256" t="s">
        <v>1142</v>
      </c>
    </row>
    <row r="57" spans="9:9" ht="14.25" x14ac:dyDescent="0.2">
      <c r="I57" s="253" t="s">
        <v>397</v>
      </c>
    </row>
    <row r="58" spans="9:9" ht="14.25" x14ac:dyDescent="0.2">
      <c r="I58" s="253" t="s">
        <v>1143</v>
      </c>
    </row>
    <row r="59" spans="9:9" ht="14.25" x14ac:dyDescent="0.2">
      <c r="I59" s="256" t="s">
        <v>1144</v>
      </c>
    </row>
    <row r="60" spans="9:9" ht="14.25" x14ac:dyDescent="0.2">
      <c r="I60" s="256" t="s">
        <v>1145</v>
      </c>
    </row>
    <row r="61" spans="9:9" ht="14.25" x14ac:dyDescent="0.2">
      <c r="I61" s="256" t="s">
        <v>1146</v>
      </c>
    </row>
    <row r="62" spans="9:9" ht="14.25" x14ac:dyDescent="0.2">
      <c r="I62" s="256" t="s">
        <v>330</v>
      </c>
    </row>
    <row r="63" spans="9:9" ht="14.25" x14ac:dyDescent="0.2">
      <c r="I63" s="253" t="s">
        <v>1147</v>
      </c>
    </row>
    <row r="64" spans="9:9" ht="14.25" x14ac:dyDescent="0.2">
      <c r="I64" s="253" t="s">
        <v>381</v>
      </c>
    </row>
    <row r="65" spans="9:9" ht="14.25" x14ac:dyDescent="0.2">
      <c r="I65" s="256" t="s">
        <v>366</v>
      </c>
    </row>
    <row r="66" spans="9:9" ht="14.25" x14ac:dyDescent="0.2">
      <c r="I66" s="253" t="s">
        <v>1148</v>
      </c>
    </row>
    <row r="67" spans="9:9" ht="14.25" x14ac:dyDescent="0.2">
      <c r="I67" s="253" t="s">
        <v>321</v>
      </c>
    </row>
    <row r="68" spans="9:9" ht="14.25" x14ac:dyDescent="0.2">
      <c r="I68" s="253" t="s">
        <v>1149</v>
      </c>
    </row>
    <row r="69" spans="9:9" ht="14.25" x14ac:dyDescent="0.2">
      <c r="I69" s="253" t="s">
        <v>1150</v>
      </c>
    </row>
    <row r="70" spans="9:9" ht="14.25" x14ac:dyDescent="0.2">
      <c r="I70" s="256" t="s">
        <v>1151</v>
      </c>
    </row>
    <row r="71" spans="9:9" ht="14.25" x14ac:dyDescent="0.2">
      <c r="I71" s="253" t="s">
        <v>368</v>
      </c>
    </row>
    <row r="72" spans="9:9" ht="14.25" x14ac:dyDescent="0.2">
      <c r="I72" s="256" t="s">
        <v>393</v>
      </c>
    </row>
    <row r="73" spans="9:9" ht="14.25" x14ac:dyDescent="0.2">
      <c r="I73" s="253" t="s">
        <v>1152</v>
      </c>
    </row>
    <row r="74" spans="9:9" ht="14.25" x14ac:dyDescent="0.2">
      <c r="I74" s="256" t="s">
        <v>1153</v>
      </c>
    </row>
    <row r="75" spans="9:9" ht="14.25" x14ac:dyDescent="0.2">
      <c r="I75" s="253" t="s">
        <v>1154</v>
      </c>
    </row>
    <row r="76" spans="9:9" ht="14.25" x14ac:dyDescent="0.2">
      <c r="I76" s="253" t="s">
        <v>1155</v>
      </c>
    </row>
    <row r="77" spans="9:9" ht="14.25" x14ac:dyDescent="0.2">
      <c r="I77" s="253" t="s">
        <v>1156</v>
      </c>
    </row>
    <row r="78" spans="9:9" ht="14.25" x14ac:dyDescent="0.2">
      <c r="I78" s="256" t="s">
        <v>1157</v>
      </c>
    </row>
    <row r="79" spans="9:9" ht="14.25" x14ac:dyDescent="0.2">
      <c r="I79" s="253" t="s">
        <v>1158</v>
      </c>
    </row>
    <row r="80" spans="9:9" ht="14.25" x14ac:dyDescent="0.2">
      <c r="I80" s="253" t="s">
        <v>1159</v>
      </c>
    </row>
    <row r="81" spans="9:9" ht="14.25" x14ac:dyDescent="0.2">
      <c r="I81" s="253" t="s">
        <v>341</v>
      </c>
    </row>
    <row r="82" spans="9:9" ht="14.25" x14ac:dyDescent="0.2">
      <c r="I82" s="256" t="s">
        <v>1160</v>
      </c>
    </row>
    <row r="83" spans="9:9" ht="14.25" x14ac:dyDescent="0.2">
      <c r="I83" s="256" t="s">
        <v>1161</v>
      </c>
    </row>
    <row r="84" spans="9:9" ht="14.25" x14ac:dyDescent="0.2">
      <c r="I84" s="253" t="s">
        <v>377</v>
      </c>
    </row>
    <row r="85" spans="9:9" ht="14.25" x14ac:dyDescent="0.2">
      <c r="I85" s="253" t="s">
        <v>372</v>
      </c>
    </row>
    <row r="86" spans="9:9" ht="14.25" x14ac:dyDescent="0.2">
      <c r="I86" s="253" t="s">
        <v>1162</v>
      </c>
    </row>
    <row r="87" spans="9:9" ht="14.25" x14ac:dyDescent="0.2">
      <c r="I87" s="253" t="s">
        <v>1163</v>
      </c>
    </row>
    <row r="88" spans="9:9" ht="14.25" x14ac:dyDescent="0.2">
      <c r="I88" s="253" t="s">
        <v>362</v>
      </c>
    </row>
    <row r="89" spans="9:9" ht="14.25" x14ac:dyDescent="0.2">
      <c r="I89" s="256" t="s">
        <v>1164</v>
      </c>
    </row>
    <row r="90" spans="9:9" ht="14.25" x14ac:dyDescent="0.2">
      <c r="I90" s="256" t="s">
        <v>1165</v>
      </c>
    </row>
    <row r="91" spans="9:9" ht="14.25" x14ac:dyDescent="0.2">
      <c r="I91" s="253" t="s">
        <v>1166</v>
      </c>
    </row>
    <row r="92" spans="9:9" ht="14.25" x14ac:dyDescent="0.2">
      <c r="I92" s="253" t="s">
        <v>1167</v>
      </c>
    </row>
    <row r="93" spans="9:9" ht="14.25" x14ac:dyDescent="0.2">
      <c r="I93" s="256" t="s">
        <v>326</v>
      </c>
    </row>
    <row r="94" spans="9:9" ht="14.25" x14ac:dyDescent="0.2">
      <c r="I94" s="256" t="s">
        <v>359</v>
      </c>
    </row>
    <row r="95" spans="9:9" ht="14.25" x14ac:dyDescent="0.2">
      <c r="I95" s="253" t="s">
        <v>1168</v>
      </c>
    </row>
    <row r="96" spans="9:9" ht="14.25" x14ac:dyDescent="0.2">
      <c r="I96" s="253" t="s">
        <v>1169</v>
      </c>
    </row>
    <row r="97" spans="9:9" ht="14.25" x14ac:dyDescent="0.2">
      <c r="I97" s="253" t="s">
        <v>1170</v>
      </c>
    </row>
    <row r="98" spans="9:9" ht="14.25" x14ac:dyDescent="0.2">
      <c r="I98" s="253" t="s">
        <v>1171</v>
      </c>
    </row>
    <row r="99" spans="9:9" ht="14.25" x14ac:dyDescent="0.2">
      <c r="I99" s="253" t="s">
        <v>1172</v>
      </c>
    </row>
    <row r="100" spans="9:9" ht="14.25" x14ac:dyDescent="0.2">
      <c r="I100" s="253" t="s">
        <v>1173</v>
      </c>
    </row>
    <row r="101" spans="9:9" ht="14.25" x14ac:dyDescent="0.2">
      <c r="I101" s="253" t="s">
        <v>389</v>
      </c>
    </row>
    <row r="102" spans="9:9" ht="14.25" x14ac:dyDescent="0.2">
      <c r="I102" s="253" t="s">
        <v>343</v>
      </c>
    </row>
    <row r="103" spans="9:9" ht="14.25" x14ac:dyDescent="0.2">
      <c r="I103" s="256" t="s">
        <v>1174</v>
      </c>
    </row>
    <row r="104" spans="9:9" ht="14.25" x14ac:dyDescent="0.2">
      <c r="I104" s="253" t="s">
        <v>1175</v>
      </c>
    </row>
    <row r="105" spans="9:9" ht="14.25" x14ac:dyDescent="0.2">
      <c r="I105" s="253" t="s">
        <v>1176</v>
      </c>
    </row>
    <row r="106" spans="9:9" ht="14.25" x14ac:dyDescent="0.2">
      <c r="I106" s="253" t="s">
        <v>1177</v>
      </c>
    </row>
    <row r="107" spans="9:9" ht="14.25" x14ac:dyDescent="0.2">
      <c r="I107" s="253" t="s">
        <v>1178</v>
      </c>
    </row>
    <row r="108" spans="9:9" ht="14.25" x14ac:dyDescent="0.2">
      <c r="I108" s="256" t="s">
        <v>1179</v>
      </c>
    </row>
    <row r="109" spans="9:9" ht="14.25" x14ac:dyDescent="0.2">
      <c r="I109" s="256" t="s">
        <v>346</v>
      </c>
    </row>
    <row r="110" spans="9:9" ht="14.25" x14ac:dyDescent="0.2">
      <c r="I110" s="253" t="s">
        <v>1180</v>
      </c>
    </row>
    <row r="111" spans="9:9" ht="14.25" x14ac:dyDescent="0.2">
      <c r="I111" s="253" t="s">
        <v>1181</v>
      </c>
    </row>
    <row r="112" spans="9:9" ht="14.25" x14ac:dyDescent="0.2">
      <c r="I112" s="253" t="s">
        <v>1182</v>
      </c>
    </row>
    <row r="113" spans="9:9" ht="14.25" x14ac:dyDescent="0.2">
      <c r="I113" s="253" t="s">
        <v>1183</v>
      </c>
    </row>
    <row r="114" spans="9:9" ht="14.25" x14ac:dyDescent="0.2">
      <c r="I114" s="256" t="s">
        <v>374</v>
      </c>
    </row>
    <row r="115" spans="9:9" ht="14.25" x14ac:dyDescent="0.2">
      <c r="I115" s="253" t="s">
        <v>1184</v>
      </c>
    </row>
    <row r="116" spans="9:9" ht="14.25" x14ac:dyDescent="0.2">
      <c r="I116" s="256" t="s">
        <v>1184</v>
      </c>
    </row>
    <row r="117" spans="9:9" ht="14.25" x14ac:dyDescent="0.2">
      <c r="I117" s="253" t="s">
        <v>1185</v>
      </c>
    </row>
    <row r="118" spans="9:9" ht="14.25" x14ac:dyDescent="0.2">
      <c r="I118" s="256" t="s">
        <v>1186</v>
      </c>
    </row>
    <row r="119" spans="9:9" ht="14.25" x14ac:dyDescent="0.2">
      <c r="I119" s="253" t="s">
        <v>1187</v>
      </c>
    </row>
    <row r="120" spans="9:9" ht="14.25" x14ac:dyDescent="0.2">
      <c r="I120" s="256" t="s">
        <v>323</v>
      </c>
    </row>
    <row r="121" spans="9:9" ht="14.25" x14ac:dyDescent="0.2">
      <c r="I121" s="256" t="s">
        <v>1188</v>
      </c>
    </row>
    <row r="122" spans="9:9" ht="14.25" x14ac:dyDescent="0.2">
      <c r="I122" s="253" t="s">
        <v>1189</v>
      </c>
    </row>
    <row r="123" spans="9:9" ht="14.25" x14ac:dyDescent="0.2">
      <c r="I123" s="256" t="s">
        <v>322</v>
      </c>
    </row>
    <row r="124" spans="9:9" ht="14.25" x14ac:dyDescent="0.2">
      <c r="I124" s="256" t="s">
        <v>319</v>
      </c>
    </row>
    <row r="125" spans="9:9" ht="14.25" x14ac:dyDescent="0.2">
      <c r="I125" s="256" t="s">
        <v>378</v>
      </c>
    </row>
    <row r="126" spans="9:9" ht="14.25" x14ac:dyDescent="0.2">
      <c r="I126" s="256" t="s">
        <v>1190</v>
      </c>
    </row>
    <row r="127" spans="9:9" ht="14.25" x14ac:dyDescent="0.2">
      <c r="I127" s="253" t="s">
        <v>1191</v>
      </c>
    </row>
    <row r="128" spans="9:9" ht="14.25" x14ac:dyDescent="0.2">
      <c r="I128" s="253" t="s">
        <v>351</v>
      </c>
    </row>
    <row r="129" spans="9:9" ht="14.25" x14ac:dyDescent="0.2">
      <c r="I129" s="253" t="s">
        <v>394</v>
      </c>
    </row>
    <row r="130" spans="9:9" ht="14.25" x14ac:dyDescent="0.2">
      <c r="I130" s="256" t="s">
        <v>1192</v>
      </c>
    </row>
    <row r="131" spans="9:9" ht="14.25" x14ac:dyDescent="0.2">
      <c r="I131" s="253" t="s">
        <v>1193</v>
      </c>
    </row>
    <row r="132" spans="9:9" ht="14.25" x14ac:dyDescent="0.2">
      <c r="I132" s="256" t="s">
        <v>1194</v>
      </c>
    </row>
    <row r="133" spans="9:9" ht="14.25" x14ac:dyDescent="0.2">
      <c r="I133" s="256" t="s">
        <v>395</v>
      </c>
    </row>
    <row r="134" spans="9:9" ht="14.25" x14ac:dyDescent="0.2">
      <c r="I134" s="256" t="s">
        <v>1195</v>
      </c>
    </row>
    <row r="135" spans="9:9" ht="14.25" x14ac:dyDescent="0.2">
      <c r="I135" s="253" t="s">
        <v>1196</v>
      </c>
    </row>
    <row r="136" spans="9:9" ht="14.25" x14ac:dyDescent="0.2">
      <c r="I136" s="256" t="s">
        <v>363</v>
      </c>
    </row>
    <row r="137" spans="9:9" ht="14.25" x14ac:dyDescent="0.2">
      <c r="I137" s="253" t="s">
        <v>1197</v>
      </c>
    </row>
    <row r="138" spans="9:9" ht="14.25" x14ac:dyDescent="0.2">
      <c r="I138" s="253" t="s">
        <v>335</v>
      </c>
    </row>
    <row r="139" spans="9:9" ht="14.25" x14ac:dyDescent="0.2">
      <c r="I139" s="256" t="s">
        <v>353</v>
      </c>
    </row>
    <row r="140" spans="9:9" ht="14.25" x14ac:dyDescent="0.2">
      <c r="I140" s="256" t="s">
        <v>361</v>
      </c>
    </row>
    <row r="141" spans="9:9" ht="14.25" x14ac:dyDescent="0.2">
      <c r="I141" s="256" t="s">
        <v>1198</v>
      </c>
    </row>
    <row r="142" spans="9:9" ht="14.25" x14ac:dyDescent="0.2">
      <c r="I142" s="253" t="s">
        <v>370</v>
      </c>
    </row>
    <row r="143" spans="9:9" ht="14.25" x14ac:dyDescent="0.2">
      <c r="I143" s="256" t="s">
        <v>1199</v>
      </c>
    </row>
    <row r="144" spans="9:9" ht="14.25" x14ac:dyDescent="0.2">
      <c r="I144" s="256" t="s">
        <v>352</v>
      </c>
    </row>
    <row r="145" spans="9:9" ht="14.25" x14ac:dyDescent="0.2">
      <c r="I145" s="256" t="s">
        <v>1200</v>
      </c>
    </row>
    <row r="146" spans="9:9" ht="14.25" x14ac:dyDescent="0.2">
      <c r="I146" s="256" t="s">
        <v>1201</v>
      </c>
    </row>
    <row r="147" spans="9:9" ht="14.25" x14ac:dyDescent="0.2">
      <c r="I147" s="253" t="s">
        <v>334</v>
      </c>
    </row>
    <row r="148" spans="9:9" ht="14.25" x14ac:dyDescent="0.2">
      <c r="I148" s="253" t="s">
        <v>1202</v>
      </c>
    </row>
    <row r="149" spans="9:9" ht="14.25" x14ac:dyDescent="0.2">
      <c r="I149" s="253" t="s">
        <v>375</v>
      </c>
    </row>
    <row r="150" spans="9:9" ht="14.25" x14ac:dyDescent="0.2">
      <c r="I150" s="253" t="s">
        <v>382</v>
      </c>
    </row>
    <row r="151" spans="9:9" ht="14.25" x14ac:dyDescent="0.2">
      <c r="I151" s="256" t="s">
        <v>1203</v>
      </c>
    </row>
    <row r="152" spans="9:9" ht="14.25" x14ac:dyDescent="0.2">
      <c r="I152" s="253" t="s">
        <v>333</v>
      </c>
    </row>
    <row r="153" spans="9:9" ht="14.25" x14ac:dyDescent="0.2">
      <c r="I153" s="253" t="s">
        <v>1204</v>
      </c>
    </row>
    <row r="154" spans="9:9" ht="14.25" x14ac:dyDescent="0.2">
      <c r="I154" s="253" t="s">
        <v>1205</v>
      </c>
    </row>
    <row r="155" spans="9:9" ht="14.25" x14ac:dyDescent="0.2">
      <c r="I155" s="253" t="s">
        <v>367</v>
      </c>
    </row>
    <row r="156" spans="9:9" ht="14.25" x14ac:dyDescent="0.2">
      <c r="I156" s="256" t="s">
        <v>1206</v>
      </c>
    </row>
    <row r="157" spans="9:9" ht="14.25" x14ac:dyDescent="0.2">
      <c r="I157" s="256" t="s">
        <v>1207</v>
      </c>
    </row>
    <row r="158" spans="9:9" ht="14.25" x14ac:dyDescent="0.2">
      <c r="I158" s="256" t="s">
        <v>328</v>
      </c>
    </row>
    <row r="159" spans="9:9" ht="14.25" x14ac:dyDescent="0.2">
      <c r="I159" s="256" t="s">
        <v>357</v>
      </c>
    </row>
    <row r="160" spans="9:9" ht="14.25" x14ac:dyDescent="0.2">
      <c r="I160" s="256" t="s">
        <v>1208</v>
      </c>
    </row>
    <row r="161" spans="9:9" ht="14.25" x14ac:dyDescent="0.2">
      <c r="I161" s="256" t="s">
        <v>344</v>
      </c>
    </row>
    <row r="162" spans="9:9" ht="14.25" x14ac:dyDescent="0.2">
      <c r="I162" s="253" t="s">
        <v>1209</v>
      </c>
    </row>
    <row r="163" spans="9:9" ht="14.25" x14ac:dyDescent="0.2">
      <c r="I163" s="253" t="s">
        <v>1210</v>
      </c>
    </row>
    <row r="164" spans="9:9" ht="14.25" x14ac:dyDescent="0.2">
      <c r="I164" s="253" t="s">
        <v>1211</v>
      </c>
    </row>
    <row r="165" spans="9:9" ht="14.25" x14ac:dyDescent="0.2">
      <c r="I165" s="256" t="s">
        <v>1212</v>
      </c>
    </row>
    <row r="166" spans="9:9" ht="14.25" x14ac:dyDescent="0.2">
      <c r="I166" s="253" t="s">
        <v>1213</v>
      </c>
    </row>
    <row r="167" spans="9:9" ht="14.25" x14ac:dyDescent="0.2">
      <c r="I167" s="256" t="s">
        <v>1214</v>
      </c>
    </row>
    <row r="168" spans="9:9" ht="14.25" x14ac:dyDescent="0.2">
      <c r="I168" s="253" t="s">
        <v>356</v>
      </c>
    </row>
    <row r="169" spans="9:9" ht="14.25" x14ac:dyDescent="0.2">
      <c r="I169" s="253" t="s">
        <v>1215</v>
      </c>
    </row>
    <row r="170" spans="9:9" ht="14.25" x14ac:dyDescent="0.2">
      <c r="I170" s="256" t="s">
        <v>1216</v>
      </c>
    </row>
    <row r="171" spans="9:9" ht="14.25" x14ac:dyDescent="0.2">
      <c r="I171" s="256" t="s">
        <v>1217</v>
      </c>
    </row>
    <row r="172" spans="9:9" ht="14.25" x14ac:dyDescent="0.2">
      <c r="I172" s="253" t="s">
        <v>1218</v>
      </c>
    </row>
    <row r="173" spans="9:9" ht="14.25" x14ac:dyDescent="0.2">
      <c r="I173" s="253" t="s">
        <v>1219</v>
      </c>
    </row>
    <row r="174" spans="9:9" ht="14.25" x14ac:dyDescent="0.2">
      <c r="I174" s="256" t="s">
        <v>1220</v>
      </c>
    </row>
    <row r="175" spans="9:9" ht="14.25" x14ac:dyDescent="0.2">
      <c r="I175" s="256" t="s">
        <v>1221</v>
      </c>
    </row>
    <row r="176" spans="9:9" ht="14.25" x14ac:dyDescent="0.2">
      <c r="I176" s="256" t="s">
        <v>1222</v>
      </c>
    </row>
    <row r="177" spans="9:9" ht="14.25" x14ac:dyDescent="0.2">
      <c r="I177" s="253" t="s">
        <v>387</v>
      </c>
    </row>
    <row r="178" spans="9:9" ht="14.25" x14ac:dyDescent="0.2">
      <c r="I178" s="253" t="s">
        <v>1223</v>
      </c>
    </row>
    <row r="179" spans="9:9" ht="14.25" x14ac:dyDescent="0.2">
      <c r="I179" s="256" t="s">
        <v>1224</v>
      </c>
    </row>
    <row r="180" spans="9:9" ht="14.25" x14ac:dyDescent="0.2">
      <c r="I180" s="253" t="s">
        <v>1225</v>
      </c>
    </row>
    <row r="181" spans="9:9" ht="14.25" x14ac:dyDescent="0.2">
      <c r="I181" s="253" t="s">
        <v>1226</v>
      </c>
    </row>
    <row r="182" spans="9:9" ht="14.25" x14ac:dyDescent="0.2">
      <c r="I182" s="253" t="s">
        <v>1227</v>
      </c>
    </row>
    <row r="183" spans="9:9" ht="14.25" x14ac:dyDescent="0.2">
      <c r="I183" s="253" t="s">
        <v>1228</v>
      </c>
    </row>
    <row r="184" spans="9:9" ht="14.25" x14ac:dyDescent="0.2">
      <c r="I184" s="256" t="s">
        <v>1229</v>
      </c>
    </row>
    <row r="185" spans="9:9" ht="14.25" x14ac:dyDescent="0.2">
      <c r="I185" s="253" t="s">
        <v>1230</v>
      </c>
    </row>
    <row r="186" spans="9:9" ht="14.25" x14ac:dyDescent="0.2">
      <c r="I186" s="256" t="s">
        <v>1231</v>
      </c>
    </row>
    <row r="187" spans="9:9" ht="14.25" x14ac:dyDescent="0.2">
      <c r="I187" s="256" t="s">
        <v>1232</v>
      </c>
    </row>
    <row r="188" spans="9:9" ht="14.25" x14ac:dyDescent="0.2">
      <c r="I188" s="256" t="s">
        <v>1233</v>
      </c>
    </row>
    <row r="189" spans="9:9" ht="14.25" x14ac:dyDescent="0.2">
      <c r="I189" s="256" t="s">
        <v>329</v>
      </c>
    </row>
    <row r="190" spans="9:9" ht="14.25" x14ac:dyDescent="0.2">
      <c r="I190" s="253" t="s">
        <v>331</v>
      </c>
    </row>
    <row r="191" spans="9:9" ht="14.25" x14ac:dyDescent="0.2">
      <c r="I191" s="256" t="s">
        <v>1234</v>
      </c>
    </row>
    <row r="192" spans="9:9" ht="14.25" x14ac:dyDescent="0.2">
      <c r="I192" s="253" t="s">
        <v>1235</v>
      </c>
    </row>
    <row r="193" spans="9:9" ht="14.25" x14ac:dyDescent="0.2">
      <c r="I193" s="256" t="s">
        <v>1236</v>
      </c>
    </row>
    <row r="194" spans="9:9" ht="14.25" x14ac:dyDescent="0.2">
      <c r="I194" s="256" t="s">
        <v>388</v>
      </c>
    </row>
    <row r="195" spans="9:9" ht="14.25" x14ac:dyDescent="0.2">
      <c r="I195" s="256" t="s">
        <v>1237</v>
      </c>
    </row>
    <row r="196" spans="9:9" ht="14.25" x14ac:dyDescent="0.2">
      <c r="I196" s="253" t="s">
        <v>347</v>
      </c>
    </row>
    <row r="197" spans="9:9" ht="14.25" x14ac:dyDescent="0.2">
      <c r="I197" s="253" t="s">
        <v>1238</v>
      </c>
    </row>
    <row r="198" spans="9:9" ht="14.25" x14ac:dyDescent="0.2">
      <c r="I198" s="253" t="s">
        <v>327</v>
      </c>
    </row>
    <row r="199" spans="9:9" ht="14.25" x14ac:dyDescent="0.2">
      <c r="I199" s="253" t="s">
        <v>1239</v>
      </c>
    </row>
    <row r="200" spans="9:9" ht="14.25" x14ac:dyDescent="0.2">
      <c r="I200" s="253" t="s">
        <v>349</v>
      </c>
    </row>
    <row r="201" spans="9:9" ht="14.25" x14ac:dyDescent="0.2">
      <c r="I201" s="253" t="s">
        <v>380</v>
      </c>
    </row>
    <row r="202" spans="9:9" ht="14.25" x14ac:dyDescent="0.2">
      <c r="I202" s="256" t="s">
        <v>1240</v>
      </c>
    </row>
    <row r="203" spans="9:9" ht="14.25" x14ac:dyDescent="0.2">
      <c r="I203" s="253" t="s">
        <v>1241</v>
      </c>
    </row>
    <row r="204" spans="9:9" ht="14.25" x14ac:dyDescent="0.2">
      <c r="I204" s="256" t="s">
        <v>1242</v>
      </c>
    </row>
    <row r="205" spans="9:9" ht="14.25" x14ac:dyDescent="0.2">
      <c r="I205" s="253" t="s">
        <v>1243</v>
      </c>
    </row>
    <row r="206" spans="9:9" ht="14.25" x14ac:dyDescent="0.2">
      <c r="I206" s="253" t="s">
        <v>1244</v>
      </c>
    </row>
    <row r="207" spans="9:9" ht="14.25" x14ac:dyDescent="0.2">
      <c r="I207" s="253" t="s">
        <v>1245</v>
      </c>
    </row>
    <row r="208" spans="9:9" ht="14.25" x14ac:dyDescent="0.2">
      <c r="I208" s="253" t="s">
        <v>1246</v>
      </c>
    </row>
    <row r="209" spans="9:9" ht="14.25" x14ac:dyDescent="0.2">
      <c r="I209" s="256" t="s">
        <v>1247</v>
      </c>
    </row>
    <row r="210" spans="9:9" ht="14.25" x14ac:dyDescent="0.2">
      <c r="I210" s="253" t="s">
        <v>1248</v>
      </c>
    </row>
    <row r="211" spans="9:9" ht="14.25" x14ac:dyDescent="0.2">
      <c r="I211" s="256" t="s">
        <v>1249</v>
      </c>
    </row>
    <row r="212" spans="9:9" ht="14.25" x14ac:dyDescent="0.2">
      <c r="I212" s="256" t="s">
        <v>1250</v>
      </c>
    </row>
    <row r="213" spans="9:9" ht="14.25" x14ac:dyDescent="0.2">
      <c r="I213" s="253" t="s">
        <v>373</v>
      </c>
    </row>
    <row r="214" spans="9:9" ht="14.25" x14ac:dyDescent="0.2">
      <c r="I214" s="256" t="s">
        <v>1251</v>
      </c>
    </row>
    <row r="215" spans="9:9" ht="14.25" x14ac:dyDescent="0.2">
      <c r="I215" s="256" t="s">
        <v>1252</v>
      </c>
    </row>
    <row r="216" spans="9:9" ht="14.25" x14ac:dyDescent="0.2">
      <c r="I216" s="253" t="s">
        <v>1253</v>
      </c>
    </row>
    <row r="217" spans="9:9" ht="14.25" x14ac:dyDescent="0.2">
      <c r="I217" s="256" t="s">
        <v>1254</v>
      </c>
    </row>
    <row r="218" spans="9:9" ht="14.25" x14ac:dyDescent="0.2">
      <c r="I218" s="253" t="s">
        <v>379</v>
      </c>
    </row>
    <row r="219" spans="9:9" ht="14.25" x14ac:dyDescent="0.2">
      <c r="I219" s="253" t="s">
        <v>1255</v>
      </c>
    </row>
    <row r="220" spans="9:9" ht="14.25" x14ac:dyDescent="0.2">
      <c r="I220" s="253" t="s">
        <v>1256</v>
      </c>
    </row>
    <row r="221" spans="9:9" ht="14.25" x14ac:dyDescent="0.2">
      <c r="I221" s="253" t="s">
        <v>1257</v>
      </c>
    </row>
    <row r="222" spans="9:9" ht="14.25" x14ac:dyDescent="0.2">
      <c r="I222" s="256" t="s">
        <v>1258</v>
      </c>
    </row>
    <row r="223" spans="9:9" ht="14.25" x14ac:dyDescent="0.2">
      <c r="I223" s="253" t="s">
        <v>345</v>
      </c>
    </row>
    <row r="224" spans="9:9" ht="14.25" x14ac:dyDescent="0.2">
      <c r="I224" s="253" t="s">
        <v>1259</v>
      </c>
    </row>
    <row r="225" spans="9:9" ht="14.25" x14ac:dyDescent="0.2">
      <c r="I225" s="253" t="s">
        <v>1260</v>
      </c>
    </row>
    <row r="226" spans="9:9" ht="14.25" x14ac:dyDescent="0.2">
      <c r="I226" s="253" t="s">
        <v>1261</v>
      </c>
    </row>
    <row r="227" spans="9:9" ht="14.25" x14ac:dyDescent="0.2">
      <c r="I227" s="253" t="s">
        <v>1262</v>
      </c>
    </row>
    <row r="228" spans="9:9" ht="14.25" x14ac:dyDescent="0.2">
      <c r="I228" s="256" t="s">
        <v>1263</v>
      </c>
    </row>
    <row r="229" spans="9:9" ht="14.25" x14ac:dyDescent="0.2">
      <c r="I229" s="253" t="s">
        <v>1264</v>
      </c>
    </row>
    <row r="230" spans="9:9" ht="14.25" x14ac:dyDescent="0.2">
      <c r="I230" s="253" t="s">
        <v>1265</v>
      </c>
    </row>
    <row r="231" spans="9:9" ht="14.25" x14ac:dyDescent="0.2">
      <c r="I231" s="253" t="s">
        <v>1266</v>
      </c>
    </row>
    <row r="232" spans="9:9" ht="14.25" x14ac:dyDescent="0.2">
      <c r="I232" s="256" t="s">
        <v>1267</v>
      </c>
    </row>
    <row r="233" spans="9:9" ht="14.25" x14ac:dyDescent="0.2">
      <c r="I233" s="253" t="s">
        <v>396</v>
      </c>
    </row>
    <row r="234" spans="9:9" ht="14.25" x14ac:dyDescent="0.2">
      <c r="I234" s="253" t="s">
        <v>1268</v>
      </c>
    </row>
    <row r="235" spans="9:9" ht="14.25" x14ac:dyDescent="0.2">
      <c r="I235" s="253" t="s">
        <v>1269</v>
      </c>
    </row>
    <row r="236" spans="9:9" ht="14.25" x14ac:dyDescent="0.2">
      <c r="I236" s="253" t="s">
        <v>1270</v>
      </c>
    </row>
    <row r="237" spans="9:9" ht="14.25" x14ac:dyDescent="0.2">
      <c r="I237" s="253" t="s">
        <v>371</v>
      </c>
    </row>
    <row r="238" spans="9:9" ht="14.25" x14ac:dyDescent="0.2">
      <c r="I238" s="253" t="s">
        <v>1271</v>
      </c>
    </row>
    <row r="239" spans="9:9" ht="14.25" x14ac:dyDescent="0.2">
      <c r="I239" s="253" t="s">
        <v>1272</v>
      </c>
    </row>
    <row r="240" spans="9:9" ht="14.25" x14ac:dyDescent="0.2">
      <c r="I240" s="253" t="s">
        <v>1273</v>
      </c>
    </row>
    <row r="241" spans="9:9" ht="14.25" x14ac:dyDescent="0.2">
      <c r="I241" s="253" t="s">
        <v>336</v>
      </c>
    </row>
    <row r="242" spans="9:9" ht="14.25" x14ac:dyDescent="0.2">
      <c r="I242" s="253" t="s">
        <v>1274</v>
      </c>
    </row>
    <row r="243" spans="9:9" ht="14.25" x14ac:dyDescent="0.2">
      <c r="I243" s="253" t="s">
        <v>1275</v>
      </c>
    </row>
    <row r="244" spans="9:9" ht="14.25" x14ac:dyDescent="0.2">
      <c r="I244" s="253" t="s">
        <v>350</v>
      </c>
    </row>
    <row r="245" spans="9:9" ht="14.25" x14ac:dyDescent="0.2">
      <c r="I245" s="253" t="s">
        <v>1276</v>
      </c>
    </row>
    <row r="246" spans="9:9" ht="14.25" x14ac:dyDescent="0.2">
      <c r="I246" s="253" t="s">
        <v>1277</v>
      </c>
    </row>
    <row r="247" spans="9:9" ht="14.25" x14ac:dyDescent="0.2">
      <c r="I247" s="253" t="s">
        <v>1278</v>
      </c>
    </row>
    <row r="248" spans="9:9" ht="14.25" x14ac:dyDescent="0.2">
      <c r="I248" s="253" t="s">
        <v>1279</v>
      </c>
    </row>
    <row r="249" spans="9:9" ht="14.25" x14ac:dyDescent="0.2">
      <c r="I249" s="253" t="s">
        <v>1280</v>
      </c>
    </row>
    <row r="250" spans="9:9" ht="14.25" x14ac:dyDescent="0.2">
      <c r="I250" s="253" t="s">
        <v>1281</v>
      </c>
    </row>
    <row r="251" spans="9:9" ht="14.25" x14ac:dyDescent="0.2">
      <c r="I251" s="253" t="s">
        <v>1282</v>
      </c>
    </row>
    <row r="252" spans="9:9" ht="14.25" x14ac:dyDescent="0.2">
      <c r="I252" s="256" t="s">
        <v>1283</v>
      </c>
    </row>
    <row r="253" spans="9:9" ht="14.25" x14ac:dyDescent="0.2">
      <c r="I253" s="253" t="s">
        <v>1284</v>
      </c>
    </row>
    <row r="254" spans="9:9" ht="14.25" x14ac:dyDescent="0.2">
      <c r="I254" s="253" t="s">
        <v>337</v>
      </c>
    </row>
    <row r="255" spans="9:9" ht="14.25" x14ac:dyDescent="0.2">
      <c r="I255" s="253" t="s">
        <v>1285</v>
      </c>
    </row>
    <row r="256" spans="9:9" ht="14.25" x14ac:dyDescent="0.2">
      <c r="I256" s="253" t="s">
        <v>1286</v>
      </c>
    </row>
    <row r="257" spans="9:9" ht="14.25" x14ac:dyDescent="0.2">
      <c r="I257" s="253" t="s">
        <v>1287</v>
      </c>
    </row>
    <row r="258" spans="9:9" ht="14.25" x14ac:dyDescent="0.2">
      <c r="I258" s="253" t="s">
        <v>1288</v>
      </c>
    </row>
    <row r="259" spans="9:9" ht="14.25" x14ac:dyDescent="0.2">
      <c r="I259" s="253" t="s">
        <v>1289</v>
      </c>
    </row>
    <row r="260" spans="9:9" ht="14.25" x14ac:dyDescent="0.2">
      <c r="I260" s="253" t="s">
        <v>1290</v>
      </c>
    </row>
    <row r="261" spans="9:9" ht="14.25" x14ac:dyDescent="0.2">
      <c r="I261" s="253" t="s">
        <v>1291</v>
      </c>
    </row>
    <row r="262" spans="9:9" ht="14.25" x14ac:dyDescent="0.2">
      <c r="I262" s="253" t="s">
        <v>1292</v>
      </c>
    </row>
    <row r="263" spans="9:9" ht="14.25" x14ac:dyDescent="0.2">
      <c r="I263" s="253" t="s">
        <v>400</v>
      </c>
    </row>
    <row r="264" spans="9:9" ht="14.25" x14ac:dyDescent="0.2">
      <c r="I264" s="253" t="s">
        <v>1293</v>
      </c>
    </row>
    <row r="265" spans="9:9" ht="14.25" x14ac:dyDescent="0.2">
      <c r="I265" s="253" t="s">
        <v>383</v>
      </c>
    </row>
    <row r="266" spans="9:9" ht="14.25" x14ac:dyDescent="0.2">
      <c r="I266" s="253" t="s">
        <v>332</v>
      </c>
    </row>
    <row r="267" spans="9:9" ht="14.25" x14ac:dyDescent="0.2">
      <c r="I267" s="253" t="s">
        <v>385</v>
      </c>
    </row>
    <row r="268" spans="9:9" ht="14.25" x14ac:dyDescent="0.2">
      <c r="I268" s="253" t="s">
        <v>1294</v>
      </c>
    </row>
    <row r="269" spans="9:9" ht="14.25" x14ac:dyDescent="0.2">
      <c r="I269" s="253" t="s">
        <v>1295</v>
      </c>
    </row>
    <row r="270" spans="9:9" ht="14.25" x14ac:dyDescent="0.2">
      <c r="I270" s="253" t="s">
        <v>1296</v>
      </c>
    </row>
    <row r="271" spans="9:9" ht="14.25" x14ac:dyDescent="0.2">
      <c r="I271" s="253" t="s">
        <v>1297</v>
      </c>
    </row>
    <row r="272" spans="9:9" ht="14.25" x14ac:dyDescent="0.2">
      <c r="I272" s="253" t="s">
        <v>354</v>
      </c>
    </row>
    <row r="273" spans="9:9" ht="14.25" x14ac:dyDescent="0.2">
      <c r="I273" s="253" t="s">
        <v>386</v>
      </c>
    </row>
    <row r="274" spans="9:9" ht="14.25" x14ac:dyDescent="0.2">
      <c r="I274" s="253" t="s">
        <v>1298</v>
      </c>
    </row>
    <row r="275" spans="9:9" ht="14.25" x14ac:dyDescent="0.2">
      <c r="I275" s="253" t="s">
        <v>384</v>
      </c>
    </row>
    <row r="276" spans="9:9" ht="14.25" x14ac:dyDescent="0.2">
      <c r="I276" s="253" t="s">
        <v>340</v>
      </c>
    </row>
    <row r="277" spans="9:9" ht="14.25" x14ac:dyDescent="0.2">
      <c r="I277" s="256" t="s">
        <v>1299</v>
      </c>
    </row>
    <row r="278" spans="9:9" ht="14.25" x14ac:dyDescent="0.2"/>
    <row r="279" spans="9:9" ht="14.25" x14ac:dyDescent="0.2"/>
    <row r="280" spans="9:9" ht="14.25" x14ac:dyDescent="0.2"/>
    <row r="281" spans="9:9" ht="14.25" x14ac:dyDescent="0.2"/>
    <row r="282" spans="9:9" ht="14.25" x14ac:dyDescent="0.2"/>
    <row r="283" spans="9:9" ht="14.25" x14ac:dyDescent="0.2"/>
    <row r="284" spans="9:9" ht="14.25" x14ac:dyDescent="0.2"/>
    <row r="285" spans="9:9" ht="14.25" x14ac:dyDescent="0.2"/>
    <row r="286" spans="9:9" ht="14.25" x14ac:dyDescent="0.2"/>
    <row r="287" spans="9:9" ht="14.25" x14ac:dyDescent="0.2"/>
    <row r="288" spans="9:9" ht="14.25" x14ac:dyDescent="0.2"/>
    <row r="289" ht="14.25" x14ac:dyDescent="0.2"/>
    <row r="290" ht="14.25" x14ac:dyDescent="0.2"/>
    <row r="291" ht="14.25" x14ac:dyDescent="0.2"/>
    <row r="292" ht="14.25" x14ac:dyDescent="0.2"/>
    <row r="293" ht="14.25" x14ac:dyDescent="0.2"/>
    <row r="294" ht="14.25" x14ac:dyDescent="0.2"/>
    <row r="295" ht="14.25" x14ac:dyDescent="0.2"/>
    <row r="296" ht="14.25" x14ac:dyDescent="0.2"/>
    <row r="297" ht="14.25" x14ac:dyDescent="0.2"/>
    <row r="298" ht="14.25" x14ac:dyDescent="0.2"/>
    <row r="299" ht="14.25" x14ac:dyDescent="0.2"/>
    <row r="300" ht="14.25" x14ac:dyDescent="0.2"/>
    <row r="301" ht="14.25" x14ac:dyDescent="0.2"/>
    <row r="302" ht="14.25" x14ac:dyDescent="0.2"/>
    <row r="303" ht="14.25" x14ac:dyDescent="0.2"/>
    <row r="304" ht="14.25" x14ac:dyDescent="0.2"/>
    <row r="305" ht="14.25" x14ac:dyDescent="0.2"/>
    <row r="306" ht="14.25" x14ac:dyDescent="0.2"/>
    <row r="307" ht="14.25" x14ac:dyDescent="0.2"/>
    <row r="308" ht="14.25" x14ac:dyDescent="0.2"/>
    <row r="309" ht="14.25" x14ac:dyDescent="0.2"/>
    <row r="310" ht="14.25" x14ac:dyDescent="0.2"/>
    <row r="311" ht="14.25" x14ac:dyDescent="0.2"/>
    <row r="312" ht="14.25" x14ac:dyDescent="0.2"/>
    <row r="313" ht="14.25" x14ac:dyDescent="0.2"/>
    <row r="314" ht="14.25" x14ac:dyDescent="0.2"/>
    <row r="315" ht="14.25" x14ac:dyDescent="0.2"/>
    <row r="316" ht="14.25" x14ac:dyDescent="0.2"/>
    <row r="317" ht="14.25" x14ac:dyDescent="0.2"/>
    <row r="318" ht="14.25" x14ac:dyDescent="0.2"/>
    <row r="319" ht="14.25" x14ac:dyDescent="0.2"/>
    <row r="320" ht="14.25" x14ac:dyDescent="0.2"/>
    <row r="321" ht="14.25" x14ac:dyDescent="0.2"/>
    <row r="322" ht="14.25" hidden="1" customHeight="1" x14ac:dyDescent="0.2"/>
  </sheetData>
  <sheetProtection algorithmName="SHA-512" hashValue="jsymtbaDPfJ3fGdSH2lDjtu0OEHZmUjSadjMMsKCrY7cD5SK7WcJ70SMBgg7a5FpfBlf9PHsNICVvtQ88YlDqw==" saltValue="qbkshAEGUDSfMK2bnoiRrw==" spinCount="100000" sheet="1" formatCells="0" formatColumns="0" formatRows="0" insertColumns="0" insertRows="0" insertHyperlinks="0"/>
  <protectedRanges>
    <protectedRange sqref="F17" name="FE_18"/>
    <protectedRange sqref="F15 D15:D16 B15:B16" name="FE_17"/>
  </protectedRanges>
  <mergeCells count="19">
    <mergeCell ref="A4:F4"/>
    <mergeCell ref="A1:D3"/>
    <mergeCell ref="G13:G14"/>
    <mergeCell ref="B5:D5"/>
    <mergeCell ref="A6:F6"/>
    <mergeCell ref="A8:F8"/>
    <mergeCell ref="A12:F12"/>
    <mergeCell ref="B29:F29"/>
    <mergeCell ref="A18:F18"/>
    <mergeCell ref="A19:B19"/>
    <mergeCell ref="D19:E20"/>
    <mergeCell ref="F19:F20"/>
    <mergeCell ref="A20:B20"/>
    <mergeCell ref="B22:E22"/>
    <mergeCell ref="B23:E23"/>
    <mergeCell ref="B24:E24"/>
    <mergeCell ref="B25:E25"/>
    <mergeCell ref="B26:E26"/>
    <mergeCell ref="B27:E27"/>
  </mergeCells>
  <conditionalFormatting sqref="F22">
    <cfRule type="containsText" dxfId="291" priority="11" operator="containsText" text="Decline">
      <formula>NOT(ISERROR(SEARCH("Decline",F22)))</formula>
    </cfRule>
    <cfRule type="containsText" dxfId="290" priority="12" operator="containsText" text="Ok">
      <formula>NOT(ISERROR(SEARCH("Ok",F22)))</formula>
    </cfRule>
  </conditionalFormatting>
  <conditionalFormatting sqref="F23">
    <cfRule type="containsText" dxfId="289" priority="9" operator="containsText" text="Decline">
      <formula>NOT(ISERROR(SEARCH("Decline",F23)))</formula>
    </cfRule>
    <cfRule type="containsText" dxfId="288" priority="10" operator="containsText" text="Ok">
      <formula>NOT(ISERROR(SEARCH("Ok",F23)))</formula>
    </cfRule>
  </conditionalFormatting>
  <conditionalFormatting sqref="F24">
    <cfRule type="containsText" dxfId="287" priority="7" operator="containsText" text="Decline">
      <formula>NOT(ISERROR(SEARCH("Decline",F24)))</formula>
    </cfRule>
    <cfRule type="containsText" dxfId="286" priority="8" operator="containsText" text="Ok">
      <formula>NOT(ISERROR(SEARCH("Ok",F24)))</formula>
    </cfRule>
  </conditionalFormatting>
  <conditionalFormatting sqref="F25">
    <cfRule type="containsText" dxfId="285" priority="5" operator="containsText" text="Decline">
      <formula>NOT(ISERROR(SEARCH("Decline",F25)))</formula>
    </cfRule>
    <cfRule type="containsText" dxfId="284" priority="6" operator="containsText" text="Ok">
      <formula>NOT(ISERROR(SEARCH("Ok",F25)))</formula>
    </cfRule>
  </conditionalFormatting>
  <conditionalFormatting sqref="F26">
    <cfRule type="containsText" dxfId="283" priority="3" operator="containsText" text="Decline">
      <formula>NOT(ISERROR(SEARCH("Decline",F26)))</formula>
    </cfRule>
    <cfRule type="containsText" dxfId="282" priority="4" operator="containsText" text="Ok">
      <formula>NOT(ISERROR(SEARCH("Ok",F26)))</formula>
    </cfRule>
  </conditionalFormatting>
  <conditionalFormatting sqref="F27">
    <cfRule type="containsText" dxfId="281" priority="1" operator="containsText" text="To be processed by RCH">
      <formula>NOT(ISERROR(SEARCH("To be processed by RCH",F27)))</formula>
    </cfRule>
    <cfRule type="containsText" dxfId="280" priority="2" operator="containsText" text="Ok">
      <formula>NOT(ISERROR(SEARCH("Ok",F27)))</formula>
    </cfRule>
  </conditionalFormatting>
  <dataValidations count="1">
    <dataValidation type="list" allowBlank="1" showInputMessage="1" showErrorMessage="1" sqref="C20" xr:uid="{00000000-0002-0000-2700-000000000000}">
      <formula1>"No, Yes"</formula1>
    </dataValidation>
  </dataValidations>
  <pageMargins left="0.17" right="0.21" top="0.74803149606299213" bottom="0.74803149606299213" header="0.31496062992125984" footer="0.31496062992125984"/>
  <pageSetup paperSize="9" scale="52" orientation="portrait" r:id="rId1"/>
  <headerFooter>
    <oddFooter>&amp;C&amp;"Calibri"&amp;11&amp;K000000&amp;"Calibri"&amp;11&amp;K000000&amp;"arial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6">
    <pageSetUpPr fitToPage="1"/>
  </sheetPr>
  <dimension ref="A1:R321"/>
  <sheetViews>
    <sheetView zoomScale="70" zoomScaleNormal="70" zoomScaleSheetLayoutView="70" workbookViewId="0">
      <selection activeCell="R1" sqref="R1:R1048576"/>
    </sheetView>
  </sheetViews>
  <sheetFormatPr defaultColWidth="28.85546875" defaultRowHeight="0" customHeight="1" zeroHeight="1" x14ac:dyDescent="0.25"/>
  <cols>
    <col min="1" max="1" width="53.28515625" style="268" customWidth="1"/>
    <col min="2" max="2" width="28.5703125" style="268" customWidth="1"/>
    <col min="3" max="3" width="28.85546875" style="268" customWidth="1"/>
    <col min="4" max="4" width="20.7109375" style="268" customWidth="1"/>
    <col min="5" max="5" width="60.42578125" style="268" customWidth="1"/>
    <col min="6" max="6" width="24.140625" style="268" customWidth="1"/>
    <col min="7" max="7" width="25.140625" style="269" customWidth="1"/>
    <col min="8" max="8" width="55.5703125" style="252" bestFit="1" customWidth="1"/>
    <col min="9" max="9" width="24.42578125" style="252" bestFit="1" customWidth="1"/>
    <col min="10" max="10" width="28.85546875" style="252" customWidth="1"/>
    <col min="11" max="11" width="63.85546875" style="270" customWidth="1"/>
    <col min="12" max="12" width="54.42578125" style="271" customWidth="1"/>
    <col min="13" max="13" width="28.85546875" style="252" customWidth="1"/>
    <col min="14" max="14" width="7.42578125" style="252" customWidth="1"/>
    <col min="15" max="15" width="10.140625" style="252" customWidth="1"/>
    <col min="16" max="16384" width="28.85546875" style="252"/>
  </cols>
  <sheetData>
    <row r="1" spans="1:14" ht="12" customHeight="1" x14ac:dyDescent="0.25">
      <c r="A1" s="2141" t="str">
        <f>'Borrower Details'!A2</f>
        <v>Mortgage-Magnus-Unsecured</v>
      </c>
      <c r="B1" s="2152"/>
      <c r="C1" s="2152"/>
      <c r="D1" s="2152"/>
      <c r="E1" s="1045"/>
      <c r="F1" s="1046"/>
      <c r="H1" s="269"/>
      <c r="I1" s="269"/>
    </row>
    <row r="2" spans="1:14" ht="16.5" x14ac:dyDescent="0.25">
      <c r="A2" s="2142"/>
      <c r="B2" s="2153"/>
      <c r="C2" s="2153"/>
      <c r="D2" s="2153"/>
      <c r="E2" s="990" t="s">
        <v>3</v>
      </c>
      <c r="F2" s="991"/>
      <c r="H2" s="269"/>
      <c r="I2" s="269"/>
    </row>
    <row r="3" spans="1:14" ht="14.25" customHeight="1" thickBot="1" x14ac:dyDescent="0.3">
      <c r="A3" s="2154"/>
      <c r="B3" s="2155"/>
      <c r="C3" s="2155"/>
      <c r="D3" s="2155"/>
      <c r="E3" s="1047"/>
      <c r="F3" s="1048"/>
      <c r="H3" s="1074" t="s">
        <v>20</v>
      </c>
      <c r="I3" s="1086">
        <f>Financials_Consolidated!C7</f>
        <v>43921</v>
      </c>
      <c r="K3" s="272"/>
      <c r="L3" s="273"/>
    </row>
    <row r="4" spans="1:14" s="255" customFormat="1" ht="15.75" x14ac:dyDescent="0.2">
      <c r="A4" s="2197" t="s">
        <v>2505</v>
      </c>
      <c r="B4" s="2198"/>
      <c r="C4" s="2198"/>
      <c r="D4" s="2198"/>
      <c r="E4" s="2198"/>
      <c r="F4" s="2199"/>
      <c r="G4" s="269"/>
      <c r="H4" s="1075" t="s">
        <v>1748</v>
      </c>
      <c r="I4" s="1087">
        <f>Financials_Consolidated!C11</f>
        <v>67905203.25</v>
      </c>
      <c r="K4" s="275" t="s">
        <v>1093</v>
      </c>
      <c r="L4" s="276" t="s">
        <v>1093</v>
      </c>
    </row>
    <row r="5" spans="1:14" ht="16.5" thickBot="1" x14ac:dyDescent="0.3">
      <c r="A5" s="938" t="s">
        <v>1091</v>
      </c>
      <c r="B5" s="2217" t="str">
        <f>'Borrower Details'!B8</f>
        <v>AARBUR</v>
      </c>
      <c r="C5" s="2218"/>
      <c r="D5" s="2219"/>
      <c r="E5" s="1076" t="s">
        <v>1092</v>
      </c>
      <c r="F5" s="1083" t="str">
        <f>'Borrower Details'!F16</f>
        <v>Manufacturing</v>
      </c>
      <c r="G5" s="274"/>
      <c r="H5" s="1077" t="s">
        <v>1749</v>
      </c>
      <c r="I5" s="1087">
        <f>Financials_Consolidated!C12</f>
        <v>57148575.670000002</v>
      </c>
      <c r="K5" s="275" t="s">
        <v>1750</v>
      </c>
      <c r="L5" s="271" t="s">
        <v>348</v>
      </c>
    </row>
    <row r="6" spans="1:14" ht="18" customHeight="1" thickBot="1" x14ac:dyDescent="0.3">
      <c r="A6" s="2202" t="s">
        <v>1094</v>
      </c>
      <c r="B6" s="2203"/>
      <c r="C6" s="2220"/>
      <c r="D6" s="2205"/>
      <c r="E6" s="2205"/>
      <c r="F6" s="2220"/>
      <c r="H6" s="1077" t="s">
        <v>1752</v>
      </c>
      <c r="I6" s="1087">
        <f>Financials_Consolidated!C13</f>
        <v>10756627.58</v>
      </c>
      <c r="K6" s="278" t="s">
        <v>1753</v>
      </c>
      <c r="L6" s="271" t="s">
        <v>1098</v>
      </c>
    </row>
    <row r="7" spans="1:14" ht="21.75" customHeight="1" x14ac:dyDescent="0.2">
      <c r="A7" s="1050" t="s">
        <v>1095</v>
      </c>
      <c r="B7" s="235"/>
      <c r="C7" s="1051" t="s">
        <v>1096</v>
      </c>
      <c r="D7" s="236">
        <v>36</v>
      </c>
      <c r="E7" s="1052" t="s">
        <v>1097</v>
      </c>
      <c r="F7" s="245">
        <v>0.18</v>
      </c>
      <c r="G7" s="277" t="s">
        <v>1751</v>
      </c>
      <c r="H7" s="1075" t="s">
        <v>1756</v>
      </c>
      <c r="I7" s="1087">
        <f>Financials_Consolidated!C14</f>
        <v>8027185.0800000001</v>
      </c>
      <c r="K7" s="275" t="s">
        <v>1757</v>
      </c>
      <c r="L7" s="252"/>
    </row>
    <row r="8" spans="1:14" ht="23.25" customHeight="1" thickBot="1" x14ac:dyDescent="0.25">
      <c r="A8" s="1078" t="s">
        <v>1754</v>
      </c>
      <c r="B8" s="2221">
        <f>'Industry Margins'!F18</f>
        <v>0</v>
      </c>
      <c r="C8" s="2222"/>
      <c r="D8" s="2222"/>
      <c r="E8" s="1079" t="s">
        <v>1755</v>
      </c>
      <c r="F8" s="1084">
        <f>'Industry Margins'!G24</f>
        <v>0</v>
      </c>
      <c r="G8" s="1085">
        <f>Financials_Consolidated!C21</f>
        <v>0.12100442626979405</v>
      </c>
      <c r="H8" s="1075" t="s">
        <v>1758</v>
      </c>
      <c r="I8" s="1087">
        <f>Financials_Consolidated!C15</f>
        <v>4932710.9000000004</v>
      </c>
      <c r="K8" s="275" t="s">
        <v>1759</v>
      </c>
      <c r="L8" s="271" t="s">
        <v>1100</v>
      </c>
    </row>
    <row r="9" spans="1:14" ht="23.25" customHeight="1" thickBot="1" x14ac:dyDescent="0.25">
      <c r="A9" s="2207" t="s">
        <v>1099</v>
      </c>
      <c r="B9" s="2208"/>
      <c r="C9" s="2208"/>
      <c r="D9" s="2208"/>
      <c r="E9" s="2208"/>
      <c r="F9" s="2209"/>
      <c r="H9" s="1080" t="s">
        <v>6</v>
      </c>
      <c r="I9" s="1088">
        <f>Financials_Consolidated!C16</f>
        <v>72837914.150000006</v>
      </c>
      <c r="K9" s="275" t="s">
        <v>364</v>
      </c>
      <c r="L9" s="271" t="s">
        <v>1101</v>
      </c>
    </row>
    <row r="10" spans="1:14" ht="23.25" customHeight="1" x14ac:dyDescent="0.25">
      <c r="A10" s="1064">
        <f>emi_oblig</f>
        <v>96610</v>
      </c>
      <c r="B10" s="258"/>
      <c r="C10" s="259"/>
      <c r="D10" s="259"/>
      <c r="E10" s="260"/>
      <c r="F10" s="261"/>
      <c r="H10" s="1075" t="s">
        <v>27</v>
      </c>
      <c r="I10" s="1087">
        <f>Financials_Consolidated!C17</f>
        <v>40738528.969999999</v>
      </c>
      <c r="K10" s="270" t="s">
        <v>1760</v>
      </c>
      <c r="L10" s="271" t="s">
        <v>1102</v>
      </c>
    </row>
    <row r="11" spans="1:14" ht="23.25" customHeight="1" x14ac:dyDescent="0.25">
      <c r="A11" s="257"/>
      <c r="B11" s="262"/>
      <c r="C11" s="262"/>
      <c r="D11" s="262"/>
      <c r="E11" s="263"/>
      <c r="F11" s="263"/>
      <c r="H11" s="1075" t="s">
        <v>1761</v>
      </c>
      <c r="I11" s="1087">
        <f>Financials_Consolidated!C19</f>
        <v>-791646</v>
      </c>
      <c r="L11" s="276" t="s">
        <v>1104</v>
      </c>
    </row>
    <row r="12" spans="1:14" ht="23.25" customHeight="1" thickBot="1" x14ac:dyDescent="0.3">
      <c r="A12" s="257"/>
      <c r="B12" s="262"/>
      <c r="C12" s="262"/>
      <c r="D12" s="262"/>
      <c r="E12" s="1051" t="s">
        <v>1103</v>
      </c>
      <c r="F12" s="238">
        <f>SUM(A10:D12)+SUM(E10:F11)</f>
        <v>96610</v>
      </c>
      <c r="H12" s="1075" t="s">
        <v>1762</v>
      </c>
      <c r="I12" s="280"/>
      <c r="J12" s="281"/>
      <c r="K12" s="270" t="s">
        <v>1763</v>
      </c>
      <c r="L12" s="276"/>
    </row>
    <row r="13" spans="1:14" ht="23.25" customHeight="1" thickBot="1" x14ac:dyDescent="0.25">
      <c r="A13" s="2187" t="s">
        <v>1105</v>
      </c>
      <c r="B13" s="2188"/>
      <c r="C13" s="2188"/>
      <c r="D13" s="2188"/>
      <c r="E13" s="2188"/>
      <c r="F13" s="2189"/>
      <c r="G13" s="279"/>
      <c r="H13" s="1080" t="s">
        <v>28</v>
      </c>
      <c r="I13" s="1088">
        <f>I4-I10-I12</f>
        <v>27166674.280000001</v>
      </c>
      <c r="K13" s="275" t="s">
        <v>1764</v>
      </c>
      <c r="L13" s="276" t="s">
        <v>1108</v>
      </c>
    </row>
    <row r="14" spans="1:14" ht="23.25" customHeight="1" x14ac:dyDescent="0.2">
      <c r="A14" s="1055" t="s">
        <v>1106</v>
      </c>
      <c r="B14" s="1068">
        <f>PMT(F7/12,D7,-B7)</f>
        <v>0</v>
      </c>
      <c r="C14" s="1056" t="s">
        <v>1107</v>
      </c>
      <c r="D14" s="1070">
        <f>IF(Financials_Consolidated!C11&gt;(Financials_Consolidated!D11*1.5),Financials_Consolidated!D11*1.5,Financials_Consolidated!C11)*F8</f>
        <v>0</v>
      </c>
      <c r="E14" s="1056" t="s">
        <v>444</v>
      </c>
      <c r="F14" s="1066">
        <f>D14/12</f>
        <v>0</v>
      </c>
      <c r="H14" s="1080" t="s">
        <v>30</v>
      </c>
      <c r="I14" s="247">
        <f>I13/I4</f>
        <v>0.40006763811578755</v>
      </c>
      <c r="K14" s="275" t="s">
        <v>1765</v>
      </c>
      <c r="L14" s="271" t="s">
        <v>1112</v>
      </c>
    </row>
    <row r="15" spans="1:14" s="269" customFormat="1" ht="15.75" x14ac:dyDescent="0.2">
      <c r="A15" s="1057" t="s">
        <v>1109</v>
      </c>
      <c r="B15" s="1069">
        <f>B14+F12</f>
        <v>96610</v>
      </c>
      <c r="C15" s="1058" t="s">
        <v>1110</v>
      </c>
      <c r="D15" s="1071" t="e">
        <f>B15/F14</f>
        <v>#DIV/0!</v>
      </c>
      <c r="E15" s="1058" t="s">
        <v>1111</v>
      </c>
      <c r="F15" s="246" t="s">
        <v>1340</v>
      </c>
      <c r="K15" s="282" t="s">
        <v>1767</v>
      </c>
      <c r="L15" s="283" t="s">
        <v>1114</v>
      </c>
      <c r="N15" s="269" t="str">
        <f>IF(F18&gt;=700,"Yes","No")</f>
        <v>Yes</v>
      </c>
    </row>
    <row r="16" spans="1:14" s="269" customFormat="1" ht="23.25" customHeight="1" thickBot="1" x14ac:dyDescent="0.35">
      <c r="A16" s="2211"/>
      <c r="B16" s="2211"/>
      <c r="C16" s="1081" t="s">
        <v>1766</v>
      </c>
      <c r="D16" s="1089">
        <f>IF(AND(F18&gt;=700,N16="TRUE",N17&gt;=7),60%,50%)</f>
        <v>0.6</v>
      </c>
      <c r="E16" s="1082" t="s">
        <v>1113</v>
      </c>
      <c r="F16" s="1072" t="e">
        <f>IF(D15&lt;=D16,"YES","NO")</f>
        <v>#DIV/0!</v>
      </c>
      <c r="H16" s="2212" t="s">
        <v>1768</v>
      </c>
      <c r="I16" s="2212"/>
      <c r="K16" s="284" t="s">
        <v>1769</v>
      </c>
      <c r="L16" s="283" t="s">
        <v>1115</v>
      </c>
      <c r="N16" s="269" t="str">
        <f>IF(AND(F5="Manufacturing",Financials_Consolidated!C11&gt;=50000000),"TRUE",IF(AND(F5="Service",Financials_Consolidated!C11&gt;=30000000),"TRUE"))</f>
        <v>TRUE</v>
      </c>
    </row>
    <row r="17" spans="1:15" s="269" customFormat="1" ht="15" customHeight="1" x14ac:dyDescent="0.25">
      <c r="A17" s="2187" t="s">
        <v>1625</v>
      </c>
      <c r="B17" s="2188"/>
      <c r="C17" s="2188"/>
      <c r="D17" s="2188"/>
      <c r="E17" s="2188"/>
      <c r="F17" s="2189"/>
      <c r="H17" s="2212"/>
      <c r="I17" s="2212"/>
      <c r="K17" s="284"/>
      <c r="L17" s="283" t="s">
        <v>1116</v>
      </c>
      <c r="N17" s="286">
        <f>O19/365</f>
        <v>34.43013698630137</v>
      </c>
      <c r="O17" s="287">
        <f>'Borrower Details'!B13</f>
        <v>31840</v>
      </c>
    </row>
    <row r="18" spans="1:15" s="269" customFormat="1" ht="15.75" x14ac:dyDescent="0.25">
      <c r="A18" s="2213" t="s">
        <v>1626</v>
      </c>
      <c r="B18" s="2214"/>
      <c r="C18" s="1090">
        <f>'Borrower Details'!J8</f>
        <v>44407</v>
      </c>
      <c r="D18" s="2215" t="s">
        <v>1627</v>
      </c>
      <c r="E18" s="2215"/>
      <c r="F18" s="2216">
        <f>'Borrower Details'!M40</f>
        <v>753.5</v>
      </c>
      <c r="H18" s="2212"/>
      <c r="I18" s="2212"/>
      <c r="K18" s="284" t="s">
        <v>399</v>
      </c>
      <c r="L18" s="288" t="s">
        <v>1117</v>
      </c>
      <c r="O18" s="287">
        <f>C18</f>
        <v>44407</v>
      </c>
    </row>
    <row r="19" spans="1:15" s="269" customFormat="1" ht="15.75" x14ac:dyDescent="0.25">
      <c r="A19" s="2215" t="s">
        <v>1628</v>
      </c>
      <c r="B19" s="2215"/>
      <c r="C19" s="285" t="s">
        <v>1545</v>
      </c>
      <c r="D19" s="2215"/>
      <c r="E19" s="2215"/>
      <c r="F19" s="2216"/>
      <c r="K19" s="284" t="s">
        <v>360</v>
      </c>
      <c r="L19" s="283" t="s">
        <v>369</v>
      </c>
      <c r="O19" s="269">
        <f>O18-O17</f>
        <v>12567</v>
      </c>
    </row>
    <row r="20" spans="1:15" s="269" customFormat="1" ht="15.75" x14ac:dyDescent="0.25">
      <c r="A20" s="289"/>
      <c r="B20" s="289"/>
      <c r="C20" s="289"/>
      <c r="D20" s="289"/>
      <c r="E20" s="289"/>
      <c r="F20" s="289"/>
      <c r="K20" s="284"/>
      <c r="L20" s="283" t="s">
        <v>1118</v>
      </c>
    </row>
    <row r="21" spans="1:15" s="269" customFormat="1" ht="15.75" x14ac:dyDescent="0.25">
      <c r="A21" s="290" t="s">
        <v>1629</v>
      </c>
      <c r="B21" s="2193" t="s">
        <v>1630</v>
      </c>
      <c r="C21" s="2193"/>
      <c r="D21" s="2193"/>
      <c r="E21" s="2193"/>
      <c r="F21" s="238" t="str">
        <f>IF(AND(F5="Manufacturing",Financials_Consolidated!C11&gt;200000000,(C18-'Borrower Details'!B13)/365&lt;7),"Decline","Ok")</f>
        <v>Ok</v>
      </c>
      <c r="K21" s="284" t="s">
        <v>1770</v>
      </c>
      <c r="L21" s="288" t="s">
        <v>1119</v>
      </c>
    </row>
    <row r="22" spans="1:15" s="269" customFormat="1" ht="15.75" x14ac:dyDescent="0.25">
      <c r="A22" s="290" t="s">
        <v>1631</v>
      </c>
      <c r="B22" s="2193" t="s">
        <v>1632</v>
      </c>
      <c r="C22" s="2193"/>
      <c r="D22" s="2193"/>
      <c r="E22" s="2193"/>
      <c r="F22" s="238" t="str">
        <f>IF(AND(F5="Service",Financials_Consolidated!C11&gt;200000000,(C18-'Borrower Details'!B13)/365&lt;7),"Decline","Ok")</f>
        <v>Ok</v>
      </c>
      <c r="K22" s="284" t="s">
        <v>1771</v>
      </c>
      <c r="L22" s="288" t="s">
        <v>390</v>
      </c>
    </row>
    <row r="23" spans="1:15" s="269" customFormat="1" ht="15.75" x14ac:dyDescent="0.2">
      <c r="A23" s="290" t="s">
        <v>1633</v>
      </c>
      <c r="B23" s="2193" t="s">
        <v>1634</v>
      </c>
      <c r="C23" s="2193"/>
      <c r="D23" s="2193"/>
      <c r="E23" s="2193"/>
      <c r="F23" s="238" t="str">
        <f>IF(AND(Financials_Consolidated!C11&lt;20000000,(C18-'Borrower Details'!B13)/365&lt;7),"Decline","Ok")</f>
        <v>Ok</v>
      </c>
      <c r="K23" s="282" t="s">
        <v>1772</v>
      </c>
      <c r="L23" s="283" t="s">
        <v>1120</v>
      </c>
    </row>
    <row r="24" spans="1:15" s="269" customFormat="1" ht="32.25" customHeight="1" x14ac:dyDescent="0.2">
      <c r="A24" s="290" t="s">
        <v>1635</v>
      </c>
      <c r="B24" s="2194" t="s">
        <v>1636</v>
      </c>
      <c r="C24" s="2195"/>
      <c r="D24" s="2195"/>
      <c r="E24" s="2196"/>
      <c r="F24" s="238" t="str">
        <f>IF(C19="Yes","Decline","Ok")</f>
        <v>Ok</v>
      </c>
      <c r="K24" s="282" t="s">
        <v>339</v>
      </c>
      <c r="L24" s="283" t="s">
        <v>320</v>
      </c>
    </row>
    <row r="25" spans="1:15" s="269" customFormat="1" ht="30.75" customHeight="1" x14ac:dyDescent="0.25">
      <c r="A25" s="290" t="s">
        <v>1637</v>
      </c>
      <c r="B25" s="2194" t="s">
        <v>1638</v>
      </c>
      <c r="C25" s="2195"/>
      <c r="D25" s="2195"/>
      <c r="E25" s="2196"/>
      <c r="F25" s="238" t="e">
        <f>IF(AND((C19-'Borrower Details'!B13)/365&lt;10,F18&lt;675,D16&gt;45%),"Decline","Ok")</f>
        <v>#VALUE!</v>
      </c>
      <c r="K25" s="284" t="s">
        <v>1773</v>
      </c>
      <c r="L25" s="288" t="s">
        <v>401</v>
      </c>
    </row>
    <row r="26" spans="1:15" s="269" customFormat="1" ht="15.75" x14ac:dyDescent="0.2">
      <c r="A26" s="290" t="s">
        <v>1639</v>
      </c>
      <c r="B26" s="2194" t="s">
        <v>1640</v>
      </c>
      <c r="C26" s="2195"/>
      <c r="D26" s="2195"/>
      <c r="E26" s="2196"/>
      <c r="F26" s="238" t="str">
        <f>IF(AND(F5="Manufacturing",Financials_Consolidated!C11&gt;300000000,D16&gt;45%),"To be processed by RCH","Ok")</f>
        <v>Ok</v>
      </c>
      <c r="K26" s="282" t="s">
        <v>1774</v>
      </c>
      <c r="L26" s="288" t="s">
        <v>1121</v>
      </c>
    </row>
    <row r="27" spans="1:15" s="269" customFormat="1" ht="79.5" customHeight="1" x14ac:dyDescent="0.2">
      <c r="A27" s="268"/>
      <c r="B27" s="268"/>
      <c r="C27" s="268"/>
      <c r="D27" s="268"/>
      <c r="E27" s="268"/>
      <c r="F27" s="268"/>
      <c r="K27" s="282"/>
      <c r="L27" s="288" t="s">
        <v>391</v>
      </c>
    </row>
    <row r="28" spans="1:15" ht="30" hidden="1" x14ac:dyDescent="0.25">
      <c r="A28" s="290" t="s">
        <v>1641</v>
      </c>
      <c r="B28" s="2210"/>
      <c r="C28" s="2210"/>
      <c r="D28" s="2210"/>
      <c r="E28" s="2210"/>
      <c r="F28" s="2210"/>
      <c r="K28" s="270" t="s">
        <v>1775</v>
      </c>
      <c r="L28" s="271" t="s">
        <v>1122</v>
      </c>
    </row>
    <row r="29" spans="1:15" ht="15.75" hidden="1" x14ac:dyDescent="0.25">
      <c r="K29" s="270" t="s">
        <v>1776</v>
      </c>
      <c r="L29" s="271" t="s">
        <v>1123</v>
      </c>
    </row>
    <row r="30" spans="1:15" ht="15.75" hidden="1" x14ac:dyDescent="0.25">
      <c r="K30" s="270" t="s">
        <v>1777</v>
      </c>
      <c r="L30" s="271" t="s">
        <v>1124</v>
      </c>
    </row>
    <row r="31" spans="1:15" ht="15.75" hidden="1" x14ac:dyDescent="0.25">
      <c r="K31" s="270" t="s">
        <v>1778</v>
      </c>
      <c r="L31" s="271" t="s">
        <v>1125</v>
      </c>
    </row>
    <row r="32" spans="1:15" ht="15.75" hidden="1" x14ac:dyDescent="0.2">
      <c r="K32" s="275" t="s">
        <v>1779</v>
      </c>
      <c r="L32" s="271" t="s">
        <v>1126</v>
      </c>
    </row>
    <row r="33" spans="11:12" ht="15.75" hidden="1" x14ac:dyDescent="0.25">
      <c r="K33" s="270" t="s">
        <v>1780</v>
      </c>
      <c r="L33" s="271" t="s">
        <v>1127</v>
      </c>
    </row>
    <row r="34" spans="11:12" ht="15.75" hidden="1" x14ac:dyDescent="0.25">
      <c r="L34" s="276" t="s">
        <v>1128</v>
      </c>
    </row>
    <row r="35" spans="11:12" ht="15.75" hidden="1" x14ac:dyDescent="0.25">
      <c r="K35" s="270" t="s">
        <v>1781</v>
      </c>
      <c r="L35" s="276" t="s">
        <v>1129</v>
      </c>
    </row>
    <row r="36" spans="11:12" ht="15.75" hidden="1" x14ac:dyDescent="0.2">
      <c r="K36" s="275" t="s">
        <v>1782</v>
      </c>
      <c r="L36" s="271" t="s">
        <v>1130</v>
      </c>
    </row>
    <row r="37" spans="11:12" ht="15.75" hidden="1" x14ac:dyDescent="0.2">
      <c r="K37" s="275" t="s">
        <v>1783</v>
      </c>
      <c r="L37" s="276" t="s">
        <v>358</v>
      </c>
    </row>
    <row r="38" spans="11:12" ht="15.75" hidden="1" x14ac:dyDescent="0.2">
      <c r="K38" s="275" t="s">
        <v>1784</v>
      </c>
      <c r="L38" s="276" t="s">
        <v>338</v>
      </c>
    </row>
    <row r="39" spans="11:12" ht="15.75" hidden="1" x14ac:dyDescent="0.25">
      <c r="K39" s="270" t="s">
        <v>1785</v>
      </c>
      <c r="L39" s="276" t="s">
        <v>324</v>
      </c>
    </row>
    <row r="40" spans="11:12" ht="15.75" hidden="1" x14ac:dyDescent="0.25">
      <c r="K40" s="270" t="s">
        <v>1786</v>
      </c>
      <c r="L40" s="271" t="s">
        <v>1131</v>
      </c>
    </row>
    <row r="41" spans="11:12" ht="15.75" hidden="1" x14ac:dyDescent="0.25">
      <c r="K41" s="270" t="s">
        <v>376</v>
      </c>
      <c r="L41" s="276" t="s">
        <v>1132</v>
      </c>
    </row>
    <row r="42" spans="11:12" ht="15.75" hidden="1" x14ac:dyDescent="0.25">
      <c r="K42" s="270" t="s">
        <v>325</v>
      </c>
      <c r="L42" s="271" t="s">
        <v>1133</v>
      </c>
    </row>
    <row r="43" spans="11:12" ht="15.75" hidden="1" x14ac:dyDescent="0.25">
      <c r="K43" s="270" t="s">
        <v>365</v>
      </c>
      <c r="L43" s="276" t="s">
        <v>392</v>
      </c>
    </row>
    <row r="44" spans="11:12" ht="15.75" hidden="1" x14ac:dyDescent="0.25">
      <c r="K44" s="270" t="s">
        <v>402</v>
      </c>
      <c r="L44" s="276" t="s">
        <v>1134</v>
      </c>
    </row>
    <row r="45" spans="11:12" ht="15.75" hidden="1" x14ac:dyDescent="0.25">
      <c r="K45" s="270" t="s">
        <v>348</v>
      </c>
      <c r="L45" s="276" t="s">
        <v>1135</v>
      </c>
    </row>
    <row r="46" spans="11:12" ht="15.75" hidden="1" x14ac:dyDescent="0.25">
      <c r="K46" s="270" t="s">
        <v>1098</v>
      </c>
      <c r="L46" s="271" t="s">
        <v>1136</v>
      </c>
    </row>
    <row r="47" spans="11:12" ht="15.75" hidden="1" x14ac:dyDescent="0.25">
      <c r="K47" s="270" t="s">
        <v>1787</v>
      </c>
      <c r="L47" s="276" t="s">
        <v>398</v>
      </c>
    </row>
    <row r="48" spans="11:12" ht="15.75" hidden="1" x14ac:dyDescent="0.25">
      <c r="K48" s="270" t="s">
        <v>1100</v>
      </c>
      <c r="L48" s="271" t="s">
        <v>1137</v>
      </c>
    </row>
    <row r="49" spans="11:12" ht="15.75" hidden="1" x14ac:dyDescent="0.25">
      <c r="K49" s="270" t="s">
        <v>1101</v>
      </c>
      <c r="L49" s="271" t="s">
        <v>1138</v>
      </c>
    </row>
    <row r="50" spans="11:12" ht="15.75" hidden="1" x14ac:dyDescent="0.25">
      <c r="K50" s="270" t="s">
        <v>1102</v>
      </c>
      <c r="L50" s="291" t="s">
        <v>1139</v>
      </c>
    </row>
    <row r="51" spans="11:12" ht="15.75" hidden="1" x14ac:dyDescent="0.2">
      <c r="K51" s="275" t="s">
        <v>1104</v>
      </c>
      <c r="L51" s="276" t="s">
        <v>1140</v>
      </c>
    </row>
    <row r="52" spans="11:12" ht="15.75" hidden="1" x14ac:dyDescent="0.2">
      <c r="K52" s="275"/>
      <c r="L52" s="271" t="s">
        <v>342</v>
      </c>
    </row>
    <row r="53" spans="11:12" ht="15.75" hidden="1" x14ac:dyDescent="0.2">
      <c r="K53" s="275" t="s">
        <v>1108</v>
      </c>
      <c r="L53" s="271" t="s">
        <v>1141</v>
      </c>
    </row>
    <row r="54" spans="11:12" ht="15.75" hidden="1" x14ac:dyDescent="0.25">
      <c r="K54" s="270" t="s">
        <v>1112</v>
      </c>
      <c r="L54" s="276" t="s">
        <v>1142</v>
      </c>
    </row>
    <row r="55" spans="11:12" ht="15.75" hidden="1" x14ac:dyDescent="0.25">
      <c r="K55" s="270" t="s">
        <v>1114</v>
      </c>
      <c r="L55" s="271" t="s">
        <v>397</v>
      </c>
    </row>
    <row r="56" spans="11:12" ht="15.75" hidden="1" x14ac:dyDescent="0.25">
      <c r="K56" s="270" t="s">
        <v>320</v>
      </c>
      <c r="L56" s="271" t="s">
        <v>1143</v>
      </c>
    </row>
    <row r="57" spans="11:12" ht="15.75" hidden="1" x14ac:dyDescent="0.25">
      <c r="K57" s="278" t="s">
        <v>320</v>
      </c>
      <c r="L57" s="276" t="s">
        <v>1144</v>
      </c>
    </row>
    <row r="58" spans="11:12" ht="15.75" hidden="1" x14ac:dyDescent="0.25">
      <c r="K58" s="278" t="s">
        <v>320</v>
      </c>
      <c r="L58" s="276" t="s">
        <v>1145</v>
      </c>
    </row>
    <row r="59" spans="11:12" ht="15.75" hidden="1" x14ac:dyDescent="0.25">
      <c r="K59" s="278"/>
      <c r="L59" s="276" t="s">
        <v>1146</v>
      </c>
    </row>
    <row r="60" spans="11:12" ht="15.75" hidden="1" x14ac:dyDescent="0.25">
      <c r="K60" s="278" t="s">
        <v>320</v>
      </c>
      <c r="L60" s="276" t="s">
        <v>330</v>
      </c>
    </row>
    <row r="61" spans="11:12" ht="15.75" hidden="1" x14ac:dyDescent="0.25">
      <c r="K61" s="278" t="s">
        <v>320</v>
      </c>
      <c r="L61" s="271" t="s">
        <v>1147</v>
      </c>
    </row>
    <row r="62" spans="11:12" ht="15.75" hidden="1" x14ac:dyDescent="0.25">
      <c r="K62" s="278" t="s">
        <v>320</v>
      </c>
      <c r="L62" s="271" t="s">
        <v>381</v>
      </c>
    </row>
    <row r="63" spans="11:12" ht="15.75" hidden="1" x14ac:dyDescent="0.25">
      <c r="K63" s="270" t="s">
        <v>320</v>
      </c>
      <c r="L63" s="276" t="s">
        <v>366</v>
      </c>
    </row>
    <row r="64" spans="11:12" ht="15.75" hidden="1" x14ac:dyDescent="0.25">
      <c r="K64" s="270" t="s">
        <v>320</v>
      </c>
      <c r="L64" s="271" t="s">
        <v>1148</v>
      </c>
    </row>
    <row r="65" spans="11:12" ht="15.75" hidden="1" x14ac:dyDescent="0.2">
      <c r="K65" s="275" t="s">
        <v>401</v>
      </c>
      <c r="L65" s="271" t="s">
        <v>321</v>
      </c>
    </row>
    <row r="66" spans="11:12" ht="15.75" hidden="1" x14ac:dyDescent="0.2">
      <c r="K66" s="275" t="s">
        <v>1121</v>
      </c>
      <c r="L66" s="271" t="s">
        <v>1149</v>
      </c>
    </row>
    <row r="67" spans="11:12" ht="15.75" hidden="1" x14ac:dyDescent="0.2">
      <c r="K67" s="275" t="s">
        <v>391</v>
      </c>
      <c r="L67" s="271" t="s">
        <v>1150</v>
      </c>
    </row>
    <row r="68" spans="11:12" ht="15.75" hidden="1" x14ac:dyDescent="0.25">
      <c r="K68" s="270" t="s">
        <v>1122</v>
      </c>
      <c r="L68" s="276" t="s">
        <v>1151</v>
      </c>
    </row>
    <row r="69" spans="11:12" ht="15.75" hidden="1" x14ac:dyDescent="0.25">
      <c r="K69" s="270" t="s">
        <v>1123</v>
      </c>
      <c r="L69" s="271" t="s">
        <v>368</v>
      </c>
    </row>
    <row r="70" spans="11:12" ht="15.75" hidden="1" x14ac:dyDescent="0.25">
      <c r="K70" s="270" t="s">
        <v>1124</v>
      </c>
      <c r="L70" s="276" t="s">
        <v>393</v>
      </c>
    </row>
    <row r="71" spans="11:12" ht="15.75" hidden="1" x14ac:dyDescent="0.25">
      <c r="K71" s="270" t="s">
        <v>1125</v>
      </c>
      <c r="L71" s="271" t="s">
        <v>1152</v>
      </c>
    </row>
    <row r="72" spans="11:12" ht="15.75" hidden="1" x14ac:dyDescent="0.25">
      <c r="K72" s="270" t="s">
        <v>1126</v>
      </c>
      <c r="L72" s="276" t="s">
        <v>1153</v>
      </c>
    </row>
    <row r="73" spans="11:12" ht="15.75" hidden="1" x14ac:dyDescent="0.25">
      <c r="K73" s="270" t="s">
        <v>1127</v>
      </c>
      <c r="L73" s="271" t="s">
        <v>1154</v>
      </c>
    </row>
    <row r="74" spans="11:12" ht="15.75" hidden="1" x14ac:dyDescent="0.2">
      <c r="K74" s="275" t="s">
        <v>1128</v>
      </c>
      <c r="L74" s="271" t="s">
        <v>1155</v>
      </c>
    </row>
    <row r="75" spans="11:12" ht="15.75" hidden="1" x14ac:dyDescent="0.2">
      <c r="K75" s="275" t="s">
        <v>1129</v>
      </c>
      <c r="L75" s="271" t="s">
        <v>1156</v>
      </c>
    </row>
    <row r="76" spans="11:12" ht="15.75" hidden="1" x14ac:dyDescent="0.25">
      <c r="K76" s="270" t="s">
        <v>1130</v>
      </c>
      <c r="L76" s="276" t="s">
        <v>1157</v>
      </c>
    </row>
    <row r="77" spans="11:12" ht="15.75" hidden="1" x14ac:dyDescent="0.2">
      <c r="K77" s="275" t="s">
        <v>358</v>
      </c>
      <c r="L77" s="271" t="s">
        <v>1158</v>
      </c>
    </row>
    <row r="78" spans="11:12" ht="15.75" hidden="1" x14ac:dyDescent="0.2">
      <c r="K78" s="275" t="s">
        <v>338</v>
      </c>
      <c r="L78" s="271" t="s">
        <v>1159</v>
      </c>
    </row>
    <row r="79" spans="11:12" ht="15.75" hidden="1" x14ac:dyDescent="0.2">
      <c r="K79" s="275" t="s">
        <v>324</v>
      </c>
      <c r="L79" s="271" t="s">
        <v>341</v>
      </c>
    </row>
    <row r="80" spans="11:12" ht="15.75" hidden="1" x14ac:dyDescent="0.25">
      <c r="K80" s="270" t="s">
        <v>1131</v>
      </c>
      <c r="L80" s="276" t="s">
        <v>1160</v>
      </c>
    </row>
    <row r="81" spans="11:12" ht="15.75" hidden="1" x14ac:dyDescent="0.2">
      <c r="K81" s="275" t="s">
        <v>1132</v>
      </c>
      <c r="L81" s="276" t="s">
        <v>1161</v>
      </c>
    </row>
    <row r="82" spans="11:12" ht="15.75" hidden="1" x14ac:dyDescent="0.25">
      <c r="K82" s="270" t="s">
        <v>1133</v>
      </c>
      <c r="L82" s="271" t="s">
        <v>377</v>
      </c>
    </row>
    <row r="83" spans="11:12" ht="15.75" hidden="1" x14ac:dyDescent="0.2">
      <c r="K83" s="275" t="s">
        <v>392</v>
      </c>
      <c r="L83" s="271" t="s">
        <v>372</v>
      </c>
    </row>
    <row r="84" spans="11:12" ht="15.75" hidden="1" x14ac:dyDescent="0.2">
      <c r="K84" s="275" t="s">
        <v>1134</v>
      </c>
      <c r="L84" s="271" t="s">
        <v>1162</v>
      </c>
    </row>
    <row r="85" spans="11:12" ht="15.75" hidden="1" x14ac:dyDescent="0.2">
      <c r="K85" s="275" t="s">
        <v>1135</v>
      </c>
      <c r="L85" s="271" t="s">
        <v>1163</v>
      </c>
    </row>
    <row r="86" spans="11:12" ht="15.75" hidden="1" x14ac:dyDescent="0.25">
      <c r="K86" s="270" t="s">
        <v>1136</v>
      </c>
      <c r="L86" s="271" t="s">
        <v>362</v>
      </c>
    </row>
    <row r="87" spans="11:12" ht="15.75" hidden="1" x14ac:dyDescent="0.2">
      <c r="K87" s="275" t="s">
        <v>398</v>
      </c>
      <c r="L87" s="276" t="s">
        <v>1164</v>
      </c>
    </row>
    <row r="88" spans="11:12" ht="15.75" hidden="1" x14ac:dyDescent="0.25">
      <c r="K88" s="270" t="s">
        <v>1137</v>
      </c>
      <c r="L88" s="276" t="s">
        <v>1165</v>
      </c>
    </row>
    <row r="89" spans="11:12" ht="15.75" hidden="1" x14ac:dyDescent="0.25">
      <c r="K89" s="270" t="s">
        <v>1138</v>
      </c>
      <c r="L89" s="271" t="s">
        <v>1166</v>
      </c>
    </row>
    <row r="90" spans="11:12" ht="15.75" hidden="1" x14ac:dyDescent="0.2">
      <c r="K90" s="292" t="s">
        <v>1139</v>
      </c>
      <c r="L90" s="271" t="s">
        <v>1167</v>
      </c>
    </row>
    <row r="91" spans="11:12" ht="15.75" hidden="1" x14ac:dyDescent="0.2">
      <c r="K91" s="275" t="s">
        <v>1140</v>
      </c>
      <c r="L91" s="276" t="s">
        <v>326</v>
      </c>
    </row>
    <row r="92" spans="11:12" ht="15.75" hidden="1" x14ac:dyDescent="0.25">
      <c r="K92" s="270" t="s">
        <v>342</v>
      </c>
      <c r="L92" s="276" t="s">
        <v>359</v>
      </c>
    </row>
    <row r="93" spans="11:12" ht="15.75" hidden="1" x14ac:dyDescent="0.25">
      <c r="K93" s="270" t="s">
        <v>1141</v>
      </c>
      <c r="L93" s="271" t="s">
        <v>1168</v>
      </c>
    </row>
    <row r="94" spans="11:12" ht="15.75" hidden="1" x14ac:dyDescent="0.2">
      <c r="K94" s="275" t="s">
        <v>1142</v>
      </c>
      <c r="L94" s="271" t="s">
        <v>1169</v>
      </c>
    </row>
    <row r="95" spans="11:12" ht="15.75" hidden="1" x14ac:dyDescent="0.25">
      <c r="K95" s="270" t="s">
        <v>397</v>
      </c>
      <c r="L95" s="271" t="s">
        <v>1170</v>
      </c>
    </row>
    <row r="96" spans="11:12" ht="15.75" hidden="1" x14ac:dyDescent="0.25">
      <c r="K96" s="270" t="s">
        <v>1143</v>
      </c>
      <c r="L96" s="271" t="s">
        <v>1171</v>
      </c>
    </row>
    <row r="97" spans="11:12" ht="15.75" hidden="1" x14ac:dyDescent="0.2">
      <c r="K97" s="275" t="s">
        <v>1144</v>
      </c>
      <c r="L97" s="271" t="s">
        <v>1172</v>
      </c>
    </row>
    <row r="98" spans="11:12" ht="15.75" hidden="1" x14ac:dyDescent="0.2">
      <c r="K98" s="275" t="s">
        <v>1145</v>
      </c>
      <c r="L98" s="271" t="s">
        <v>1173</v>
      </c>
    </row>
    <row r="99" spans="11:12" ht="15.75" hidden="1" x14ac:dyDescent="0.2">
      <c r="K99" s="275" t="s">
        <v>1146</v>
      </c>
      <c r="L99" s="271" t="s">
        <v>389</v>
      </c>
    </row>
    <row r="100" spans="11:12" ht="15.75" hidden="1" x14ac:dyDescent="0.2">
      <c r="K100" s="275" t="s">
        <v>330</v>
      </c>
      <c r="L100" s="271" t="s">
        <v>343</v>
      </c>
    </row>
    <row r="101" spans="11:12" ht="15.75" hidden="1" x14ac:dyDescent="0.25">
      <c r="K101" s="270" t="s">
        <v>1147</v>
      </c>
      <c r="L101" s="276" t="s">
        <v>1174</v>
      </c>
    </row>
    <row r="102" spans="11:12" ht="15.75" hidden="1" x14ac:dyDescent="0.25">
      <c r="K102" s="270" t="s">
        <v>381</v>
      </c>
      <c r="L102" s="271" t="s">
        <v>1175</v>
      </c>
    </row>
    <row r="103" spans="11:12" ht="15.75" hidden="1" x14ac:dyDescent="0.2">
      <c r="K103" s="275" t="s">
        <v>366</v>
      </c>
      <c r="L103" s="271" t="s">
        <v>1176</v>
      </c>
    </row>
    <row r="104" spans="11:12" ht="15.75" hidden="1" x14ac:dyDescent="0.25">
      <c r="K104" s="270" t="s">
        <v>1148</v>
      </c>
      <c r="L104" s="271" t="s">
        <v>1177</v>
      </c>
    </row>
    <row r="105" spans="11:12" ht="15.75" hidden="1" x14ac:dyDescent="0.25">
      <c r="K105" s="270" t="s">
        <v>321</v>
      </c>
      <c r="L105" s="271" t="s">
        <v>1178</v>
      </c>
    </row>
    <row r="106" spans="11:12" ht="15.75" hidden="1" x14ac:dyDescent="0.25">
      <c r="K106" s="270" t="s">
        <v>1149</v>
      </c>
      <c r="L106" s="276" t="s">
        <v>1179</v>
      </c>
    </row>
    <row r="107" spans="11:12" ht="15.75" hidden="1" x14ac:dyDescent="0.25">
      <c r="K107" s="270" t="s">
        <v>1150</v>
      </c>
      <c r="L107" s="276" t="s">
        <v>346</v>
      </c>
    </row>
    <row r="108" spans="11:12" ht="15.75" hidden="1" x14ac:dyDescent="0.2">
      <c r="K108" s="275" t="s">
        <v>1151</v>
      </c>
      <c r="L108" s="271" t="s">
        <v>1180</v>
      </c>
    </row>
    <row r="109" spans="11:12" ht="15.75" hidden="1" x14ac:dyDescent="0.25">
      <c r="K109" s="270" t="s">
        <v>368</v>
      </c>
      <c r="L109" s="271" t="s">
        <v>1181</v>
      </c>
    </row>
    <row r="110" spans="11:12" ht="15.75" hidden="1" x14ac:dyDescent="0.2">
      <c r="K110" s="275" t="s">
        <v>393</v>
      </c>
      <c r="L110" s="271" t="s">
        <v>1182</v>
      </c>
    </row>
    <row r="111" spans="11:12" ht="15.75" hidden="1" x14ac:dyDescent="0.25">
      <c r="K111" s="270" t="s">
        <v>1152</v>
      </c>
      <c r="L111" s="271" t="s">
        <v>1183</v>
      </c>
    </row>
    <row r="112" spans="11:12" ht="15.75" hidden="1" x14ac:dyDescent="0.2">
      <c r="K112" s="275" t="s">
        <v>1153</v>
      </c>
      <c r="L112" s="276" t="s">
        <v>374</v>
      </c>
    </row>
    <row r="113" spans="11:12" ht="15.75" hidden="1" x14ac:dyDescent="0.25">
      <c r="K113" s="270" t="s">
        <v>1154</v>
      </c>
      <c r="L113" s="271" t="s">
        <v>1184</v>
      </c>
    </row>
    <row r="114" spans="11:12" ht="15.75" hidden="1" x14ac:dyDescent="0.25">
      <c r="K114" s="270" t="s">
        <v>1155</v>
      </c>
      <c r="L114" s="276" t="s">
        <v>1184</v>
      </c>
    </row>
    <row r="115" spans="11:12" ht="15.75" hidden="1" x14ac:dyDescent="0.25">
      <c r="K115" s="270" t="s">
        <v>1156</v>
      </c>
      <c r="L115" s="271" t="s">
        <v>1185</v>
      </c>
    </row>
    <row r="116" spans="11:12" ht="15.75" hidden="1" x14ac:dyDescent="0.2">
      <c r="K116" s="275" t="s">
        <v>1157</v>
      </c>
      <c r="L116" s="276" t="s">
        <v>1186</v>
      </c>
    </row>
    <row r="117" spans="11:12" ht="15.75" hidden="1" x14ac:dyDescent="0.25">
      <c r="K117" s="270" t="s">
        <v>1158</v>
      </c>
      <c r="L117" s="271" t="s">
        <v>1187</v>
      </c>
    </row>
    <row r="118" spans="11:12" ht="15.75" hidden="1" x14ac:dyDescent="0.25">
      <c r="K118" s="270" t="s">
        <v>1159</v>
      </c>
      <c r="L118" s="276" t="s">
        <v>323</v>
      </c>
    </row>
    <row r="119" spans="11:12" ht="15.75" hidden="1" x14ac:dyDescent="0.25">
      <c r="K119" s="270" t="s">
        <v>341</v>
      </c>
      <c r="L119" s="276" t="s">
        <v>1188</v>
      </c>
    </row>
    <row r="120" spans="11:12" ht="15.75" hidden="1" x14ac:dyDescent="0.2">
      <c r="K120" s="275" t="s">
        <v>1160</v>
      </c>
      <c r="L120" s="271" t="s">
        <v>1189</v>
      </c>
    </row>
    <row r="121" spans="11:12" ht="15.75" hidden="1" x14ac:dyDescent="0.2">
      <c r="K121" s="275" t="s">
        <v>1161</v>
      </c>
      <c r="L121" s="276" t="s">
        <v>322</v>
      </c>
    </row>
    <row r="122" spans="11:12" ht="15.75" hidden="1" x14ac:dyDescent="0.25">
      <c r="K122" s="270" t="s">
        <v>377</v>
      </c>
      <c r="L122" s="276" t="s">
        <v>319</v>
      </c>
    </row>
    <row r="123" spans="11:12" ht="15.75" hidden="1" x14ac:dyDescent="0.25">
      <c r="K123" s="270" t="s">
        <v>372</v>
      </c>
      <c r="L123" s="276" t="s">
        <v>378</v>
      </c>
    </row>
    <row r="124" spans="11:12" ht="15.75" hidden="1" x14ac:dyDescent="0.25">
      <c r="K124" s="270" t="s">
        <v>1162</v>
      </c>
      <c r="L124" s="276" t="s">
        <v>1190</v>
      </c>
    </row>
    <row r="125" spans="11:12" ht="15.75" hidden="1" x14ac:dyDescent="0.25">
      <c r="K125" s="270" t="s">
        <v>1163</v>
      </c>
      <c r="L125" s="271" t="s">
        <v>1191</v>
      </c>
    </row>
    <row r="126" spans="11:12" ht="15.75" hidden="1" x14ac:dyDescent="0.25">
      <c r="K126" s="270" t="s">
        <v>362</v>
      </c>
      <c r="L126" s="271" t="s">
        <v>351</v>
      </c>
    </row>
    <row r="127" spans="11:12" ht="15.75" hidden="1" x14ac:dyDescent="0.2">
      <c r="K127" s="275" t="s">
        <v>1164</v>
      </c>
      <c r="L127" s="271" t="s">
        <v>394</v>
      </c>
    </row>
    <row r="128" spans="11:12" ht="15.75" hidden="1" x14ac:dyDescent="0.2">
      <c r="K128" s="275" t="s">
        <v>1165</v>
      </c>
      <c r="L128" s="276" t="s">
        <v>1192</v>
      </c>
    </row>
    <row r="129" spans="11:12" ht="15.75" hidden="1" x14ac:dyDescent="0.25">
      <c r="K129" s="270" t="s">
        <v>1166</v>
      </c>
      <c r="L129" s="271" t="s">
        <v>1193</v>
      </c>
    </row>
    <row r="130" spans="11:12" ht="15.75" hidden="1" x14ac:dyDescent="0.25">
      <c r="K130" s="270" t="s">
        <v>1167</v>
      </c>
      <c r="L130" s="276" t="s">
        <v>1194</v>
      </c>
    </row>
    <row r="131" spans="11:12" ht="15.75" hidden="1" x14ac:dyDescent="0.2">
      <c r="K131" s="275" t="s">
        <v>326</v>
      </c>
      <c r="L131" s="276" t="s">
        <v>395</v>
      </c>
    </row>
    <row r="132" spans="11:12" ht="15.75" hidden="1" x14ac:dyDescent="0.2">
      <c r="K132" s="275" t="s">
        <v>359</v>
      </c>
      <c r="L132" s="276" t="s">
        <v>1195</v>
      </c>
    </row>
    <row r="133" spans="11:12" ht="15.75" hidden="1" x14ac:dyDescent="0.25">
      <c r="K133" s="270" t="s">
        <v>1168</v>
      </c>
      <c r="L133" s="271" t="s">
        <v>1196</v>
      </c>
    </row>
    <row r="134" spans="11:12" ht="15.75" hidden="1" x14ac:dyDescent="0.25">
      <c r="K134" s="270" t="s">
        <v>1169</v>
      </c>
      <c r="L134" s="276" t="s">
        <v>363</v>
      </c>
    </row>
    <row r="135" spans="11:12" ht="15.75" hidden="1" x14ac:dyDescent="0.25">
      <c r="K135" s="270" t="s">
        <v>1170</v>
      </c>
      <c r="L135" s="271" t="s">
        <v>1197</v>
      </c>
    </row>
    <row r="136" spans="11:12" ht="15.75" hidden="1" x14ac:dyDescent="0.25">
      <c r="K136" s="270" t="s">
        <v>1171</v>
      </c>
      <c r="L136" s="271" t="s">
        <v>335</v>
      </c>
    </row>
    <row r="137" spans="11:12" ht="15.75" hidden="1" x14ac:dyDescent="0.25">
      <c r="K137" s="270" t="s">
        <v>1172</v>
      </c>
      <c r="L137" s="276" t="s">
        <v>353</v>
      </c>
    </row>
    <row r="138" spans="11:12" ht="15.75" hidden="1" x14ac:dyDescent="0.25">
      <c r="K138" s="270" t="s">
        <v>1173</v>
      </c>
      <c r="L138" s="276" t="s">
        <v>361</v>
      </c>
    </row>
    <row r="139" spans="11:12" ht="15.75" hidden="1" x14ac:dyDescent="0.25">
      <c r="K139" s="270" t="s">
        <v>389</v>
      </c>
      <c r="L139" s="276" t="s">
        <v>1198</v>
      </c>
    </row>
    <row r="140" spans="11:12" ht="15.75" hidden="1" x14ac:dyDescent="0.25">
      <c r="K140" s="270" t="s">
        <v>343</v>
      </c>
      <c r="L140" s="271" t="s">
        <v>370</v>
      </c>
    </row>
    <row r="141" spans="11:12" ht="15.75" hidden="1" x14ac:dyDescent="0.2">
      <c r="K141" s="275" t="s">
        <v>1174</v>
      </c>
      <c r="L141" s="276" t="s">
        <v>1199</v>
      </c>
    </row>
    <row r="142" spans="11:12" ht="15.75" hidden="1" x14ac:dyDescent="0.25">
      <c r="K142" s="270" t="s">
        <v>1175</v>
      </c>
      <c r="L142" s="276" t="s">
        <v>352</v>
      </c>
    </row>
    <row r="143" spans="11:12" ht="15.75" hidden="1" x14ac:dyDescent="0.25">
      <c r="K143" s="270" t="s">
        <v>1176</v>
      </c>
      <c r="L143" s="276" t="s">
        <v>1200</v>
      </c>
    </row>
    <row r="144" spans="11:12" ht="15.75" hidden="1" x14ac:dyDescent="0.25">
      <c r="K144" s="270" t="s">
        <v>1177</v>
      </c>
      <c r="L144" s="276" t="s">
        <v>1201</v>
      </c>
    </row>
    <row r="145" spans="11:12" ht="15.75" hidden="1" x14ac:dyDescent="0.25">
      <c r="K145" s="270" t="s">
        <v>1178</v>
      </c>
      <c r="L145" s="271" t="s">
        <v>334</v>
      </c>
    </row>
    <row r="146" spans="11:12" ht="15.75" hidden="1" x14ac:dyDescent="0.2">
      <c r="K146" s="275" t="s">
        <v>1179</v>
      </c>
      <c r="L146" s="271" t="s">
        <v>1202</v>
      </c>
    </row>
    <row r="147" spans="11:12" ht="15.75" hidden="1" x14ac:dyDescent="0.2">
      <c r="K147" s="275" t="s">
        <v>346</v>
      </c>
      <c r="L147" s="271" t="s">
        <v>375</v>
      </c>
    </row>
    <row r="148" spans="11:12" ht="15.75" hidden="1" x14ac:dyDescent="0.25">
      <c r="K148" s="270" t="s">
        <v>1180</v>
      </c>
      <c r="L148" s="271" t="s">
        <v>382</v>
      </c>
    </row>
    <row r="149" spans="11:12" ht="15.75" hidden="1" x14ac:dyDescent="0.25">
      <c r="K149" s="270" t="s">
        <v>1181</v>
      </c>
      <c r="L149" s="276" t="s">
        <v>1203</v>
      </c>
    </row>
    <row r="150" spans="11:12" ht="15.75" hidden="1" x14ac:dyDescent="0.25">
      <c r="K150" s="270" t="s">
        <v>1182</v>
      </c>
      <c r="L150" s="271" t="s">
        <v>333</v>
      </c>
    </row>
    <row r="151" spans="11:12" ht="15.75" hidden="1" x14ac:dyDescent="0.25">
      <c r="K151" s="270" t="s">
        <v>1183</v>
      </c>
      <c r="L151" s="271" t="s">
        <v>1204</v>
      </c>
    </row>
    <row r="152" spans="11:12" ht="15.75" hidden="1" x14ac:dyDescent="0.2">
      <c r="K152" s="275" t="s">
        <v>374</v>
      </c>
      <c r="L152" s="271" t="s">
        <v>1205</v>
      </c>
    </row>
    <row r="153" spans="11:12" ht="15.75" hidden="1" x14ac:dyDescent="0.25">
      <c r="K153" s="270" t="s">
        <v>1184</v>
      </c>
      <c r="L153" s="271" t="s">
        <v>367</v>
      </c>
    </row>
    <row r="154" spans="11:12" ht="15.75" hidden="1" x14ac:dyDescent="0.2">
      <c r="K154" s="275" t="s">
        <v>1184</v>
      </c>
      <c r="L154" s="276" t="s">
        <v>1206</v>
      </c>
    </row>
    <row r="155" spans="11:12" ht="15.75" hidden="1" x14ac:dyDescent="0.25">
      <c r="K155" s="270" t="s">
        <v>1185</v>
      </c>
      <c r="L155" s="276" t="s">
        <v>1207</v>
      </c>
    </row>
    <row r="156" spans="11:12" ht="15.75" hidden="1" x14ac:dyDescent="0.2">
      <c r="K156" s="275" t="s">
        <v>1186</v>
      </c>
      <c r="L156" s="276" t="s">
        <v>328</v>
      </c>
    </row>
    <row r="157" spans="11:12" ht="15.75" hidden="1" x14ac:dyDescent="0.25">
      <c r="K157" s="270" t="s">
        <v>1187</v>
      </c>
      <c r="L157" s="276" t="s">
        <v>357</v>
      </c>
    </row>
    <row r="158" spans="11:12" ht="15.75" hidden="1" x14ac:dyDescent="0.2">
      <c r="K158" s="275" t="s">
        <v>323</v>
      </c>
      <c r="L158" s="276" t="s">
        <v>1208</v>
      </c>
    </row>
    <row r="159" spans="11:12" ht="15.75" hidden="1" x14ac:dyDescent="0.2">
      <c r="K159" s="275" t="s">
        <v>1188</v>
      </c>
      <c r="L159" s="276" t="s">
        <v>344</v>
      </c>
    </row>
    <row r="160" spans="11:12" ht="15.75" hidden="1" x14ac:dyDescent="0.25">
      <c r="K160" s="270" t="s">
        <v>1189</v>
      </c>
      <c r="L160" s="271" t="s">
        <v>1209</v>
      </c>
    </row>
    <row r="161" spans="11:12" ht="15.75" hidden="1" x14ac:dyDescent="0.2">
      <c r="K161" s="275" t="s">
        <v>322</v>
      </c>
      <c r="L161" s="271" t="s">
        <v>1210</v>
      </c>
    </row>
    <row r="162" spans="11:12" ht="15.75" hidden="1" x14ac:dyDescent="0.2">
      <c r="K162" s="275" t="s">
        <v>319</v>
      </c>
      <c r="L162" s="271" t="s">
        <v>1211</v>
      </c>
    </row>
    <row r="163" spans="11:12" ht="15.75" hidden="1" x14ac:dyDescent="0.2">
      <c r="K163" s="275" t="s">
        <v>378</v>
      </c>
      <c r="L163" s="276" t="s">
        <v>1212</v>
      </c>
    </row>
    <row r="164" spans="11:12" ht="15.75" hidden="1" x14ac:dyDescent="0.2">
      <c r="K164" s="275" t="s">
        <v>1190</v>
      </c>
      <c r="L164" s="271" t="s">
        <v>1213</v>
      </c>
    </row>
    <row r="165" spans="11:12" ht="15.75" hidden="1" x14ac:dyDescent="0.25">
      <c r="K165" s="270" t="s">
        <v>1191</v>
      </c>
      <c r="L165" s="276" t="s">
        <v>1214</v>
      </c>
    </row>
    <row r="166" spans="11:12" ht="15.75" hidden="1" x14ac:dyDescent="0.25">
      <c r="K166" s="270" t="s">
        <v>351</v>
      </c>
      <c r="L166" s="271" t="s">
        <v>356</v>
      </c>
    </row>
    <row r="167" spans="11:12" ht="15.75" hidden="1" x14ac:dyDescent="0.25">
      <c r="K167" s="270" t="s">
        <v>394</v>
      </c>
      <c r="L167" s="271" t="s">
        <v>1215</v>
      </c>
    </row>
    <row r="168" spans="11:12" ht="15.75" hidden="1" x14ac:dyDescent="0.2">
      <c r="K168" s="275" t="s">
        <v>1192</v>
      </c>
      <c r="L168" s="276" t="s">
        <v>1216</v>
      </c>
    </row>
    <row r="169" spans="11:12" ht="15.75" hidden="1" x14ac:dyDescent="0.25">
      <c r="K169" s="270" t="s">
        <v>1193</v>
      </c>
      <c r="L169" s="276" t="s">
        <v>1217</v>
      </c>
    </row>
    <row r="170" spans="11:12" ht="15.75" hidden="1" x14ac:dyDescent="0.2">
      <c r="K170" s="275" t="s">
        <v>1194</v>
      </c>
      <c r="L170" s="271" t="s">
        <v>1218</v>
      </c>
    </row>
    <row r="171" spans="11:12" ht="15.75" hidden="1" x14ac:dyDescent="0.2">
      <c r="K171" s="275" t="s">
        <v>395</v>
      </c>
      <c r="L171" s="271" t="s">
        <v>1219</v>
      </c>
    </row>
    <row r="172" spans="11:12" ht="15.75" hidden="1" x14ac:dyDescent="0.2">
      <c r="K172" s="275" t="s">
        <v>1195</v>
      </c>
      <c r="L172" s="276" t="s">
        <v>1220</v>
      </c>
    </row>
    <row r="173" spans="11:12" ht="15.75" hidden="1" x14ac:dyDescent="0.25">
      <c r="K173" s="270" t="s">
        <v>1196</v>
      </c>
      <c r="L173" s="276" t="s">
        <v>1221</v>
      </c>
    </row>
    <row r="174" spans="11:12" ht="15.75" hidden="1" x14ac:dyDescent="0.2">
      <c r="K174" s="275" t="s">
        <v>363</v>
      </c>
      <c r="L174" s="276" t="s">
        <v>1222</v>
      </c>
    </row>
    <row r="175" spans="11:12" ht="15.75" hidden="1" x14ac:dyDescent="0.25">
      <c r="K175" s="270" t="s">
        <v>1197</v>
      </c>
      <c r="L175" s="271" t="s">
        <v>387</v>
      </c>
    </row>
    <row r="176" spans="11:12" ht="15.75" hidden="1" x14ac:dyDescent="0.25">
      <c r="K176" s="270" t="s">
        <v>335</v>
      </c>
      <c r="L176" s="271" t="s">
        <v>1223</v>
      </c>
    </row>
    <row r="177" spans="11:12" ht="15.75" hidden="1" x14ac:dyDescent="0.2">
      <c r="K177" s="275" t="s">
        <v>353</v>
      </c>
      <c r="L177" s="276" t="s">
        <v>1224</v>
      </c>
    </row>
    <row r="178" spans="11:12" ht="15.75" hidden="1" x14ac:dyDescent="0.2">
      <c r="K178" s="275" t="s">
        <v>361</v>
      </c>
      <c r="L178" s="271" t="s">
        <v>1225</v>
      </c>
    </row>
    <row r="179" spans="11:12" ht="15.75" hidden="1" x14ac:dyDescent="0.2">
      <c r="K179" s="275" t="s">
        <v>1198</v>
      </c>
      <c r="L179" s="271" t="s">
        <v>1226</v>
      </c>
    </row>
    <row r="180" spans="11:12" ht="15.75" hidden="1" x14ac:dyDescent="0.25">
      <c r="K180" s="270" t="s">
        <v>370</v>
      </c>
      <c r="L180" s="271" t="s">
        <v>1227</v>
      </c>
    </row>
    <row r="181" spans="11:12" ht="15.75" hidden="1" x14ac:dyDescent="0.2">
      <c r="K181" s="275" t="s">
        <v>1199</v>
      </c>
      <c r="L181" s="271" t="s">
        <v>1228</v>
      </c>
    </row>
    <row r="182" spans="11:12" ht="15.75" hidden="1" x14ac:dyDescent="0.2">
      <c r="K182" s="275" t="s">
        <v>352</v>
      </c>
      <c r="L182" s="276" t="s">
        <v>1229</v>
      </c>
    </row>
    <row r="183" spans="11:12" ht="15.75" hidden="1" x14ac:dyDescent="0.2">
      <c r="K183" s="275" t="s">
        <v>1200</v>
      </c>
      <c r="L183" s="271" t="s">
        <v>1230</v>
      </c>
    </row>
    <row r="184" spans="11:12" ht="15.75" hidden="1" x14ac:dyDescent="0.2">
      <c r="K184" s="275" t="s">
        <v>1201</v>
      </c>
      <c r="L184" s="276" t="s">
        <v>1231</v>
      </c>
    </row>
    <row r="185" spans="11:12" ht="15.75" hidden="1" x14ac:dyDescent="0.25">
      <c r="K185" s="270" t="s">
        <v>334</v>
      </c>
      <c r="L185" s="276" t="s">
        <v>1232</v>
      </c>
    </row>
    <row r="186" spans="11:12" ht="15.75" hidden="1" x14ac:dyDescent="0.25">
      <c r="K186" s="270" t="s">
        <v>1202</v>
      </c>
      <c r="L186" s="276" t="s">
        <v>1233</v>
      </c>
    </row>
    <row r="187" spans="11:12" ht="15.75" hidden="1" x14ac:dyDescent="0.25">
      <c r="K187" s="270" t="s">
        <v>375</v>
      </c>
      <c r="L187" s="276" t="s">
        <v>329</v>
      </c>
    </row>
    <row r="188" spans="11:12" ht="15.75" hidden="1" x14ac:dyDescent="0.25">
      <c r="K188" s="270" t="s">
        <v>382</v>
      </c>
      <c r="L188" s="271" t="s">
        <v>331</v>
      </c>
    </row>
    <row r="189" spans="11:12" ht="15.75" hidden="1" x14ac:dyDescent="0.2">
      <c r="K189" s="275" t="s">
        <v>1203</v>
      </c>
      <c r="L189" s="276" t="s">
        <v>1234</v>
      </c>
    </row>
    <row r="190" spans="11:12" ht="15.75" hidden="1" x14ac:dyDescent="0.25">
      <c r="K190" s="270" t="s">
        <v>333</v>
      </c>
      <c r="L190" s="271" t="s">
        <v>1235</v>
      </c>
    </row>
    <row r="191" spans="11:12" ht="15.75" hidden="1" x14ac:dyDescent="0.25">
      <c r="K191" s="270" t="s">
        <v>1204</v>
      </c>
      <c r="L191" s="276" t="s">
        <v>1236</v>
      </c>
    </row>
    <row r="192" spans="11:12" ht="15.75" hidden="1" x14ac:dyDescent="0.25">
      <c r="K192" s="270" t="s">
        <v>1205</v>
      </c>
      <c r="L192" s="276" t="s">
        <v>388</v>
      </c>
    </row>
    <row r="193" spans="11:12" ht="15.75" hidden="1" x14ac:dyDescent="0.25">
      <c r="K193" s="270" t="s">
        <v>367</v>
      </c>
      <c r="L193" s="276" t="s">
        <v>1237</v>
      </c>
    </row>
    <row r="194" spans="11:12" ht="15.75" hidden="1" x14ac:dyDescent="0.2">
      <c r="K194" s="275" t="s">
        <v>1206</v>
      </c>
      <c r="L194" s="271" t="s">
        <v>347</v>
      </c>
    </row>
    <row r="195" spans="11:12" ht="15.75" hidden="1" x14ac:dyDescent="0.2">
      <c r="K195" s="275" t="s">
        <v>1207</v>
      </c>
      <c r="L195" s="271" t="s">
        <v>1238</v>
      </c>
    </row>
    <row r="196" spans="11:12" ht="15.75" hidden="1" x14ac:dyDescent="0.2">
      <c r="K196" s="275" t="s">
        <v>328</v>
      </c>
      <c r="L196" s="271" t="s">
        <v>327</v>
      </c>
    </row>
    <row r="197" spans="11:12" ht="15.75" hidden="1" x14ac:dyDescent="0.2">
      <c r="K197" s="275" t="s">
        <v>357</v>
      </c>
      <c r="L197" s="271" t="s">
        <v>1239</v>
      </c>
    </row>
    <row r="198" spans="11:12" ht="15.75" hidden="1" x14ac:dyDescent="0.2">
      <c r="K198" s="275" t="s">
        <v>1208</v>
      </c>
      <c r="L198" s="271" t="s">
        <v>349</v>
      </c>
    </row>
    <row r="199" spans="11:12" ht="15.75" hidden="1" x14ac:dyDescent="0.2">
      <c r="K199" s="275" t="s">
        <v>344</v>
      </c>
      <c r="L199" s="271" t="s">
        <v>380</v>
      </c>
    </row>
    <row r="200" spans="11:12" ht="15.75" hidden="1" x14ac:dyDescent="0.25">
      <c r="K200" s="270" t="s">
        <v>1209</v>
      </c>
      <c r="L200" s="276" t="s">
        <v>1240</v>
      </c>
    </row>
    <row r="201" spans="11:12" ht="15.75" hidden="1" x14ac:dyDescent="0.25">
      <c r="K201" s="270" t="s">
        <v>1210</v>
      </c>
      <c r="L201" s="271" t="s">
        <v>1241</v>
      </c>
    </row>
    <row r="202" spans="11:12" ht="15.75" hidden="1" x14ac:dyDescent="0.25">
      <c r="K202" s="270" t="s">
        <v>1211</v>
      </c>
      <c r="L202" s="276" t="s">
        <v>1242</v>
      </c>
    </row>
    <row r="203" spans="11:12" ht="15.75" hidden="1" x14ac:dyDescent="0.2">
      <c r="K203" s="275" t="s">
        <v>1212</v>
      </c>
      <c r="L203" s="271" t="s">
        <v>1243</v>
      </c>
    </row>
    <row r="204" spans="11:12" ht="15.75" hidden="1" x14ac:dyDescent="0.25">
      <c r="K204" s="270" t="s">
        <v>1213</v>
      </c>
      <c r="L204" s="271" t="s">
        <v>1244</v>
      </c>
    </row>
    <row r="205" spans="11:12" ht="15.75" hidden="1" x14ac:dyDescent="0.2">
      <c r="K205" s="275" t="s">
        <v>1214</v>
      </c>
      <c r="L205" s="271" t="s">
        <v>1245</v>
      </c>
    </row>
    <row r="206" spans="11:12" ht="15.75" hidden="1" x14ac:dyDescent="0.25">
      <c r="K206" s="270" t="s">
        <v>356</v>
      </c>
      <c r="L206" s="271" t="s">
        <v>1246</v>
      </c>
    </row>
    <row r="207" spans="11:12" ht="15.75" hidden="1" x14ac:dyDescent="0.25">
      <c r="K207" s="270" t="s">
        <v>1215</v>
      </c>
      <c r="L207" s="276" t="s">
        <v>1247</v>
      </c>
    </row>
    <row r="208" spans="11:12" ht="15.75" hidden="1" x14ac:dyDescent="0.2">
      <c r="K208" s="275" t="s">
        <v>1216</v>
      </c>
      <c r="L208" s="271" t="s">
        <v>1248</v>
      </c>
    </row>
    <row r="209" spans="11:12" ht="15.75" hidden="1" x14ac:dyDescent="0.2">
      <c r="K209" s="275" t="s">
        <v>1217</v>
      </c>
      <c r="L209" s="276" t="s">
        <v>1249</v>
      </c>
    </row>
    <row r="210" spans="11:12" ht="15.75" hidden="1" x14ac:dyDescent="0.25">
      <c r="K210" s="270" t="s">
        <v>1218</v>
      </c>
      <c r="L210" s="276" t="s">
        <v>1250</v>
      </c>
    </row>
    <row r="211" spans="11:12" ht="15.75" hidden="1" x14ac:dyDescent="0.25">
      <c r="K211" s="270" t="s">
        <v>1219</v>
      </c>
      <c r="L211" s="271" t="s">
        <v>373</v>
      </c>
    </row>
    <row r="212" spans="11:12" ht="15.75" hidden="1" x14ac:dyDescent="0.2">
      <c r="K212" s="275" t="s">
        <v>1220</v>
      </c>
      <c r="L212" s="276" t="s">
        <v>1251</v>
      </c>
    </row>
    <row r="213" spans="11:12" ht="15.75" hidden="1" x14ac:dyDescent="0.2">
      <c r="K213" s="275" t="s">
        <v>1221</v>
      </c>
      <c r="L213" s="276" t="s">
        <v>1252</v>
      </c>
    </row>
    <row r="214" spans="11:12" ht="15.75" hidden="1" x14ac:dyDescent="0.2">
      <c r="K214" s="275" t="s">
        <v>1222</v>
      </c>
      <c r="L214" s="271" t="s">
        <v>1253</v>
      </c>
    </row>
    <row r="215" spans="11:12" ht="15.75" hidden="1" x14ac:dyDescent="0.25">
      <c r="K215" s="270" t="s">
        <v>387</v>
      </c>
      <c r="L215" s="276" t="s">
        <v>1254</v>
      </c>
    </row>
    <row r="216" spans="11:12" ht="15.75" hidden="1" x14ac:dyDescent="0.25">
      <c r="K216" s="270" t="s">
        <v>1223</v>
      </c>
      <c r="L216" s="271" t="s">
        <v>379</v>
      </c>
    </row>
    <row r="217" spans="11:12" ht="15.75" hidden="1" x14ac:dyDescent="0.2">
      <c r="K217" s="275" t="s">
        <v>1224</v>
      </c>
      <c r="L217" s="271" t="s">
        <v>1255</v>
      </c>
    </row>
    <row r="218" spans="11:12" ht="15.75" hidden="1" x14ac:dyDescent="0.25">
      <c r="K218" s="270" t="s">
        <v>1225</v>
      </c>
      <c r="L218" s="271" t="s">
        <v>1256</v>
      </c>
    </row>
    <row r="219" spans="11:12" ht="15.75" hidden="1" x14ac:dyDescent="0.25">
      <c r="K219" s="270" t="s">
        <v>1226</v>
      </c>
      <c r="L219" s="271" t="s">
        <v>1257</v>
      </c>
    </row>
    <row r="220" spans="11:12" ht="15.75" hidden="1" x14ac:dyDescent="0.25">
      <c r="K220" s="270" t="s">
        <v>1227</v>
      </c>
      <c r="L220" s="276" t="s">
        <v>1258</v>
      </c>
    </row>
    <row r="221" spans="11:12" ht="15.75" hidden="1" x14ac:dyDescent="0.25">
      <c r="K221" s="270" t="s">
        <v>1228</v>
      </c>
      <c r="L221" s="271" t="s">
        <v>345</v>
      </c>
    </row>
    <row r="222" spans="11:12" ht="15.75" hidden="1" x14ac:dyDescent="0.2">
      <c r="K222" s="275" t="s">
        <v>1229</v>
      </c>
      <c r="L222" s="271" t="s">
        <v>1259</v>
      </c>
    </row>
    <row r="223" spans="11:12" ht="15.75" hidden="1" x14ac:dyDescent="0.25">
      <c r="K223" s="270" t="s">
        <v>1230</v>
      </c>
      <c r="L223" s="271" t="s">
        <v>1260</v>
      </c>
    </row>
    <row r="224" spans="11:12" ht="15.75" hidden="1" x14ac:dyDescent="0.2">
      <c r="K224" s="275" t="s">
        <v>1231</v>
      </c>
      <c r="L224" s="271" t="s">
        <v>1261</v>
      </c>
    </row>
    <row r="225" spans="11:12" ht="15.75" hidden="1" x14ac:dyDescent="0.2">
      <c r="K225" s="275" t="s">
        <v>1232</v>
      </c>
      <c r="L225" s="271" t="s">
        <v>1262</v>
      </c>
    </row>
    <row r="226" spans="11:12" ht="15.75" hidden="1" x14ac:dyDescent="0.2">
      <c r="K226" s="275" t="s">
        <v>1233</v>
      </c>
      <c r="L226" s="276" t="s">
        <v>1263</v>
      </c>
    </row>
    <row r="227" spans="11:12" ht="15.75" hidden="1" x14ac:dyDescent="0.2">
      <c r="K227" s="275" t="s">
        <v>329</v>
      </c>
      <c r="L227" s="271" t="s">
        <v>1264</v>
      </c>
    </row>
    <row r="228" spans="11:12" ht="15.75" hidden="1" x14ac:dyDescent="0.25">
      <c r="K228" s="270" t="s">
        <v>331</v>
      </c>
      <c r="L228" s="271" t="s">
        <v>1265</v>
      </c>
    </row>
    <row r="229" spans="11:12" ht="15.75" hidden="1" x14ac:dyDescent="0.2">
      <c r="K229" s="275" t="s">
        <v>1234</v>
      </c>
      <c r="L229" s="271" t="s">
        <v>1266</v>
      </c>
    </row>
    <row r="230" spans="11:12" ht="15.75" hidden="1" x14ac:dyDescent="0.25">
      <c r="K230" s="270" t="s">
        <v>1235</v>
      </c>
      <c r="L230" s="291" t="s">
        <v>1267</v>
      </c>
    </row>
    <row r="231" spans="11:12" ht="15.75" hidden="1" x14ac:dyDescent="0.2">
      <c r="K231" s="275" t="s">
        <v>1236</v>
      </c>
      <c r="L231" s="271" t="s">
        <v>396</v>
      </c>
    </row>
    <row r="232" spans="11:12" ht="15.75" hidden="1" x14ac:dyDescent="0.2">
      <c r="K232" s="275" t="s">
        <v>388</v>
      </c>
      <c r="L232" s="271" t="s">
        <v>1268</v>
      </c>
    </row>
    <row r="233" spans="11:12" ht="15.75" hidden="1" x14ac:dyDescent="0.2">
      <c r="K233" s="275" t="s">
        <v>1237</v>
      </c>
      <c r="L233" s="271" t="s">
        <v>1269</v>
      </c>
    </row>
    <row r="234" spans="11:12" ht="15.75" hidden="1" x14ac:dyDescent="0.25">
      <c r="K234" s="270" t="s">
        <v>347</v>
      </c>
      <c r="L234" s="271" t="s">
        <v>1270</v>
      </c>
    </row>
    <row r="235" spans="11:12" ht="15.75" hidden="1" x14ac:dyDescent="0.25">
      <c r="K235" s="270" t="s">
        <v>1238</v>
      </c>
      <c r="L235" s="271" t="s">
        <v>371</v>
      </c>
    </row>
    <row r="236" spans="11:12" ht="15.75" hidden="1" x14ac:dyDescent="0.25">
      <c r="K236" s="270" t="s">
        <v>327</v>
      </c>
      <c r="L236" s="271" t="s">
        <v>1271</v>
      </c>
    </row>
    <row r="237" spans="11:12" ht="15.75" hidden="1" x14ac:dyDescent="0.25">
      <c r="K237" s="270" t="s">
        <v>1239</v>
      </c>
      <c r="L237" s="271" t="s">
        <v>1272</v>
      </c>
    </row>
    <row r="238" spans="11:12" ht="15.75" hidden="1" x14ac:dyDescent="0.25">
      <c r="K238" s="270" t="s">
        <v>349</v>
      </c>
      <c r="L238" s="271" t="s">
        <v>1273</v>
      </c>
    </row>
    <row r="239" spans="11:12" ht="15.75" hidden="1" x14ac:dyDescent="0.25">
      <c r="K239" s="270" t="s">
        <v>380</v>
      </c>
      <c r="L239" s="271" t="s">
        <v>336</v>
      </c>
    </row>
    <row r="240" spans="11:12" ht="15.75" hidden="1" x14ac:dyDescent="0.2">
      <c r="K240" s="275" t="s">
        <v>1240</v>
      </c>
      <c r="L240" s="271" t="s">
        <v>1274</v>
      </c>
    </row>
    <row r="241" spans="11:12" ht="15.75" hidden="1" x14ac:dyDescent="0.25">
      <c r="K241" s="270" t="s">
        <v>1241</v>
      </c>
      <c r="L241" s="271" t="s">
        <v>1275</v>
      </c>
    </row>
    <row r="242" spans="11:12" ht="15.75" hidden="1" x14ac:dyDescent="0.2">
      <c r="K242" s="275" t="s">
        <v>1242</v>
      </c>
      <c r="L242" s="271" t="s">
        <v>350</v>
      </c>
    </row>
    <row r="243" spans="11:12" ht="15.75" hidden="1" x14ac:dyDescent="0.25">
      <c r="K243" s="270" t="s">
        <v>1243</v>
      </c>
      <c r="L243" s="271" t="s">
        <v>1276</v>
      </c>
    </row>
    <row r="244" spans="11:12" ht="15.75" hidden="1" x14ac:dyDescent="0.25">
      <c r="K244" s="270" t="s">
        <v>1244</v>
      </c>
      <c r="L244" s="271" t="s">
        <v>1277</v>
      </c>
    </row>
    <row r="245" spans="11:12" ht="15.75" hidden="1" x14ac:dyDescent="0.25">
      <c r="K245" s="270" t="s">
        <v>1245</v>
      </c>
      <c r="L245" s="271" t="s">
        <v>1278</v>
      </c>
    </row>
    <row r="246" spans="11:12" ht="15.75" hidden="1" x14ac:dyDescent="0.25">
      <c r="K246" s="270" t="s">
        <v>1246</v>
      </c>
      <c r="L246" s="271" t="s">
        <v>1279</v>
      </c>
    </row>
    <row r="247" spans="11:12" ht="15.75" hidden="1" x14ac:dyDescent="0.2">
      <c r="K247" s="275" t="s">
        <v>1247</v>
      </c>
      <c r="L247" s="271" t="s">
        <v>1280</v>
      </c>
    </row>
    <row r="248" spans="11:12" ht="15.75" hidden="1" x14ac:dyDescent="0.25">
      <c r="K248" s="270" t="s">
        <v>1248</v>
      </c>
      <c r="L248" s="271" t="s">
        <v>1281</v>
      </c>
    </row>
    <row r="249" spans="11:12" ht="15.75" hidden="1" x14ac:dyDescent="0.2">
      <c r="K249" s="275" t="s">
        <v>1249</v>
      </c>
      <c r="L249" s="271" t="s">
        <v>1282</v>
      </c>
    </row>
    <row r="250" spans="11:12" ht="15.75" hidden="1" x14ac:dyDescent="0.2">
      <c r="K250" s="275" t="s">
        <v>1250</v>
      </c>
      <c r="L250" s="291" t="s">
        <v>1283</v>
      </c>
    </row>
    <row r="251" spans="11:12" ht="15.75" hidden="1" x14ac:dyDescent="0.25">
      <c r="K251" s="270" t="s">
        <v>373</v>
      </c>
      <c r="L251" s="271" t="s">
        <v>1284</v>
      </c>
    </row>
    <row r="252" spans="11:12" ht="15.75" hidden="1" x14ac:dyDescent="0.2">
      <c r="K252" s="275" t="s">
        <v>1251</v>
      </c>
      <c r="L252" s="271" t="s">
        <v>337</v>
      </c>
    </row>
    <row r="253" spans="11:12" ht="15.75" hidden="1" x14ac:dyDescent="0.2">
      <c r="K253" s="275" t="s">
        <v>1252</v>
      </c>
      <c r="L253" s="271" t="s">
        <v>1285</v>
      </c>
    </row>
    <row r="254" spans="11:12" ht="15.75" hidden="1" x14ac:dyDescent="0.25">
      <c r="K254" s="270" t="s">
        <v>1253</v>
      </c>
      <c r="L254" s="271" t="s">
        <v>1286</v>
      </c>
    </row>
    <row r="255" spans="11:12" ht="15.75" hidden="1" x14ac:dyDescent="0.2">
      <c r="K255" s="275" t="s">
        <v>1254</v>
      </c>
      <c r="L255" s="271" t="s">
        <v>1287</v>
      </c>
    </row>
    <row r="256" spans="11:12" ht="15.75" hidden="1" x14ac:dyDescent="0.25">
      <c r="K256" s="270" t="s">
        <v>379</v>
      </c>
      <c r="L256" s="271" t="s">
        <v>1288</v>
      </c>
    </row>
    <row r="257" spans="11:12" ht="15.75" hidden="1" x14ac:dyDescent="0.25">
      <c r="K257" s="270" t="s">
        <v>1255</v>
      </c>
      <c r="L257" s="271" t="s">
        <v>1289</v>
      </c>
    </row>
    <row r="258" spans="11:12" ht="15.75" hidden="1" x14ac:dyDescent="0.25">
      <c r="K258" s="270" t="s">
        <v>1256</v>
      </c>
      <c r="L258" s="271" t="s">
        <v>1290</v>
      </c>
    </row>
    <row r="259" spans="11:12" ht="15.75" hidden="1" x14ac:dyDescent="0.25">
      <c r="K259" s="270" t="s">
        <v>1257</v>
      </c>
      <c r="L259" s="271" t="s">
        <v>1291</v>
      </c>
    </row>
    <row r="260" spans="11:12" ht="15.75" hidden="1" x14ac:dyDescent="0.2">
      <c r="K260" s="275" t="s">
        <v>1258</v>
      </c>
      <c r="L260" s="271" t="s">
        <v>1292</v>
      </c>
    </row>
    <row r="261" spans="11:12" ht="15.75" hidden="1" x14ac:dyDescent="0.25">
      <c r="K261" s="270" t="s">
        <v>345</v>
      </c>
      <c r="L261" s="271" t="s">
        <v>400</v>
      </c>
    </row>
    <row r="262" spans="11:12" ht="15.75" hidden="1" x14ac:dyDescent="0.25">
      <c r="K262" s="270" t="s">
        <v>1259</v>
      </c>
      <c r="L262" s="271" t="s">
        <v>1293</v>
      </c>
    </row>
    <row r="263" spans="11:12" ht="15.75" hidden="1" x14ac:dyDescent="0.25">
      <c r="K263" s="270" t="s">
        <v>1260</v>
      </c>
      <c r="L263" s="271" t="s">
        <v>383</v>
      </c>
    </row>
    <row r="264" spans="11:12" ht="15.75" hidden="1" x14ac:dyDescent="0.25">
      <c r="K264" s="270" t="s">
        <v>1261</v>
      </c>
      <c r="L264" s="271" t="s">
        <v>332</v>
      </c>
    </row>
    <row r="265" spans="11:12" ht="15.75" hidden="1" x14ac:dyDescent="0.25">
      <c r="K265" s="270" t="s">
        <v>1262</v>
      </c>
      <c r="L265" s="271" t="s">
        <v>385</v>
      </c>
    </row>
    <row r="266" spans="11:12" ht="15.75" hidden="1" x14ac:dyDescent="0.2">
      <c r="K266" s="275" t="s">
        <v>1263</v>
      </c>
      <c r="L266" s="271" t="s">
        <v>1294</v>
      </c>
    </row>
    <row r="267" spans="11:12" ht="15.75" hidden="1" x14ac:dyDescent="0.25">
      <c r="K267" s="270" t="s">
        <v>1264</v>
      </c>
      <c r="L267" s="271" t="s">
        <v>1295</v>
      </c>
    </row>
    <row r="268" spans="11:12" ht="15.75" hidden="1" x14ac:dyDescent="0.25">
      <c r="K268" s="270" t="s">
        <v>1265</v>
      </c>
      <c r="L268" s="271" t="s">
        <v>1296</v>
      </c>
    </row>
    <row r="269" spans="11:12" ht="15.75" hidden="1" x14ac:dyDescent="0.25">
      <c r="K269" s="270" t="s">
        <v>1266</v>
      </c>
      <c r="L269" s="271" t="s">
        <v>1297</v>
      </c>
    </row>
    <row r="270" spans="11:12" ht="15.75" hidden="1" x14ac:dyDescent="0.2">
      <c r="K270" s="292" t="s">
        <v>1267</v>
      </c>
      <c r="L270" s="271" t="s">
        <v>354</v>
      </c>
    </row>
    <row r="271" spans="11:12" ht="15.75" hidden="1" x14ac:dyDescent="0.25">
      <c r="K271" s="270" t="s">
        <v>396</v>
      </c>
      <c r="L271" s="271" t="s">
        <v>386</v>
      </c>
    </row>
    <row r="272" spans="11:12" ht="15.75" hidden="1" x14ac:dyDescent="0.25">
      <c r="K272" s="270" t="s">
        <v>1268</v>
      </c>
      <c r="L272" s="271" t="s">
        <v>1298</v>
      </c>
    </row>
    <row r="273" spans="11:12" ht="15.75" hidden="1" x14ac:dyDescent="0.25">
      <c r="K273" s="270" t="s">
        <v>1269</v>
      </c>
      <c r="L273" s="271" t="s">
        <v>384</v>
      </c>
    </row>
    <row r="274" spans="11:12" ht="15.75" hidden="1" x14ac:dyDescent="0.25">
      <c r="K274" s="270" t="s">
        <v>1270</v>
      </c>
      <c r="L274" s="271" t="s">
        <v>340</v>
      </c>
    </row>
    <row r="275" spans="11:12" ht="15.75" hidden="1" x14ac:dyDescent="0.25">
      <c r="K275" s="270" t="s">
        <v>371</v>
      </c>
      <c r="L275" s="291" t="s">
        <v>1299</v>
      </c>
    </row>
    <row r="276" spans="11:12" ht="15.75" hidden="1" x14ac:dyDescent="0.25">
      <c r="K276" s="270" t="s">
        <v>1271</v>
      </c>
    </row>
    <row r="277" spans="11:12" ht="15.75" hidden="1" x14ac:dyDescent="0.25">
      <c r="K277" s="270" t="s">
        <v>1272</v>
      </c>
    </row>
    <row r="278" spans="11:12" ht="15.75" hidden="1" x14ac:dyDescent="0.25">
      <c r="K278" s="270" t="s">
        <v>1273</v>
      </c>
    </row>
    <row r="279" spans="11:12" ht="15.75" hidden="1" x14ac:dyDescent="0.25">
      <c r="K279" s="270" t="s">
        <v>336</v>
      </c>
    </row>
    <row r="280" spans="11:12" ht="15.75" hidden="1" x14ac:dyDescent="0.25">
      <c r="K280" s="270" t="s">
        <v>1274</v>
      </c>
    </row>
    <row r="281" spans="11:12" ht="15.75" hidden="1" x14ac:dyDescent="0.25">
      <c r="K281" s="270" t="s">
        <v>1275</v>
      </c>
    </row>
    <row r="282" spans="11:12" ht="15.75" hidden="1" x14ac:dyDescent="0.25">
      <c r="K282" s="270" t="s">
        <v>350</v>
      </c>
    </row>
    <row r="283" spans="11:12" ht="15.75" hidden="1" x14ac:dyDescent="0.25">
      <c r="K283" s="270" t="s">
        <v>1276</v>
      </c>
    </row>
    <row r="284" spans="11:12" ht="15.75" hidden="1" x14ac:dyDescent="0.25">
      <c r="K284" s="270" t="s">
        <v>1277</v>
      </c>
    </row>
    <row r="285" spans="11:12" ht="15.75" hidden="1" x14ac:dyDescent="0.25">
      <c r="K285" s="270" t="s">
        <v>1278</v>
      </c>
    </row>
    <row r="286" spans="11:12" ht="15.75" hidden="1" x14ac:dyDescent="0.25">
      <c r="K286" s="270" t="s">
        <v>1279</v>
      </c>
    </row>
    <row r="287" spans="11:12" ht="15.75" hidden="1" x14ac:dyDescent="0.25">
      <c r="K287" s="270" t="s">
        <v>1280</v>
      </c>
    </row>
    <row r="288" spans="11:12" ht="15.75" hidden="1" x14ac:dyDescent="0.25">
      <c r="K288" s="270" t="s">
        <v>1281</v>
      </c>
    </row>
    <row r="289" spans="1:18" s="271" customFormat="1" ht="15.75" hidden="1" x14ac:dyDescent="0.25">
      <c r="A289" s="268"/>
      <c r="B289" s="268"/>
      <c r="C289" s="268"/>
      <c r="D289" s="268"/>
      <c r="E289" s="268"/>
      <c r="F289" s="268"/>
      <c r="G289" s="269"/>
      <c r="H289" s="252"/>
      <c r="I289" s="252"/>
      <c r="J289" s="252"/>
      <c r="K289" s="270" t="s">
        <v>1282</v>
      </c>
      <c r="M289" s="252"/>
      <c r="N289" s="252"/>
      <c r="O289" s="252"/>
      <c r="P289" s="252"/>
      <c r="Q289" s="252"/>
      <c r="R289" s="252"/>
    </row>
    <row r="290" spans="1:18" s="271" customFormat="1" ht="15.75" hidden="1" x14ac:dyDescent="0.2">
      <c r="A290" s="268"/>
      <c r="B290" s="268"/>
      <c r="C290" s="268"/>
      <c r="D290" s="268"/>
      <c r="E290" s="268"/>
      <c r="F290" s="268"/>
      <c r="G290" s="269"/>
      <c r="H290" s="252"/>
      <c r="I290" s="252"/>
      <c r="J290" s="252"/>
      <c r="K290" s="292" t="s">
        <v>1283</v>
      </c>
      <c r="M290" s="252"/>
      <c r="N290" s="252"/>
      <c r="O290" s="252"/>
      <c r="P290" s="252"/>
      <c r="Q290" s="252"/>
      <c r="R290" s="252"/>
    </row>
    <row r="291" spans="1:18" s="271" customFormat="1" ht="15.75" hidden="1" x14ac:dyDescent="0.25">
      <c r="A291" s="268"/>
      <c r="B291" s="268"/>
      <c r="C291" s="268"/>
      <c r="D291" s="268"/>
      <c r="E291" s="268"/>
      <c r="F291" s="268"/>
      <c r="G291" s="269"/>
      <c r="H291" s="252"/>
      <c r="I291" s="252"/>
      <c r="J291" s="252"/>
      <c r="K291" s="270" t="s">
        <v>1284</v>
      </c>
      <c r="M291" s="252"/>
      <c r="N291" s="252"/>
      <c r="O291" s="252"/>
      <c r="P291" s="252"/>
      <c r="Q291" s="252"/>
      <c r="R291" s="252"/>
    </row>
    <row r="292" spans="1:18" s="271" customFormat="1" ht="15.75" hidden="1" x14ac:dyDescent="0.25">
      <c r="A292" s="268"/>
      <c r="B292" s="268"/>
      <c r="C292" s="268"/>
      <c r="D292" s="268"/>
      <c r="E292" s="268"/>
      <c r="F292" s="268"/>
      <c r="G292" s="269"/>
      <c r="H292" s="252"/>
      <c r="I292" s="252"/>
      <c r="J292" s="252"/>
      <c r="K292" s="270" t="s">
        <v>337</v>
      </c>
      <c r="M292" s="252"/>
      <c r="N292" s="252"/>
      <c r="O292" s="252"/>
      <c r="P292" s="252"/>
      <c r="Q292" s="252"/>
      <c r="R292" s="252"/>
    </row>
    <row r="293" spans="1:18" s="271" customFormat="1" ht="15.75" hidden="1" x14ac:dyDescent="0.25">
      <c r="A293" s="268"/>
      <c r="B293" s="268"/>
      <c r="C293" s="268"/>
      <c r="D293" s="268"/>
      <c r="E293" s="268"/>
      <c r="F293" s="268"/>
      <c r="G293" s="269"/>
      <c r="H293" s="252"/>
      <c r="I293" s="252"/>
      <c r="J293" s="252"/>
      <c r="K293" s="270" t="s">
        <v>1285</v>
      </c>
      <c r="M293" s="252"/>
      <c r="N293" s="252"/>
      <c r="O293" s="252"/>
      <c r="P293" s="252"/>
      <c r="Q293" s="252"/>
      <c r="R293" s="252"/>
    </row>
    <row r="294" spans="1:18" s="271" customFormat="1" ht="15.75" hidden="1" x14ac:dyDescent="0.25">
      <c r="A294" s="268"/>
      <c r="B294" s="268"/>
      <c r="C294" s="268"/>
      <c r="D294" s="268"/>
      <c r="E294" s="268"/>
      <c r="F294" s="268"/>
      <c r="G294" s="269"/>
      <c r="H294" s="252"/>
      <c r="I294" s="252"/>
      <c r="J294" s="252"/>
      <c r="K294" s="270" t="s">
        <v>1286</v>
      </c>
      <c r="M294" s="252"/>
      <c r="N294" s="252"/>
      <c r="O294" s="252"/>
      <c r="P294" s="252"/>
      <c r="Q294" s="252"/>
      <c r="R294" s="252"/>
    </row>
    <row r="295" spans="1:18" s="271" customFormat="1" ht="15.75" hidden="1" x14ac:dyDescent="0.25">
      <c r="A295" s="268"/>
      <c r="B295" s="268"/>
      <c r="C295" s="268"/>
      <c r="D295" s="268"/>
      <c r="E295" s="268"/>
      <c r="F295" s="268"/>
      <c r="G295" s="269"/>
      <c r="H295" s="252"/>
      <c r="I295" s="252"/>
      <c r="J295" s="252"/>
      <c r="K295" s="270" t="s">
        <v>1287</v>
      </c>
      <c r="M295" s="252"/>
      <c r="N295" s="252"/>
      <c r="O295" s="252"/>
      <c r="P295" s="252"/>
      <c r="Q295" s="252"/>
      <c r="R295" s="252"/>
    </row>
    <row r="296" spans="1:18" s="271" customFormat="1" ht="15.75" hidden="1" x14ac:dyDescent="0.25">
      <c r="A296" s="268"/>
      <c r="B296" s="268"/>
      <c r="C296" s="268"/>
      <c r="D296" s="268"/>
      <c r="E296" s="268"/>
      <c r="F296" s="268"/>
      <c r="G296" s="269"/>
      <c r="H296" s="252"/>
      <c r="I296" s="252"/>
      <c r="J296" s="252"/>
      <c r="K296" s="270" t="s">
        <v>1288</v>
      </c>
      <c r="M296" s="252"/>
      <c r="N296" s="252"/>
      <c r="O296" s="252"/>
      <c r="P296" s="252"/>
      <c r="Q296" s="252"/>
      <c r="R296" s="252"/>
    </row>
    <row r="297" spans="1:18" s="271" customFormat="1" ht="15.75" hidden="1" x14ac:dyDescent="0.25">
      <c r="A297" s="268"/>
      <c r="B297" s="268"/>
      <c r="C297" s="268"/>
      <c r="D297" s="268"/>
      <c r="E297" s="268"/>
      <c r="F297" s="268"/>
      <c r="G297" s="269"/>
      <c r="H297" s="252"/>
      <c r="I297" s="252"/>
      <c r="J297" s="252"/>
      <c r="K297" s="270" t="s">
        <v>1289</v>
      </c>
      <c r="M297" s="252"/>
      <c r="N297" s="252"/>
      <c r="O297" s="252"/>
      <c r="P297" s="252"/>
      <c r="Q297" s="252"/>
      <c r="R297" s="252"/>
    </row>
    <row r="298" spans="1:18" s="271" customFormat="1" ht="15.75" hidden="1" x14ac:dyDescent="0.25">
      <c r="A298" s="268"/>
      <c r="B298" s="268"/>
      <c r="C298" s="268"/>
      <c r="D298" s="268"/>
      <c r="E298" s="268"/>
      <c r="F298" s="268"/>
      <c r="G298" s="269"/>
      <c r="H298" s="252"/>
      <c r="I298" s="252"/>
      <c r="J298" s="252"/>
      <c r="K298" s="270" t="s">
        <v>1290</v>
      </c>
      <c r="M298" s="252"/>
      <c r="N298" s="252"/>
      <c r="O298" s="252"/>
      <c r="P298" s="252"/>
      <c r="Q298" s="252"/>
      <c r="R298" s="252"/>
    </row>
    <row r="299" spans="1:18" s="271" customFormat="1" ht="15.75" hidden="1" x14ac:dyDescent="0.25">
      <c r="A299" s="268"/>
      <c r="B299" s="268"/>
      <c r="C299" s="268"/>
      <c r="D299" s="268"/>
      <c r="E299" s="268"/>
      <c r="F299" s="268"/>
      <c r="G299" s="269"/>
      <c r="H299" s="252"/>
      <c r="I299" s="252"/>
      <c r="J299" s="252"/>
      <c r="K299" s="270" t="s">
        <v>1291</v>
      </c>
      <c r="M299" s="252"/>
      <c r="N299" s="252"/>
      <c r="O299" s="252"/>
      <c r="P299" s="252"/>
      <c r="Q299" s="252"/>
      <c r="R299" s="252"/>
    </row>
    <row r="300" spans="1:18" s="271" customFormat="1" ht="15.75" hidden="1" x14ac:dyDescent="0.25">
      <c r="A300" s="268"/>
      <c r="B300" s="268"/>
      <c r="C300" s="268"/>
      <c r="D300" s="268"/>
      <c r="E300" s="268"/>
      <c r="F300" s="268"/>
      <c r="G300" s="269"/>
      <c r="H300" s="252"/>
      <c r="I300" s="252"/>
      <c r="J300" s="252"/>
      <c r="K300" s="270" t="s">
        <v>1292</v>
      </c>
      <c r="M300" s="252"/>
      <c r="N300" s="252"/>
      <c r="O300" s="252"/>
      <c r="P300" s="252"/>
      <c r="Q300" s="252"/>
      <c r="R300" s="252"/>
    </row>
    <row r="301" spans="1:18" s="271" customFormat="1" ht="15.75" hidden="1" x14ac:dyDescent="0.25">
      <c r="A301" s="268"/>
      <c r="B301" s="268"/>
      <c r="C301" s="268"/>
      <c r="D301" s="268"/>
      <c r="E301" s="268"/>
      <c r="F301" s="268"/>
      <c r="G301" s="269"/>
      <c r="H301" s="252"/>
      <c r="I301" s="252"/>
      <c r="J301" s="252"/>
      <c r="K301" s="270" t="s">
        <v>400</v>
      </c>
      <c r="M301" s="252"/>
      <c r="N301" s="252"/>
      <c r="O301" s="252"/>
      <c r="P301" s="252"/>
      <c r="Q301" s="252"/>
      <c r="R301" s="252"/>
    </row>
    <row r="302" spans="1:18" s="271" customFormat="1" ht="15.75" hidden="1" x14ac:dyDescent="0.25">
      <c r="A302" s="268"/>
      <c r="B302" s="268"/>
      <c r="C302" s="268"/>
      <c r="D302" s="268"/>
      <c r="E302" s="268"/>
      <c r="F302" s="268"/>
      <c r="G302" s="269"/>
      <c r="H302" s="252"/>
      <c r="I302" s="252"/>
      <c r="J302" s="252"/>
      <c r="K302" s="270" t="s">
        <v>1293</v>
      </c>
      <c r="M302" s="252"/>
      <c r="N302" s="252"/>
      <c r="O302" s="252"/>
      <c r="P302" s="252"/>
      <c r="Q302" s="252"/>
      <c r="R302" s="252"/>
    </row>
    <row r="303" spans="1:18" s="271" customFormat="1" ht="15.75" hidden="1" x14ac:dyDescent="0.25">
      <c r="A303" s="268"/>
      <c r="B303" s="268"/>
      <c r="C303" s="268"/>
      <c r="D303" s="268"/>
      <c r="E303" s="268"/>
      <c r="F303" s="268"/>
      <c r="G303" s="269"/>
      <c r="H303" s="252"/>
      <c r="I303" s="252"/>
      <c r="J303" s="252"/>
      <c r="K303" s="270" t="s">
        <v>383</v>
      </c>
      <c r="M303" s="252"/>
      <c r="N303" s="252"/>
      <c r="O303" s="252"/>
      <c r="P303" s="252"/>
      <c r="Q303" s="252"/>
      <c r="R303" s="252"/>
    </row>
    <row r="304" spans="1:18" s="271" customFormat="1" ht="15.75" hidden="1" x14ac:dyDescent="0.25">
      <c r="A304" s="268"/>
      <c r="B304" s="268"/>
      <c r="C304" s="268"/>
      <c r="D304" s="268"/>
      <c r="E304" s="268"/>
      <c r="F304" s="268"/>
      <c r="G304" s="269"/>
      <c r="H304" s="252"/>
      <c r="I304" s="252"/>
      <c r="J304" s="252"/>
      <c r="K304" s="270" t="s">
        <v>332</v>
      </c>
      <c r="M304" s="252"/>
      <c r="N304" s="252"/>
      <c r="O304" s="252"/>
      <c r="P304" s="252"/>
      <c r="Q304" s="252"/>
      <c r="R304" s="252"/>
    </row>
    <row r="305" spans="1:18" s="271" customFormat="1" ht="15.75" hidden="1" x14ac:dyDescent="0.25">
      <c r="A305" s="268"/>
      <c r="B305" s="268"/>
      <c r="C305" s="268"/>
      <c r="D305" s="268"/>
      <c r="E305" s="268"/>
      <c r="F305" s="268"/>
      <c r="G305" s="269"/>
      <c r="H305" s="252"/>
      <c r="I305" s="252"/>
      <c r="J305" s="252"/>
      <c r="K305" s="270" t="s">
        <v>385</v>
      </c>
      <c r="M305" s="252"/>
      <c r="N305" s="252"/>
      <c r="O305" s="252"/>
      <c r="P305" s="252"/>
      <c r="Q305" s="252"/>
      <c r="R305" s="252"/>
    </row>
    <row r="306" spans="1:18" s="271" customFormat="1" ht="15.75" hidden="1" x14ac:dyDescent="0.25">
      <c r="A306" s="268"/>
      <c r="B306" s="268"/>
      <c r="C306" s="268"/>
      <c r="D306" s="268"/>
      <c r="E306" s="268"/>
      <c r="F306" s="268"/>
      <c r="G306" s="269"/>
      <c r="H306" s="252"/>
      <c r="I306" s="252"/>
      <c r="J306" s="252"/>
      <c r="K306" s="270" t="s">
        <v>1294</v>
      </c>
      <c r="M306" s="252"/>
      <c r="N306" s="252"/>
      <c r="O306" s="252"/>
      <c r="P306" s="252"/>
      <c r="Q306" s="252"/>
      <c r="R306" s="252"/>
    </row>
    <row r="307" spans="1:18" s="271" customFormat="1" ht="15.75" hidden="1" x14ac:dyDescent="0.25">
      <c r="A307" s="268"/>
      <c r="B307" s="268"/>
      <c r="C307" s="268"/>
      <c r="D307" s="268"/>
      <c r="E307" s="268"/>
      <c r="F307" s="268"/>
      <c r="G307" s="269"/>
      <c r="H307" s="252"/>
      <c r="I307" s="252"/>
      <c r="J307" s="252"/>
      <c r="K307" s="270" t="s">
        <v>1295</v>
      </c>
      <c r="M307" s="252"/>
      <c r="N307" s="252"/>
      <c r="O307" s="252"/>
      <c r="P307" s="252"/>
      <c r="Q307" s="252"/>
      <c r="R307" s="252"/>
    </row>
    <row r="308" spans="1:18" s="271" customFormat="1" ht="15.75" hidden="1" x14ac:dyDescent="0.25">
      <c r="A308" s="268"/>
      <c r="B308" s="268"/>
      <c r="C308" s="268"/>
      <c r="D308" s="268"/>
      <c r="E308" s="268"/>
      <c r="F308" s="268"/>
      <c r="G308" s="269"/>
      <c r="H308" s="252"/>
      <c r="I308" s="252"/>
      <c r="J308" s="252"/>
      <c r="K308" s="270" t="s">
        <v>1296</v>
      </c>
      <c r="M308" s="252"/>
      <c r="N308" s="252"/>
      <c r="O308" s="252"/>
      <c r="P308" s="252"/>
      <c r="Q308" s="252"/>
      <c r="R308" s="252"/>
    </row>
    <row r="309" spans="1:18" s="271" customFormat="1" ht="15.75" hidden="1" x14ac:dyDescent="0.25">
      <c r="A309" s="268"/>
      <c r="B309" s="268"/>
      <c r="C309" s="268"/>
      <c r="D309" s="268"/>
      <c r="E309" s="268"/>
      <c r="F309" s="268"/>
      <c r="G309" s="269"/>
      <c r="H309" s="252"/>
      <c r="I309" s="252"/>
      <c r="J309" s="252"/>
      <c r="K309" s="270" t="s">
        <v>1297</v>
      </c>
      <c r="M309" s="252"/>
      <c r="N309" s="252"/>
      <c r="O309" s="252"/>
      <c r="P309" s="252"/>
      <c r="Q309" s="252"/>
      <c r="R309" s="252"/>
    </row>
    <row r="310" spans="1:18" s="271" customFormat="1" ht="15.75" hidden="1" x14ac:dyDescent="0.25">
      <c r="A310" s="268"/>
      <c r="B310" s="268"/>
      <c r="C310" s="268"/>
      <c r="D310" s="268"/>
      <c r="E310" s="268"/>
      <c r="F310" s="268"/>
      <c r="G310" s="269"/>
      <c r="H310" s="252"/>
      <c r="I310" s="252"/>
      <c r="J310" s="252"/>
      <c r="K310" s="270" t="s">
        <v>354</v>
      </c>
      <c r="M310" s="252"/>
      <c r="N310" s="252"/>
      <c r="O310" s="252"/>
      <c r="P310" s="252"/>
      <c r="Q310" s="252"/>
      <c r="R310" s="252"/>
    </row>
    <row r="311" spans="1:18" s="271" customFormat="1" ht="15.75" hidden="1" x14ac:dyDescent="0.25">
      <c r="A311" s="268"/>
      <c r="B311" s="268"/>
      <c r="C311" s="268"/>
      <c r="D311" s="268"/>
      <c r="E311" s="268"/>
      <c r="F311" s="268"/>
      <c r="G311" s="269"/>
      <c r="H311" s="252"/>
      <c r="I311" s="252"/>
      <c r="J311" s="252"/>
      <c r="K311" s="270" t="s">
        <v>386</v>
      </c>
      <c r="M311" s="252"/>
      <c r="N311" s="252"/>
      <c r="O311" s="252"/>
      <c r="P311" s="252"/>
      <c r="Q311" s="252"/>
      <c r="R311" s="252"/>
    </row>
    <row r="312" spans="1:18" s="271" customFormat="1" ht="15.75" hidden="1" x14ac:dyDescent="0.25">
      <c r="A312" s="268"/>
      <c r="B312" s="268"/>
      <c r="C312" s="268"/>
      <c r="D312" s="268"/>
      <c r="E312" s="268"/>
      <c r="F312" s="268"/>
      <c r="G312" s="269"/>
      <c r="H312" s="252"/>
      <c r="I312" s="252"/>
      <c r="J312" s="252"/>
      <c r="K312" s="270" t="s">
        <v>1298</v>
      </c>
      <c r="M312" s="252"/>
      <c r="N312" s="252"/>
      <c r="O312" s="252"/>
      <c r="P312" s="252"/>
      <c r="Q312" s="252"/>
      <c r="R312" s="252"/>
    </row>
    <row r="313" spans="1:18" s="271" customFormat="1" ht="15.75" hidden="1" x14ac:dyDescent="0.25">
      <c r="A313" s="268"/>
      <c r="B313" s="268"/>
      <c r="C313" s="268"/>
      <c r="D313" s="268"/>
      <c r="E313" s="268"/>
      <c r="F313" s="268"/>
      <c r="G313" s="269"/>
      <c r="H313" s="252"/>
      <c r="I313" s="252"/>
      <c r="J313" s="252"/>
      <c r="K313" s="270" t="s">
        <v>384</v>
      </c>
      <c r="M313" s="252"/>
      <c r="N313" s="252"/>
      <c r="O313" s="252"/>
      <c r="P313" s="252"/>
      <c r="Q313" s="252"/>
      <c r="R313" s="252"/>
    </row>
    <row r="314" spans="1:18" s="271" customFormat="1" ht="15.75" hidden="1" x14ac:dyDescent="0.25">
      <c r="A314" s="268"/>
      <c r="B314" s="268"/>
      <c r="C314" s="268"/>
      <c r="D314" s="268"/>
      <c r="E314" s="268"/>
      <c r="F314" s="268"/>
      <c r="G314" s="269"/>
      <c r="H314" s="252"/>
      <c r="I314" s="252"/>
      <c r="J314" s="252"/>
      <c r="K314" s="270" t="s">
        <v>340</v>
      </c>
      <c r="M314" s="252"/>
      <c r="N314" s="252"/>
      <c r="O314" s="252"/>
      <c r="P314" s="252"/>
      <c r="Q314" s="252"/>
      <c r="R314" s="252"/>
    </row>
    <row r="315" spans="1:18" s="271" customFormat="1" ht="15.75" hidden="1" x14ac:dyDescent="0.2">
      <c r="A315" s="268"/>
      <c r="B315" s="268"/>
      <c r="C315" s="268"/>
      <c r="D315" s="268"/>
      <c r="E315" s="268"/>
      <c r="F315" s="268"/>
      <c r="G315" s="269"/>
      <c r="H315" s="252"/>
      <c r="I315" s="252"/>
      <c r="J315" s="252"/>
      <c r="K315" s="292" t="s">
        <v>1299</v>
      </c>
      <c r="M315" s="252"/>
      <c r="N315" s="252"/>
      <c r="O315" s="252"/>
      <c r="P315" s="252"/>
      <c r="Q315" s="252"/>
      <c r="R315" s="252"/>
    </row>
    <row r="316" spans="1:18" s="271" customFormat="1" ht="15.75" hidden="1" x14ac:dyDescent="0.25">
      <c r="A316" s="268"/>
      <c r="B316" s="268"/>
      <c r="C316" s="268"/>
      <c r="D316" s="268"/>
      <c r="E316" s="268"/>
      <c r="F316" s="268"/>
      <c r="G316" s="269"/>
      <c r="H316" s="252"/>
      <c r="I316" s="252"/>
      <c r="J316" s="252"/>
      <c r="K316" s="270"/>
      <c r="M316" s="252"/>
      <c r="N316" s="252"/>
      <c r="O316" s="252"/>
      <c r="P316" s="252"/>
      <c r="Q316" s="252"/>
      <c r="R316" s="252"/>
    </row>
    <row r="317" spans="1:18" s="271" customFormat="1" ht="15.75" hidden="1" x14ac:dyDescent="0.25">
      <c r="A317" s="268"/>
      <c r="B317" s="268"/>
      <c r="C317" s="268"/>
      <c r="D317" s="268"/>
      <c r="E317" s="268"/>
      <c r="F317" s="268"/>
      <c r="G317" s="269"/>
      <c r="H317" s="252"/>
      <c r="I317" s="252"/>
      <c r="J317" s="252"/>
      <c r="K317" s="270"/>
      <c r="M317" s="252"/>
      <c r="N317" s="252"/>
      <c r="O317" s="252"/>
      <c r="P317" s="252"/>
      <c r="Q317" s="252"/>
      <c r="R317" s="252"/>
    </row>
    <row r="318" spans="1:18" s="271" customFormat="1" ht="15.75" hidden="1" x14ac:dyDescent="0.25">
      <c r="A318" s="268"/>
      <c r="B318" s="268"/>
      <c r="C318" s="268"/>
      <c r="D318" s="268"/>
      <c r="E318" s="268"/>
      <c r="F318" s="268"/>
      <c r="G318" s="269"/>
      <c r="H318" s="252"/>
      <c r="I318" s="252"/>
      <c r="J318" s="252"/>
      <c r="K318" s="270"/>
      <c r="M318" s="252"/>
      <c r="N318" s="252"/>
      <c r="O318" s="252"/>
      <c r="P318" s="252"/>
      <c r="Q318" s="252"/>
      <c r="R318" s="252"/>
    </row>
    <row r="319" spans="1:18" s="271" customFormat="1" ht="15.75" hidden="1" x14ac:dyDescent="0.25">
      <c r="A319" s="268"/>
      <c r="B319" s="268"/>
      <c r="C319" s="268"/>
      <c r="D319" s="268"/>
      <c r="E319" s="268"/>
      <c r="F319" s="268"/>
      <c r="G319" s="269"/>
      <c r="H319" s="252"/>
      <c r="I319" s="252"/>
      <c r="J319" s="252"/>
      <c r="K319" s="270"/>
      <c r="M319" s="252"/>
      <c r="N319" s="252"/>
      <c r="O319" s="252"/>
      <c r="P319" s="252"/>
      <c r="Q319" s="252"/>
      <c r="R319" s="252"/>
    </row>
    <row r="320" spans="1:18" s="271" customFormat="1" ht="14.25" hidden="1" customHeight="1" x14ac:dyDescent="0.25">
      <c r="A320" s="268"/>
      <c r="B320" s="268"/>
      <c r="C320" s="268"/>
      <c r="D320" s="268"/>
      <c r="E320" s="268"/>
      <c r="F320" s="268"/>
      <c r="G320" s="269"/>
      <c r="H320" s="252"/>
      <c r="I320" s="252"/>
      <c r="J320" s="252"/>
      <c r="K320" s="270"/>
      <c r="M320" s="252"/>
      <c r="N320" s="252"/>
      <c r="O320" s="252"/>
      <c r="P320" s="252"/>
      <c r="Q320" s="252"/>
      <c r="R320" s="252"/>
    </row>
    <row r="321" spans="7:18" s="268" customFormat="1" ht="14.25" hidden="1" customHeight="1" x14ac:dyDescent="0.25">
      <c r="G321" s="269"/>
      <c r="H321" s="252"/>
      <c r="I321" s="252"/>
      <c r="J321" s="252"/>
      <c r="K321" s="270"/>
      <c r="L321" s="271"/>
      <c r="M321" s="252"/>
      <c r="N321" s="252"/>
      <c r="O321" s="252"/>
      <c r="P321" s="252"/>
      <c r="Q321" s="252"/>
      <c r="R321" s="252"/>
    </row>
  </sheetData>
  <sheetProtection algorithmName="SHA-512" hashValue="jHXZCIcdi30v/h/eKyERYJQYgzjGzdrk+WE/oAvhhYBBp9r9eVXsCLRByaCj0Gwa0M54zw+zarz6okwhZCsr+Q==" saltValue="uifk+Qpac7x/f8Ry0tNHYA==" spinCount="100000" sheet="1" formatCells="0" formatColumns="0" formatRows="0" insertRows="0"/>
  <protectedRanges>
    <protectedRange sqref="D7 B7:B8 F7:F8 A10:F11 A12:D12 C18:C19 F18 F15 I12" name="Range1"/>
  </protectedRanges>
  <mergeCells count="21">
    <mergeCell ref="A1:D3"/>
    <mergeCell ref="A4:F4"/>
    <mergeCell ref="A13:F13"/>
    <mergeCell ref="B5:D5"/>
    <mergeCell ref="A6:F6"/>
    <mergeCell ref="B8:D8"/>
    <mergeCell ref="A9:F9"/>
    <mergeCell ref="A16:B16"/>
    <mergeCell ref="A17:F17"/>
    <mergeCell ref="H16:I18"/>
    <mergeCell ref="A18:B18"/>
    <mergeCell ref="D18:E19"/>
    <mergeCell ref="F18:F19"/>
    <mergeCell ref="A19:B19"/>
    <mergeCell ref="B28:F28"/>
    <mergeCell ref="B21:E21"/>
    <mergeCell ref="B22:E22"/>
    <mergeCell ref="B23:E23"/>
    <mergeCell ref="B24:E24"/>
    <mergeCell ref="B25:E25"/>
    <mergeCell ref="B26:E26"/>
  </mergeCells>
  <conditionalFormatting sqref="F21">
    <cfRule type="containsText" dxfId="279" priority="11" operator="containsText" text="Decline">
      <formula>NOT(ISERROR(SEARCH("Decline",F21)))</formula>
    </cfRule>
    <cfRule type="containsText" dxfId="278" priority="12" operator="containsText" text="Ok">
      <formula>NOT(ISERROR(SEARCH("Ok",F21)))</formula>
    </cfRule>
  </conditionalFormatting>
  <conditionalFormatting sqref="F22">
    <cfRule type="containsText" dxfId="277" priority="9" operator="containsText" text="Decline">
      <formula>NOT(ISERROR(SEARCH("Decline",F22)))</formula>
    </cfRule>
    <cfRule type="containsText" dxfId="276" priority="10" operator="containsText" text="Ok">
      <formula>NOT(ISERROR(SEARCH("Ok",F22)))</formula>
    </cfRule>
  </conditionalFormatting>
  <conditionalFormatting sqref="F23">
    <cfRule type="containsText" dxfId="275" priority="7" operator="containsText" text="Decline">
      <formula>NOT(ISERROR(SEARCH("Decline",F23)))</formula>
    </cfRule>
    <cfRule type="containsText" dxfId="274" priority="8" operator="containsText" text="Ok">
      <formula>NOT(ISERROR(SEARCH("Ok",F23)))</formula>
    </cfRule>
  </conditionalFormatting>
  <conditionalFormatting sqref="F24">
    <cfRule type="containsText" dxfId="273" priority="5" operator="containsText" text="Decline">
      <formula>NOT(ISERROR(SEARCH("Decline",F24)))</formula>
    </cfRule>
    <cfRule type="containsText" dxfId="272" priority="6" operator="containsText" text="Ok">
      <formula>NOT(ISERROR(SEARCH("Ok",F24)))</formula>
    </cfRule>
  </conditionalFormatting>
  <conditionalFormatting sqref="F25">
    <cfRule type="containsText" dxfId="271" priority="3" operator="containsText" text="Decline">
      <formula>NOT(ISERROR(SEARCH("Decline",F25)))</formula>
    </cfRule>
    <cfRule type="containsText" dxfId="270" priority="4" operator="containsText" text="Ok">
      <formula>NOT(ISERROR(SEARCH("Ok",F25)))</formula>
    </cfRule>
  </conditionalFormatting>
  <conditionalFormatting sqref="F26">
    <cfRule type="containsText" dxfId="269" priority="1" operator="containsText" text="To be processed by RCH">
      <formula>NOT(ISERROR(SEARCH("To be processed by RCH",F26)))</formula>
    </cfRule>
    <cfRule type="containsText" dxfId="268" priority="2" operator="containsText" text="Ok">
      <formula>NOT(ISERROR(SEARCH("Ok",F26)))</formula>
    </cfRule>
  </conditionalFormatting>
  <dataValidations count="1">
    <dataValidation type="list" allowBlank="1" showInputMessage="1" showErrorMessage="1" sqref="C19 F15" xr:uid="{00000000-0002-0000-2800-000000000000}">
      <formula1>"Yes, No"</formula1>
    </dataValidation>
  </dataValidations>
  <pageMargins left="0.25" right="0.25" top="0.75" bottom="0.75" header="0.3" footer="0.3"/>
  <pageSetup paperSize="9" scale="45" orientation="landscape" horizontalDpi="4294967292" verticalDpi="4294967292" r:id="rId1"/>
  <headerFooter>
    <oddFooter>&amp;C&amp;1#&amp;"Calibri"&amp;10&amp;K000000 For internal use only</oddFooter>
  </headerFooter>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
  <dimension ref="A1:G34"/>
  <sheetViews>
    <sheetView zoomScale="80" zoomScaleNormal="80" workbookViewId="0">
      <selection activeCell="R1" sqref="R1:R1048576"/>
    </sheetView>
  </sheetViews>
  <sheetFormatPr defaultColWidth="9.140625" defaultRowHeight="12.75" x14ac:dyDescent="0.2"/>
  <cols>
    <col min="1" max="1" width="3.140625" style="62" customWidth="1"/>
    <col min="2" max="2" width="50.140625" style="52" bestFit="1" customWidth="1"/>
    <col min="3" max="3" width="24" style="52" customWidth="1"/>
    <col min="4" max="4" width="29" style="52" customWidth="1"/>
    <col min="5" max="5" width="28.85546875" style="52" bestFit="1" customWidth="1"/>
    <col min="6" max="6" width="15.85546875" style="52" bestFit="1" customWidth="1"/>
    <col min="7" max="16384" width="9.140625" style="52"/>
  </cols>
  <sheetData>
    <row r="1" spans="1:7" ht="13.5" thickBot="1" x14ac:dyDescent="0.25">
      <c r="A1" s="1091"/>
      <c r="B1" s="61"/>
      <c r="C1" s="61"/>
      <c r="D1" s="61"/>
      <c r="E1" s="61"/>
      <c r="F1" s="61"/>
      <c r="G1" s="61"/>
    </row>
    <row r="2" spans="1:7" ht="14.25" customHeight="1" x14ac:dyDescent="0.2">
      <c r="A2" s="1091"/>
      <c r="B2" s="2141" t="str">
        <f>'Borrower Details'!A2</f>
        <v>Mortgage-Magnus-Unsecured</v>
      </c>
      <c r="C2" s="2152"/>
      <c r="D2" s="2152"/>
      <c r="E2" s="978"/>
      <c r="F2" s="934"/>
      <c r="G2" s="61"/>
    </row>
    <row r="3" spans="1:7" ht="16.5" x14ac:dyDescent="0.2">
      <c r="A3" s="1091"/>
      <c r="B3" s="2142"/>
      <c r="C3" s="2153"/>
      <c r="D3" s="2153"/>
      <c r="E3" s="990" t="s">
        <v>3</v>
      </c>
      <c r="F3" s="991"/>
      <c r="G3" s="61"/>
    </row>
    <row r="4" spans="1:7" ht="14.25" customHeight="1" thickBot="1" x14ac:dyDescent="0.25">
      <c r="A4" s="1091"/>
      <c r="B4" s="2154"/>
      <c r="C4" s="2155"/>
      <c r="D4" s="2155"/>
      <c r="E4" s="992"/>
      <c r="F4" s="993"/>
      <c r="G4" s="61"/>
    </row>
    <row r="5" spans="1:7" ht="20.25" customHeight="1" x14ac:dyDescent="0.2">
      <c r="A5" s="1091"/>
      <c r="B5" s="2228" t="s">
        <v>2501</v>
      </c>
      <c r="C5" s="2229"/>
      <c r="D5" s="2229"/>
      <c r="E5" s="2229"/>
      <c r="F5" s="2229"/>
      <c r="G5" s="61"/>
    </row>
    <row r="6" spans="1:7" ht="20.25" customHeight="1" x14ac:dyDescent="0.2">
      <c r="A6" s="1091"/>
      <c r="B6" s="2223" t="s">
        <v>235</v>
      </c>
      <c r="C6" s="2224"/>
      <c r="D6" s="2225"/>
      <c r="E6" s="2225"/>
      <c r="F6" s="2226"/>
      <c r="G6" s="61"/>
    </row>
    <row r="7" spans="1:7" ht="14.25" customHeight="1" x14ac:dyDescent="0.2">
      <c r="A7" s="1091"/>
      <c r="B7" s="19" t="str">
        <f>'Borrower Details'!A8</f>
        <v>Name of  Main Applicant</v>
      </c>
      <c r="C7" s="2156" t="str">
        <f>'Borrower Details'!B8</f>
        <v>AARBUR</v>
      </c>
      <c r="D7" s="2156"/>
      <c r="E7" s="2156"/>
      <c r="F7" s="2227"/>
      <c r="G7" s="61"/>
    </row>
    <row r="8" spans="1:7" ht="15.75" x14ac:dyDescent="0.2">
      <c r="A8" s="1091"/>
      <c r="B8" s="1092" t="s">
        <v>231</v>
      </c>
      <c r="C8" s="293">
        <f>Financials_Consolidated!C7</f>
        <v>43921</v>
      </c>
      <c r="D8" s="293">
        <f>Financials_Consolidated!D7</f>
        <v>43555</v>
      </c>
      <c r="E8" s="998" t="s">
        <v>238</v>
      </c>
      <c r="F8" s="1093" t="s">
        <v>232</v>
      </c>
      <c r="G8" s="61"/>
    </row>
    <row r="9" spans="1:7" ht="15" x14ac:dyDescent="0.2">
      <c r="A9" s="1091"/>
      <c r="B9" s="1094" t="s">
        <v>40</v>
      </c>
      <c r="C9" s="53">
        <f>Financials_Consolidated!C32</f>
        <v>-7691621.5399999935</v>
      </c>
      <c r="D9" s="53">
        <f>Financials_Consolidated!D32</f>
        <v>-2200432.34</v>
      </c>
      <c r="E9" s="1000"/>
      <c r="F9" s="1095"/>
      <c r="G9" s="1000"/>
    </row>
    <row r="10" spans="1:7" ht="15" x14ac:dyDescent="0.2">
      <c r="A10" s="1091"/>
      <c r="B10" s="1094" t="s">
        <v>9</v>
      </c>
      <c r="C10" s="53">
        <f>Financials_Consolidated!C27+Financials_Consolidated!C28</f>
        <v>1989388</v>
      </c>
      <c r="D10" s="53">
        <f>Financials_Consolidated!D27+Financials_Consolidated!D28</f>
        <v>2287718</v>
      </c>
      <c r="E10" s="1000"/>
      <c r="F10" s="1095"/>
      <c r="G10" s="1000"/>
    </row>
    <row r="11" spans="1:7" ht="15" x14ac:dyDescent="0.2">
      <c r="A11" s="1091"/>
      <c r="B11" s="1094" t="s">
        <v>735</v>
      </c>
      <c r="C11" s="53">
        <f>IF(C10&lt;=C9,C10,C9)</f>
        <v>-7691621.5399999935</v>
      </c>
      <c r="D11" s="53">
        <f>IF(D9&lt;0,D10,IF(D10&lt;=D9,D10,MIN(2/3*D10,D9*2)))</f>
        <v>2287718</v>
      </c>
      <c r="E11" s="1000"/>
      <c r="F11" s="1095"/>
      <c r="G11" s="1000"/>
    </row>
    <row r="12" spans="1:7" ht="15" x14ac:dyDescent="0.2">
      <c r="A12" s="1091"/>
      <c r="B12" s="1094" t="s">
        <v>234</v>
      </c>
      <c r="C12" s="53">
        <f>Financials_Consolidated!C22</f>
        <v>0</v>
      </c>
      <c r="D12" s="53">
        <f>Financials_Consolidated!D22</f>
        <v>0</v>
      </c>
      <c r="E12" s="1000"/>
      <c r="F12" s="1095"/>
      <c r="G12" s="1000"/>
    </row>
    <row r="13" spans="1:7" ht="15" x14ac:dyDescent="0.2">
      <c r="A13" s="1091"/>
      <c r="B13" s="1094" t="s">
        <v>82</v>
      </c>
      <c r="C13" s="53">
        <f>Financials_Consolidated!C23</f>
        <v>0</v>
      </c>
      <c r="D13" s="53">
        <f>Financials_Consolidated!D23</f>
        <v>0</v>
      </c>
      <c r="E13" s="1000"/>
      <c r="F13" s="1095"/>
      <c r="G13" s="1000"/>
    </row>
    <row r="14" spans="1:7" ht="15.75" x14ac:dyDescent="0.2">
      <c r="A14" s="1091"/>
      <c r="B14" s="1094" t="s">
        <v>245</v>
      </c>
      <c r="C14" s="53">
        <f>C9+C11+C12+C13</f>
        <v>-15383243.079999987</v>
      </c>
      <c r="D14" s="53">
        <f>D9+D11+D12+D13</f>
        <v>87285.660000000149</v>
      </c>
      <c r="E14" s="63">
        <f>(C14+D14)/2</f>
        <v>-7647978.7099999934</v>
      </c>
      <c r="F14" s="496">
        <f>IF(D14&lt;=0,E14,(IF((C14-D14)/D14&gt;50%,E14,C14)))</f>
        <v>-15383243.079999987</v>
      </c>
      <c r="G14" s="1000" t="s">
        <v>241</v>
      </c>
    </row>
    <row r="15" spans="1:7" ht="15" x14ac:dyDescent="0.2">
      <c r="A15" s="664"/>
      <c r="B15" s="1096" t="s">
        <v>236</v>
      </c>
      <c r="C15" s="1097"/>
      <c r="D15" s="1097"/>
      <c r="E15" s="1098"/>
      <c r="F15" s="1099"/>
      <c r="G15" s="1100"/>
    </row>
    <row r="16" spans="1:7" ht="15.75" x14ac:dyDescent="0.2">
      <c r="A16" s="664"/>
      <c r="B16" s="1094" t="s">
        <v>246</v>
      </c>
      <c r="C16" s="1"/>
      <c r="D16" s="1"/>
      <c r="E16" s="63">
        <f>(C16+D16)/2</f>
        <v>0</v>
      </c>
      <c r="F16" s="496">
        <f>E16/2</f>
        <v>0</v>
      </c>
      <c r="G16" s="61"/>
    </row>
    <row r="17" spans="1:7" ht="15" x14ac:dyDescent="0.2">
      <c r="A17" s="664"/>
      <c r="B17" s="1094" t="s">
        <v>247</v>
      </c>
      <c r="C17" s="1100"/>
      <c r="D17" s="1098"/>
      <c r="E17" s="1100"/>
      <c r="F17" s="497"/>
      <c r="G17" s="1000" t="s">
        <v>242</v>
      </c>
    </row>
    <row r="18" spans="1:7" ht="15.75" x14ac:dyDescent="0.2">
      <c r="A18" s="1091"/>
      <c r="B18" s="1094" t="s">
        <v>732</v>
      </c>
      <c r="C18" s="1"/>
      <c r="D18" s="1101" t="s">
        <v>734</v>
      </c>
      <c r="E18" s="22">
        <v>0.75</v>
      </c>
      <c r="F18" s="496">
        <f>MIN(C18*E18,C14)</f>
        <v>-15383243.079999987</v>
      </c>
      <c r="G18" s="1000" t="s">
        <v>733</v>
      </c>
    </row>
    <row r="19" spans="1:7" ht="15.75" x14ac:dyDescent="0.2">
      <c r="A19" s="664"/>
      <c r="B19" s="954" t="s">
        <v>248</v>
      </c>
      <c r="C19" s="2">
        <f>F14+F16+F17+F18</f>
        <v>-30766486.159999974</v>
      </c>
      <c r="D19" s="1000"/>
      <c r="E19" s="1098"/>
      <c r="F19" s="1099"/>
      <c r="G19" s="61"/>
    </row>
    <row r="20" spans="1:7" ht="15" x14ac:dyDescent="0.2">
      <c r="A20" s="1091"/>
      <c r="B20" s="1094" t="s">
        <v>202</v>
      </c>
      <c r="C20" s="1">
        <v>180</v>
      </c>
      <c r="D20" s="1000"/>
      <c r="E20" s="1000"/>
      <c r="F20" s="1095"/>
      <c r="G20" s="1000"/>
    </row>
    <row r="21" spans="1:7" ht="15" x14ac:dyDescent="0.2">
      <c r="A21" s="1091"/>
      <c r="B21" s="1094" t="s">
        <v>220</v>
      </c>
      <c r="C21" s="22">
        <v>0.1</v>
      </c>
      <c r="D21" s="1000"/>
      <c r="E21" s="1000"/>
      <c r="F21" s="1095"/>
      <c r="G21" s="1000"/>
    </row>
    <row r="22" spans="1:7" ht="15" x14ac:dyDescent="0.2">
      <c r="A22" s="1091"/>
      <c r="B22" s="1094" t="s">
        <v>221</v>
      </c>
      <c r="C22" s="53">
        <f>ROUND(-PMT(C21/12,C20,100000),0)</f>
        <v>1075</v>
      </c>
      <c r="D22" s="1000"/>
      <c r="E22" s="1000"/>
      <c r="F22" s="1095"/>
      <c r="G22" s="1000"/>
    </row>
    <row r="23" spans="1:7" ht="15" x14ac:dyDescent="0.2">
      <c r="A23" s="1091"/>
      <c r="B23" s="1094" t="s">
        <v>243</v>
      </c>
      <c r="C23" s="22"/>
      <c r="D23" s="1000" t="s">
        <v>244</v>
      </c>
      <c r="E23" s="1000"/>
      <c r="F23" s="1095"/>
      <c r="G23" s="61"/>
    </row>
    <row r="24" spans="1:7" ht="15" x14ac:dyDescent="0.2">
      <c r="A24" s="1091"/>
      <c r="B24" s="1094" t="s">
        <v>223</v>
      </c>
      <c r="C24" s="53">
        <f>C19/12</f>
        <v>-2563873.8466666644</v>
      </c>
      <c r="D24" s="1000"/>
      <c r="E24" s="1000"/>
      <c r="F24" s="1095"/>
      <c r="G24" s="61"/>
    </row>
    <row r="25" spans="1:7" ht="15" x14ac:dyDescent="0.2">
      <c r="A25" s="1091"/>
      <c r="B25" s="1094" t="s">
        <v>224</v>
      </c>
      <c r="C25" s="53">
        <f>C23*C24</f>
        <v>0</v>
      </c>
      <c r="D25" s="1000"/>
      <c r="E25" s="1000"/>
      <c r="F25" s="1095"/>
      <c r="G25" s="61"/>
    </row>
    <row r="26" spans="1:7" ht="15" x14ac:dyDescent="0.2">
      <c r="A26" s="1091"/>
      <c r="B26" s="1094" t="s">
        <v>225</v>
      </c>
      <c r="C26" s="53">
        <f>'EMI Chart'!I43</f>
        <v>96610</v>
      </c>
      <c r="D26" s="1000"/>
      <c r="E26" s="1000"/>
      <c r="F26" s="1095"/>
      <c r="G26" s="61"/>
    </row>
    <row r="27" spans="1:7" ht="15" x14ac:dyDescent="0.2">
      <c r="A27" s="1091"/>
      <c r="B27" s="1094" t="s">
        <v>226</v>
      </c>
      <c r="C27" s="53">
        <f>C25-C26</f>
        <v>-96610</v>
      </c>
      <c r="D27" s="1000"/>
      <c r="E27" s="1000"/>
      <c r="F27" s="1095"/>
      <c r="G27" s="61"/>
    </row>
    <row r="28" spans="1:7" ht="15" x14ac:dyDescent="0.2">
      <c r="A28" s="1091"/>
      <c r="B28" s="1094" t="s">
        <v>227</v>
      </c>
      <c r="C28" s="53">
        <f>C27/C22</f>
        <v>-89.869767441860461</v>
      </c>
      <c r="D28" s="1000"/>
      <c r="E28" s="1000"/>
      <c r="F28" s="1095"/>
      <c r="G28" s="61"/>
    </row>
    <row r="29" spans="1:7" ht="15" x14ac:dyDescent="0.2">
      <c r="A29" s="1091"/>
      <c r="B29" s="1094" t="s">
        <v>239</v>
      </c>
      <c r="C29" s="1"/>
      <c r="D29" s="1000" t="s">
        <v>240</v>
      </c>
      <c r="E29" s="1000"/>
      <c r="F29" s="1095"/>
      <c r="G29" s="61"/>
    </row>
    <row r="30" spans="1:7" ht="15" x14ac:dyDescent="0.2">
      <c r="A30" s="1091"/>
      <c r="B30" s="1094" t="s">
        <v>229</v>
      </c>
      <c r="C30" s="53">
        <f>ROUND(-PMT(C21/12,C20,C29),0)</f>
        <v>0</v>
      </c>
      <c r="D30" s="1000"/>
      <c r="E30" s="1000"/>
      <c r="F30" s="1095"/>
      <c r="G30" s="61"/>
    </row>
    <row r="31" spans="1:7" ht="15.75" thickBot="1" x14ac:dyDescent="0.25">
      <c r="A31" s="1091"/>
      <c r="B31" s="1102" t="s">
        <v>230</v>
      </c>
      <c r="C31" s="498">
        <f>(C30+C26)/C24</f>
        <v>-3.7681261160959337E-2</v>
      </c>
      <c r="D31" s="1103"/>
      <c r="E31" s="1103"/>
      <c r="F31" s="1104"/>
      <c r="G31" s="61"/>
    </row>
    <row r="32" spans="1:7" x14ac:dyDescent="0.2">
      <c r="A32" s="1091"/>
      <c r="B32" s="61"/>
      <c r="C32" s="61"/>
      <c r="D32" s="61"/>
      <c r="E32" s="61"/>
      <c r="F32" s="61"/>
      <c r="G32" s="61"/>
    </row>
    <row r="33" spans="1:7" x14ac:dyDescent="0.2">
      <c r="A33" s="1091"/>
      <c r="B33" s="61"/>
      <c r="C33" s="61"/>
      <c r="D33" s="61"/>
      <c r="E33" s="61"/>
      <c r="F33" s="61"/>
      <c r="G33" s="61"/>
    </row>
    <row r="34" spans="1:7" x14ac:dyDescent="0.2">
      <c r="A34" s="1091"/>
      <c r="B34" s="61"/>
      <c r="C34" s="61"/>
      <c r="D34" s="61"/>
      <c r="E34" s="61"/>
      <c r="F34" s="61"/>
      <c r="G34" s="61"/>
    </row>
  </sheetData>
  <sheetProtection algorithmName="SHA-512" hashValue="M8LoHk/Xe1dTTRKqhAvbjHPPp3nSAYxoK9VTUt23fVANpg5MoOhOYCPCB1t7jTckElJSP+7Z8qgkIYktdm7/ng==" saltValue="3PY8dfXng8yAzqDDQ+5bRg==" spinCount="100000" sheet="1" formatCells="0" formatColumns="0" formatRows="0" insertColumns="0" insertRows="0" insertHyperlinks="0" deleteColumns="0" deleteRows="0" autoFilter="0"/>
  <mergeCells count="4">
    <mergeCell ref="B6:F6"/>
    <mergeCell ref="C7:F7"/>
    <mergeCell ref="B2:D4"/>
    <mergeCell ref="B5:F5"/>
  </mergeCells>
  <pageMargins left="0.7" right="0.7" top="0.75" bottom="0.75" header="0.3" footer="0.3"/>
  <pageSetup paperSize="9" scale="58"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0">
    <pageSetUpPr fitToPage="1"/>
  </sheetPr>
  <dimension ref="B1:WVZ91"/>
  <sheetViews>
    <sheetView showGridLines="0" topLeftCell="E1" zoomScale="80" zoomScaleNormal="80" workbookViewId="0">
      <selection activeCell="R1" sqref="R1:R1048576"/>
    </sheetView>
  </sheetViews>
  <sheetFormatPr defaultColWidth="0" defaultRowHeight="0" customHeight="1" zeroHeight="1" x14ac:dyDescent="0.2"/>
  <cols>
    <col min="1" max="1" width="2.42578125" style="65" customWidth="1"/>
    <col min="2" max="2" width="3.28515625" style="64" customWidth="1"/>
    <col min="3" max="3" width="51.42578125" style="65" customWidth="1"/>
    <col min="4" max="4" width="13.7109375" style="65" customWidth="1"/>
    <col min="5" max="5" width="11.42578125" style="65" customWidth="1"/>
    <col min="6" max="6" width="14.5703125" style="65" customWidth="1"/>
    <col min="7" max="7" width="14.42578125" style="65" customWidth="1"/>
    <col min="8" max="8" width="2.28515625" style="65" customWidth="1"/>
    <col min="9" max="9" width="12.28515625" style="65" customWidth="1"/>
    <col min="10" max="10" width="10.85546875" style="65" customWidth="1"/>
    <col min="11" max="11" width="14" style="65" customWidth="1"/>
    <col min="12" max="12" width="13.85546875" style="65" customWidth="1"/>
    <col min="13" max="13" width="2.28515625" style="65" customWidth="1"/>
    <col min="14" max="14" width="13.140625" style="65" customWidth="1"/>
    <col min="15" max="15" width="10.85546875" style="65" customWidth="1"/>
    <col min="16" max="16" width="13.7109375" style="65" customWidth="1"/>
    <col min="17" max="17" width="14.42578125" style="65" customWidth="1"/>
    <col min="18" max="18" width="6" style="1437" hidden="1" customWidth="1"/>
    <col min="19" max="19" width="10.85546875" style="65" customWidth="1"/>
    <col min="20" max="20" width="9.140625" style="65" customWidth="1"/>
    <col min="21" max="256" width="9.140625" style="65" hidden="1" customWidth="1"/>
    <col min="257" max="257" width="2.42578125" style="65" hidden="1" customWidth="1"/>
    <col min="258" max="258" width="3.28515625" style="65" hidden="1" customWidth="1"/>
    <col min="259" max="259" width="41.7109375" style="65" hidden="1" customWidth="1"/>
    <col min="260" max="260" width="13.7109375" style="65" hidden="1" customWidth="1"/>
    <col min="261" max="261" width="10.85546875" style="65" hidden="1" customWidth="1"/>
    <col min="262" max="262" width="9.28515625" style="65" hidden="1" customWidth="1"/>
    <col min="263" max="263" width="14.42578125" style="65" hidden="1" customWidth="1"/>
    <col min="264" max="264" width="2.28515625" style="65" hidden="1" customWidth="1"/>
    <col min="265" max="266" width="10.28515625" style="65" hidden="1" customWidth="1"/>
    <col min="267" max="267" width="9.28515625" style="65" hidden="1" customWidth="1"/>
    <col min="268" max="268" width="13.85546875" style="65" hidden="1" customWidth="1"/>
    <col min="269" max="269" width="2.28515625" style="65" hidden="1" customWidth="1"/>
    <col min="270" max="271" width="10.42578125" style="65" hidden="1" customWidth="1"/>
    <col min="272" max="272" width="9.28515625" style="65" hidden="1" customWidth="1"/>
    <col min="273" max="273" width="14.42578125" style="65" hidden="1" customWidth="1"/>
    <col min="274" max="274" width="9.140625" style="65" hidden="1" customWidth="1"/>
    <col min="275" max="275" width="0" style="65" hidden="1" customWidth="1"/>
    <col min="276" max="512" width="0" style="65" hidden="1"/>
    <col min="513" max="513" width="2.42578125" style="65" hidden="1" customWidth="1"/>
    <col min="514" max="514" width="3.28515625" style="65" hidden="1" customWidth="1"/>
    <col min="515" max="515" width="41.7109375" style="65" hidden="1" customWidth="1"/>
    <col min="516" max="516" width="13.7109375" style="65" hidden="1" customWidth="1"/>
    <col min="517" max="517" width="10.85546875" style="65" hidden="1" customWidth="1"/>
    <col min="518" max="518" width="9.28515625" style="65" hidden="1" customWidth="1"/>
    <col min="519" max="519" width="14.42578125" style="65" hidden="1" customWidth="1"/>
    <col min="520" max="520" width="2.28515625" style="65" hidden="1" customWidth="1"/>
    <col min="521" max="522" width="10.28515625" style="65" hidden="1" customWidth="1"/>
    <col min="523" max="523" width="9.28515625" style="65" hidden="1" customWidth="1"/>
    <col min="524" max="524" width="13.85546875" style="65" hidden="1" customWidth="1"/>
    <col min="525" max="525" width="2.28515625" style="65" hidden="1" customWidth="1"/>
    <col min="526" max="527" width="10.42578125" style="65" hidden="1" customWidth="1"/>
    <col min="528" max="528" width="9.28515625" style="65" hidden="1" customWidth="1"/>
    <col min="529" max="529" width="14.42578125" style="65" hidden="1" customWidth="1"/>
    <col min="530" max="530" width="9.140625" style="65" hidden="1" customWidth="1"/>
    <col min="531" max="531" width="0" style="65" hidden="1" customWidth="1"/>
    <col min="532" max="768" width="0" style="65" hidden="1"/>
    <col min="769" max="769" width="2.42578125" style="65" hidden="1" customWidth="1"/>
    <col min="770" max="770" width="3.28515625" style="65" hidden="1" customWidth="1"/>
    <col min="771" max="771" width="41.7109375" style="65" hidden="1" customWidth="1"/>
    <col min="772" max="772" width="13.7109375" style="65" hidden="1" customWidth="1"/>
    <col min="773" max="773" width="10.85546875" style="65" hidden="1" customWidth="1"/>
    <col min="774" max="774" width="9.28515625" style="65" hidden="1" customWidth="1"/>
    <col min="775" max="775" width="14.42578125" style="65" hidden="1" customWidth="1"/>
    <col min="776" max="776" width="2.28515625" style="65" hidden="1" customWidth="1"/>
    <col min="777" max="778" width="10.28515625" style="65" hidden="1" customWidth="1"/>
    <col min="779" max="779" width="9.28515625" style="65" hidden="1" customWidth="1"/>
    <col min="780" max="780" width="13.85546875" style="65" hidden="1" customWidth="1"/>
    <col min="781" max="781" width="2.28515625" style="65" hidden="1" customWidth="1"/>
    <col min="782" max="783" width="10.42578125" style="65" hidden="1" customWidth="1"/>
    <col min="784" max="784" width="9.28515625" style="65" hidden="1" customWidth="1"/>
    <col min="785" max="785" width="14.42578125" style="65" hidden="1" customWidth="1"/>
    <col min="786" max="786" width="9.140625" style="65" hidden="1" customWidth="1"/>
    <col min="787" max="787" width="0" style="65" hidden="1" customWidth="1"/>
    <col min="788" max="1024" width="0" style="65" hidden="1"/>
    <col min="1025" max="1025" width="2.42578125" style="65" hidden="1" customWidth="1"/>
    <col min="1026" max="1026" width="3.28515625" style="65" hidden="1" customWidth="1"/>
    <col min="1027" max="1027" width="41.7109375" style="65" hidden="1" customWidth="1"/>
    <col min="1028" max="1028" width="13.7109375" style="65" hidden="1" customWidth="1"/>
    <col min="1029" max="1029" width="10.85546875" style="65" hidden="1" customWidth="1"/>
    <col min="1030" max="1030" width="9.28515625" style="65" hidden="1" customWidth="1"/>
    <col min="1031" max="1031" width="14.42578125" style="65" hidden="1" customWidth="1"/>
    <col min="1032" max="1032" width="2.28515625" style="65" hidden="1" customWidth="1"/>
    <col min="1033" max="1034" width="10.28515625" style="65" hidden="1" customWidth="1"/>
    <col min="1035" max="1035" width="9.28515625" style="65" hidden="1" customWidth="1"/>
    <col min="1036" max="1036" width="13.85546875" style="65" hidden="1" customWidth="1"/>
    <col min="1037" max="1037" width="2.28515625" style="65" hidden="1" customWidth="1"/>
    <col min="1038" max="1039" width="10.42578125" style="65" hidden="1" customWidth="1"/>
    <col min="1040" max="1040" width="9.28515625" style="65" hidden="1" customWidth="1"/>
    <col min="1041" max="1041" width="14.42578125" style="65" hidden="1" customWidth="1"/>
    <col min="1042" max="1042" width="9.140625" style="65" hidden="1" customWidth="1"/>
    <col min="1043" max="1043" width="0" style="65" hidden="1" customWidth="1"/>
    <col min="1044" max="1280" width="0" style="65" hidden="1"/>
    <col min="1281" max="1281" width="2.42578125" style="65" hidden="1" customWidth="1"/>
    <col min="1282" max="1282" width="3.28515625" style="65" hidden="1" customWidth="1"/>
    <col min="1283" max="1283" width="41.7109375" style="65" hidden="1" customWidth="1"/>
    <col min="1284" max="1284" width="13.7109375" style="65" hidden="1" customWidth="1"/>
    <col min="1285" max="1285" width="10.85546875" style="65" hidden="1" customWidth="1"/>
    <col min="1286" max="1286" width="9.28515625" style="65" hidden="1" customWidth="1"/>
    <col min="1287" max="1287" width="14.42578125" style="65" hidden="1" customWidth="1"/>
    <col min="1288" max="1288" width="2.28515625" style="65" hidden="1" customWidth="1"/>
    <col min="1289" max="1290" width="10.28515625" style="65" hidden="1" customWidth="1"/>
    <col min="1291" max="1291" width="9.28515625" style="65" hidden="1" customWidth="1"/>
    <col min="1292" max="1292" width="13.85546875" style="65" hidden="1" customWidth="1"/>
    <col min="1293" max="1293" width="2.28515625" style="65" hidden="1" customWidth="1"/>
    <col min="1294" max="1295" width="10.42578125" style="65" hidden="1" customWidth="1"/>
    <col min="1296" max="1296" width="9.28515625" style="65" hidden="1" customWidth="1"/>
    <col min="1297" max="1297" width="14.42578125" style="65" hidden="1" customWidth="1"/>
    <col min="1298" max="1298" width="9.140625" style="65" hidden="1" customWidth="1"/>
    <col min="1299" max="1299" width="0" style="65" hidden="1" customWidth="1"/>
    <col min="1300" max="1536" width="0" style="65" hidden="1"/>
    <col min="1537" max="1537" width="2.42578125" style="65" hidden="1" customWidth="1"/>
    <col min="1538" max="1538" width="3.28515625" style="65" hidden="1" customWidth="1"/>
    <col min="1539" max="1539" width="41.7109375" style="65" hidden="1" customWidth="1"/>
    <col min="1540" max="1540" width="13.7109375" style="65" hidden="1" customWidth="1"/>
    <col min="1541" max="1541" width="10.85546875" style="65" hidden="1" customWidth="1"/>
    <col min="1542" max="1542" width="9.28515625" style="65" hidden="1" customWidth="1"/>
    <col min="1543" max="1543" width="14.42578125" style="65" hidden="1" customWidth="1"/>
    <col min="1544" max="1544" width="2.28515625" style="65" hidden="1" customWidth="1"/>
    <col min="1545" max="1546" width="10.28515625" style="65" hidden="1" customWidth="1"/>
    <col min="1547" max="1547" width="9.28515625" style="65" hidden="1" customWidth="1"/>
    <col min="1548" max="1548" width="13.85546875" style="65" hidden="1" customWidth="1"/>
    <col min="1549" max="1549" width="2.28515625" style="65" hidden="1" customWidth="1"/>
    <col min="1550" max="1551" width="10.42578125" style="65" hidden="1" customWidth="1"/>
    <col min="1552" max="1552" width="9.28515625" style="65" hidden="1" customWidth="1"/>
    <col min="1553" max="1553" width="14.42578125" style="65" hidden="1" customWidth="1"/>
    <col min="1554" max="1554" width="9.140625" style="65" hidden="1" customWidth="1"/>
    <col min="1555" max="1555" width="0" style="65" hidden="1" customWidth="1"/>
    <col min="1556" max="1792" width="0" style="65" hidden="1"/>
    <col min="1793" max="1793" width="2.42578125" style="65" hidden="1" customWidth="1"/>
    <col min="1794" max="1794" width="3.28515625" style="65" hidden="1" customWidth="1"/>
    <col min="1795" max="1795" width="41.7109375" style="65" hidden="1" customWidth="1"/>
    <col min="1796" max="1796" width="13.7109375" style="65" hidden="1" customWidth="1"/>
    <col min="1797" max="1797" width="10.85546875" style="65" hidden="1" customWidth="1"/>
    <col min="1798" max="1798" width="9.28515625" style="65" hidden="1" customWidth="1"/>
    <col min="1799" max="1799" width="14.42578125" style="65" hidden="1" customWidth="1"/>
    <col min="1800" max="1800" width="2.28515625" style="65" hidden="1" customWidth="1"/>
    <col min="1801" max="1802" width="10.28515625" style="65" hidden="1" customWidth="1"/>
    <col min="1803" max="1803" width="9.28515625" style="65" hidden="1" customWidth="1"/>
    <col min="1804" max="1804" width="13.85546875" style="65" hidden="1" customWidth="1"/>
    <col min="1805" max="1805" width="2.28515625" style="65" hidden="1" customWidth="1"/>
    <col min="1806" max="1807" width="10.42578125" style="65" hidden="1" customWidth="1"/>
    <col min="1808" max="1808" width="9.28515625" style="65" hidden="1" customWidth="1"/>
    <col min="1809" max="1809" width="14.42578125" style="65" hidden="1" customWidth="1"/>
    <col min="1810" max="1810" width="9.140625" style="65" hidden="1" customWidth="1"/>
    <col min="1811" max="1811" width="0" style="65" hidden="1" customWidth="1"/>
    <col min="1812" max="2048" width="0" style="65" hidden="1"/>
    <col min="2049" max="2049" width="2.42578125" style="65" hidden="1" customWidth="1"/>
    <col min="2050" max="2050" width="3.28515625" style="65" hidden="1" customWidth="1"/>
    <col min="2051" max="2051" width="41.7109375" style="65" hidden="1" customWidth="1"/>
    <col min="2052" max="2052" width="13.7109375" style="65" hidden="1" customWidth="1"/>
    <col min="2053" max="2053" width="10.85546875" style="65" hidden="1" customWidth="1"/>
    <col min="2054" max="2054" width="9.28515625" style="65" hidden="1" customWidth="1"/>
    <col min="2055" max="2055" width="14.42578125" style="65" hidden="1" customWidth="1"/>
    <col min="2056" max="2056" width="2.28515625" style="65" hidden="1" customWidth="1"/>
    <col min="2057" max="2058" width="10.28515625" style="65" hidden="1" customWidth="1"/>
    <col min="2059" max="2059" width="9.28515625" style="65" hidden="1" customWidth="1"/>
    <col min="2060" max="2060" width="13.85546875" style="65" hidden="1" customWidth="1"/>
    <col min="2061" max="2061" width="2.28515625" style="65" hidden="1" customWidth="1"/>
    <col min="2062" max="2063" width="10.42578125" style="65" hidden="1" customWidth="1"/>
    <col min="2064" max="2064" width="9.28515625" style="65" hidden="1" customWidth="1"/>
    <col min="2065" max="2065" width="14.42578125" style="65" hidden="1" customWidth="1"/>
    <col min="2066" max="2066" width="9.140625" style="65" hidden="1" customWidth="1"/>
    <col min="2067" max="2067" width="0" style="65" hidden="1" customWidth="1"/>
    <col min="2068" max="2304" width="0" style="65" hidden="1"/>
    <col min="2305" max="2305" width="2.42578125" style="65" hidden="1" customWidth="1"/>
    <col min="2306" max="2306" width="3.28515625" style="65" hidden="1" customWidth="1"/>
    <col min="2307" max="2307" width="41.7109375" style="65" hidden="1" customWidth="1"/>
    <col min="2308" max="2308" width="13.7109375" style="65" hidden="1" customWidth="1"/>
    <col min="2309" max="2309" width="10.85546875" style="65" hidden="1" customWidth="1"/>
    <col min="2310" max="2310" width="9.28515625" style="65" hidden="1" customWidth="1"/>
    <col min="2311" max="2311" width="14.42578125" style="65" hidden="1" customWidth="1"/>
    <col min="2312" max="2312" width="2.28515625" style="65" hidden="1" customWidth="1"/>
    <col min="2313" max="2314" width="10.28515625" style="65" hidden="1" customWidth="1"/>
    <col min="2315" max="2315" width="9.28515625" style="65" hidden="1" customWidth="1"/>
    <col min="2316" max="2316" width="13.85546875" style="65" hidden="1" customWidth="1"/>
    <col min="2317" max="2317" width="2.28515625" style="65" hidden="1" customWidth="1"/>
    <col min="2318" max="2319" width="10.42578125" style="65" hidden="1" customWidth="1"/>
    <col min="2320" max="2320" width="9.28515625" style="65" hidden="1" customWidth="1"/>
    <col min="2321" max="2321" width="14.42578125" style="65" hidden="1" customWidth="1"/>
    <col min="2322" max="2322" width="9.140625" style="65" hidden="1" customWidth="1"/>
    <col min="2323" max="2323" width="0" style="65" hidden="1" customWidth="1"/>
    <col min="2324" max="2560" width="0" style="65" hidden="1"/>
    <col min="2561" max="2561" width="2.42578125" style="65" hidden="1" customWidth="1"/>
    <col min="2562" max="2562" width="3.28515625" style="65" hidden="1" customWidth="1"/>
    <col min="2563" max="2563" width="41.7109375" style="65" hidden="1" customWidth="1"/>
    <col min="2564" max="2564" width="13.7109375" style="65" hidden="1" customWidth="1"/>
    <col min="2565" max="2565" width="10.85546875" style="65" hidden="1" customWidth="1"/>
    <col min="2566" max="2566" width="9.28515625" style="65" hidden="1" customWidth="1"/>
    <col min="2567" max="2567" width="14.42578125" style="65" hidden="1" customWidth="1"/>
    <col min="2568" max="2568" width="2.28515625" style="65" hidden="1" customWidth="1"/>
    <col min="2569" max="2570" width="10.28515625" style="65" hidden="1" customWidth="1"/>
    <col min="2571" max="2571" width="9.28515625" style="65" hidden="1" customWidth="1"/>
    <col min="2572" max="2572" width="13.85546875" style="65" hidden="1" customWidth="1"/>
    <col min="2573" max="2573" width="2.28515625" style="65" hidden="1" customWidth="1"/>
    <col min="2574" max="2575" width="10.42578125" style="65" hidden="1" customWidth="1"/>
    <col min="2576" max="2576" width="9.28515625" style="65" hidden="1" customWidth="1"/>
    <col min="2577" max="2577" width="14.42578125" style="65" hidden="1" customWidth="1"/>
    <col min="2578" max="2578" width="9.140625" style="65" hidden="1" customWidth="1"/>
    <col min="2579" max="2579" width="0" style="65" hidden="1" customWidth="1"/>
    <col min="2580" max="2816" width="0" style="65" hidden="1"/>
    <col min="2817" max="2817" width="2.42578125" style="65" hidden="1" customWidth="1"/>
    <col min="2818" max="2818" width="3.28515625" style="65" hidden="1" customWidth="1"/>
    <col min="2819" max="2819" width="41.7109375" style="65" hidden="1" customWidth="1"/>
    <col min="2820" max="2820" width="13.7109375" style="65" hidden="1" customWidth="1"/>
    <col min="2821" max="2821" width="10.85546875" style="65" hidden="1" customWidth="1"/>
    <col min="2822" max="2822" width="9.28515625" style="65" hidden="1" customWidth="1"/>
    <col min="2823" max="2823" width="14.42578125" style="65" hidden="1" customWidth="1"/>
    <col min="2824" max="2824" width="2.28515625" style="65" hidden="1" customWidth="1"/>
    <col min="2825" max="2826" width="10.28515625" style="65" hidden="1" customWidth="1"/>
    <col min="2827" max="2827" width="9.28515625" style="65" hidden="1" customWidth="1"/>
    <col min="2828" max="2828" width="13.85546875" style="65" hidden="1" customWidth="1"/>
    <col min="2829" max="2829" width="2.28515625" style="65" hidden="1" customWidth="1"/>
    <col min="2830" max="2831" width="10.42578125" style="65" hidden="1" customWidth="1"/>
    <col min="2832" max="2832" width="9.28515625" style="65" hidden="1" customWidth="1"/>
    <col min="2833" max="2833" width="14.42578125" style="65" hidden="1" customWidth="1"/>
    <col min="2834" max="2834" width="9.140625" style="65" hidden="1" customWidth="1"/>
    <col min="2835" max="2835" width="0" style="65" hidden="1" customWidth="1"/>
    <col min="2836" max="3072" width="0" style="65" hidden="1"/>
    <col min="3073" max="3073" width="2.42578125" style="65" hidden="1" customWidth="1"/>
    <col min="3074" max="3074" width="3.28515625" style="65" hidden="1" customWidth="1"/>
    <col min="3075" max="3075" width="41.7109375" style="65" hidden="1" customWidth="1"/>
    <col min="3076" max="3076" width="13.7109375" style="65" hidden="1" customWidth="1"/>
    <col min="3077" max="3077" width="10.85546875" style="65" hidden="1" customWidth="1"/>
    <col min="3078" max="3078" width="9.28515625" style="65" hidden="1" customWidth="1"/>
    <col min="3079" max="3079" width="14.42578125" style="65" hidden="1" customWidth="1"/>
    <col min="3080" max="3080" width="2.28515625" style="65" hidden="1" customWidth="1"/>
    <col min="3081" max="3082" width="10.28515625" style="65" hidden="1" customWidth="1"/>
    <col min="3083" max="3083" width="9.28515625" style="65" hidden="1" customWidth="1"/>
    <col min="3084" max="3084" width="13.85546875" style="65" hidden="1" customWidth="1"/>
    <col min="3085" max="3085" width="2.28515625" style="65" hidden="1" customWidth="1"/>
    <col min="3086" max="3087" width="10.42578125" style="65" hidden="1" customWidth="1"/>
    <col min="3088" max="3088" width="9.28515625" style="65" hidden="1" customWidth="1"/>
    <col min="3089" max="3089" width="14.42578125" style="65" hidden="1" customWidth="1"/>
    <col min="3090" max="3090" width="9.140625" style="65" hidden="1" customWidth="1"/>
    <col min="3091" max="3091" width="0" style="65" hidden="1" customWidth="1"/>
    <col min="3092" max="3328" width="0" style="65" hidden="1"/>
    <col min="3329" max="3329" width="2.42578125" style="65" hidden="1" customWidth="1"/>
    <col min="3330" max="3330" width="3.28515625" style="65" hidden="1" customWidth="1"/>
    <col min="3331" max="3331" width="41.7109375" style="65" hidden="1" customWidth="1"/>
    <col min="3332" max="3332" width="13.7109375" style="65" hidden="1" customWidth="1"/>
    <col min="3333" max="3333" width="10.85546875" style="65" hidden="1" customWidth="1"/>
    <col min="3334" max="3334" width="9.28515625" style="65" hidden="1" customWidth="1"/>
    <col min="3335" max="3335" width="14.42578125" style="65" hidden="1" customWidth="1"/>
    <col min="3336" max="3336" width="2.28515625" style="65" hidden="1" customWidth="1"/>
    <col min="3337" max="3338" width="10.28515625" style="65" hidden="1" customWidth="1"/>
    <col min="3339" max="3339" width="9.28515625" style="65" hidden="1" customWidth="1"/>
    <col min="3340" max="3340" width="13.85546875" style="65" hidden="1" customWidth="1"/>
    <col min="3341" max="3341" width="2.28515625" style="65" hidden="1" customWidth="1"/>
    <col min="3342" max="3343" width="10.42578125" style="65" hidden="1" customWidth="1"/>
    <col min="3344" max="3344" width="9.28515625" style="65" hidden="1" customWidth="1"/>
    <col min="3345" max="3345" width="14.42578125" style="65" hidden="1" customWidth="1"/>
    <col min="3346" max="3346" width="9.140625" style="65" hidden="1" customWidth="1"/>
    <col min="3347" max="3347" width="0" style="65" hidden="1" customWidth="1"/>
    <col min="3348" max="3584" width="0" style="65" hidden="1"/>
    <col min="3585" max="3585" width="2.42578125" style="65" hidden="1" customWidth="1"/>
    <col min="3586" max="3586" width="3.28515625" style="65" hidden="1" customWidth="1"/>
    <col min="3587" max="3587" width="41.7109375" style="65" hidden="1" customWidth="1"/>
    <col min="3588" max="3588" width="13.7109375" style="65" hidden="1" customWidth="1"/>
    <col min="3589" max="3589" width="10.85546875" style="65" hidden="1" customWidth="1"/>
    <col min="3590" max="3590" width="9.28515625" style="65" hidden="1" customWidth="1"/>
    <col min="3591" max="3591" width="14.42578125" style="65" hidden="1" customWidth="1"/>
    <col min="3592" max="3592" width="2.28515625" style="65" hidden="1" customWidth="1"/>
    <col min="3593" max="3594" width="10.28515625" style="65" hidden="1" customWidth="1"/>
    <col min="3595" max="3595" width="9.28515625" style="65" hidden="1" customWidth="1"/>
    <col min="3596" max="3596" width="13.85546875" style="65" hidden="1" customWidth="1"/>
    <col min="3597" max="3597" width="2.28515625" style="65" hidden="1" customWidth="1"/>
    <col min="3598" max="3599" width="10.42578125" style="65" hidden="1" customWidth="1"/>
    <col min="3600" max="3600" width="9.28515625" style="65" hidden="1" customWidth="1"/>
    <col min="3601" max="3601" width="14.42578125" style="65" hidden="1" customWidth="1"/>
    <col min="3602" max="3602" width="9.140625" style="65" hidden="1" customWidth="1"/>
    <col min="3603" max="3603" width="0" style="65" hidden="1" customWidth="1"/>
    <col min="3604" max="3840" width="0" style="65" hidden="1"/>
    <col min="3841" max="3841" width="2.42578125" style="65" hidden="1" customWidth="1"/>
    <col min="3842" max="3842" width="3.28515625" style="65" hidden="1" customWidth="1"/>
    <col min="3843" max="3843" width="41.7109375" style="65" hidden="1" customWidth="1"/>
    <col min="3844" max="3844" width="13.7109375" style="65" hidden="1" customWidth="1"/>
    <col min="3845" max="3845" width="10.85546875" style="65" hidden="1" customWidth="1"/>
    <col min="3846" max="3846" width="9.28515625" style="65" hidden="1" customWidth="1"/>
    <col min="3847" max="3847" width="14.42578125" style="65" hidden="1" customWidth="1"/>
    <col min="3848" max="3848" width="2.28515625" style="65" hidden="1" customWidth="1"/>
    <col min="3849" max="3850" width="10.28515625" style="65" hidden="1" customWidth="1"/>
    <col min="3851" max="3851" width="9.28515625" style="65" hidden="1" customWidth="1"/>
    <col min="3852" max="3852" width="13.85546875" style="65" hidden="1" customWidth="1"/>
    <col min="3853" max="3853" width="2.28515625" style="65" hidden="1" customWidth="1"/>
    <col min="3854" max="3855" width="10.42578125" style="65" hidden="1" customWidth="1"/>
    <col min="3856" max="3856" width="9.28515625" style="65" hidden="1" customWidth="1"/>
    <col min="3857" max="3857" width="14.42578125" style="65" hidden="1" customWidth="1"/>
    <col min="3858" max="3858" width="9.140625" style="65" hidden="1" customWidth="1"/>
    <col min="3859" max="3859" width="0" style="65" hidden="1" customWidth="1"/>
    <col min="3860" max="4096" width="0" style="65" hidden="1"/>
    <col min="4097" max="4097" width="2.42578125" style="65" hidden="1" customWidth="1"/>
    <col min="4098" max="4098" width="3.28515625" style="65" hidden="1" customWidth="1"/>
    <col min="4099" max="4099" width="41.7109375" style="65" hidden="1" customWidth="1"/>
    <col min="4100" max="4100" width="13.7109375" style="65" hidden="1" customWidth="1"/>
    <col min="4101" max="4101" width="10.85546875" style="65" hidden="1" customWidth="1"/>
    <col min="4102" max="4102" width="9.28515625" style="65" hidden="1" customWidth="1"/>
    <col min="4103" max="4103" width="14.42578125" style="65" hidden="1" customWidth="1"/>
    <col min="4104" max="4104" width="2.28515625" style="65" hidden="1" customWidth="1"/>
    <col min="4105" max="4106" width="10.28515625" style="65" hidden="1" customWidth="1"/>
    <col min="4107" max="4107" width="9.28515625" style="65" hidden="1" customWidth="1"/>
    <col min="4108" max="4108" width="13.85546875" style="65" hidden="1" customWidth="1"/>
    <col min="4109" max="4109" width="2.28515625" style="65" hidden="1" customWidth="1"/>
    <col min="4110" max="4111" width="10.42578125" style="65" hidden="1" customWidth="1"/>
    <col min="4112" max="4112" width="9.28515625" style="65" hidden="1" customWidth="1"/>
    <col min="4113" max="4113" width="14.42578125" style="65" hidden="1" customWidth="1"/>
    <col min="4114" max="4114" width="9.140625" style="65" hidden="1" customWidth="1"/>
    <col min="4115" max="4115" width="0" style="65" hidden="1" customWidth="1"/>
    <col min="4116" max="4352" width="0" style="65" hidden="1"/>
    <col min="4353" max="4353" width="2.42578125" style="65" hidden="1" customWidth="1"/>
    <col min="4354" max="4354" width="3.28515625" style="65" hidden="1" customWidth="1"/>
    <col min="4355" max="4355" width="41.7109375" style="65" hidden="1" customWidth="1"/>
    <col min="4356" max="4356" width="13.7109375" style="65" hidden="1" customWidth="1"/>
    <col min="4357" max="4357" width="10.85546875" style="65" hidden="1" customWidth="1"/>
    <col min="4358" max="4358" width="9.28515625" style="65" hidden="1" customWidth="1"/>
    <col min="4359" max="4359" width="14.42578125" style="65" hidden="1" customWidth="1"/>
    <col min="4360" max="4360" width="2.28515625" style="65" hidden="1" customWidth="1"/>
    <col min="4361" max="4362" width="10.28515625" style="65" hidden="1" customWidth="1"/>
    <col min="4363" max="4363" width="9.28515625" style="65" hidden="1" customWidth="1"/>
    <col min="4364" max="4364" width="13.85546875" style="65" hidden="1" customWidth="1"/>
    <col min="4365" max="4365" width="2.28515625" style="65" hidden="1" customWidth="1"/>
    <col min="4366" max="4367" width="10.42578125" style="65" hidden="1" customWidth="1"/>
    <col min="4368" max="4368" width="9.28515625" style="65" hidden="1" customWidth="1"/>
    <col min="4369" max="4369" width="14.42578125" style="65" hidden="1" customWidth="1"/>
    <col min="4370" max="4370" width="9.140625" style="65" hidden="1" customWidth="1"/>
    <col min="4371" max="4371" width="0" style="65" hidden="1" customWidth="1"/>
    <col min="4372" max="4608" width="0" style="65" hidden="1"/>
    <col min="4609" max="4609" width="2.42578125" style="65" hidden="1" customWidth="1"/>
    <col min="4610" max="4610" width="3.28515625" style="65" hidden="1" customWidth="1"/>
    <col min="4611" max="4611" width="41.7109375" style="65" hidden="1" customWidth="1"/>
    <col min="4612" max="4612" width="13.7109375" style="65" hidden="1" customWidth="1"/>
    <col min="4613" max="4613" width="10.85546875" style="65" hidden="1" customWidth="1"/>
    <col min="4614" max="4614" width="9.28515625" style="65" hidden="1" customWidth="1"/>
    <col min="4615" max="4615" width="14.42578125" style="65" hidden="1" customWidth="1"/>
    <col min="4616" max="4616" width="2.28515625" style="65" hidden="1" customWidth="1"/>
    <col min="4617" max="4618" width="10.28515625" style="65" hidden="1" customWidth="1"/>
    <col min="4619" max="4619" width="9.28515625" style="65" hidden="1" customWidth="1"/>
    <col min="4620" max="4620" width="13.85546875" style="65" hidden="1" customWidth="1"/>
    <col min="4621" max="4621" width="2.28515625" style="65" hidden="1" customWidth="1"/>
    <col min="4622" max="4623" width="10.42578125" style="65" hidden="1" customWidth="1"/>
    <col min="4624" max="4624" width="9.28515625" style="65" hidden="1" customWidth="1"/>
    <col min="4625" max="4625" width="14.42578125" style="65" hidden="1" customWidth="1"/>
    <col min="4626" max="4626" width="9.140625" style="65" hidden="1" customWidth="1"/>
    <col min="4627" max="4627" width="0" style="65" hidden="1" customWidth="1"/>
    <col min="4628" max="4864" width="0" style="65" hidden="1"/>
    <col min="4865" max="4865" width="2.42578125" style="65" hidden="1" customWidth="1"/>
    <col min="4866" max="4866" width="3.28515625" style="65" hidden="1" customWidth="1"/>
    <col min="4867" max="4867" width="41.7109375" style="65" hidden="1" customWidth="1"/>
    <col min="4868" max="4868" width="13.7109375" style="65" hidden="1" customWidth="1"/>
    <col min="4869" max="4869" width="10.85546875" style="65" hidden="1" customWidth="1"/>
    <col min="4870" max="4870" width="9.28515625" style="65" hidden="1" customWidth="1"/>
    <col min="4871" max="4871" width="14.42578125" style="65" hidden="1" customWidth="1"/>
    <col min="4872" max="4872" width="2.28515625" style="65" hidden="1" customWidth="1"/>
    <col min="4873" max="4874" width="10.28515625" style="65" hidden="1" customWidth="1"/>
    <col min="4875" max="4875" width="9.28515625" style="65" hidden="1" customWidth="1"/>
    <col min="4876" max="4876" width="13.85546875" style="65" hidden="1" customWidth="1"/>
    <col min="4877" max="4877" width="2.28515625" style="65" hidden="1" customWidth="1"/>
    <col min="4878" max="4879" width="10.42578125" style="65" hidden="1" customWidth="1"/>
    <col min="4880" max="4880" width="9.28515625" style="65" hidden="1" customWidth="1"/>
    <col min="4881" max="4881" width="14.42578125" style="65" hidden="1" customWidth="1"/>
    <col min="4882" max="4882" width="9.140625" style="65" hidden="1" customWidth="1"/>
    <col min="4883" max="4883" width="0" style="65" hidden="1" customWidth="1"/>
    <col min="4884" max="5120" width="0" style="65" hidden="1"/>
    <col min="5121" max="5121" width="2.42578125" style="65" hidden="1" customWidth="1"/>
    <col min="5122" max="5122" width="3.28515625" style="65" hidden="1" customWidth="1"/>
    <col min="5123" max="5123" width="41.7109375" style="65" hidden="1" customWidth="1"/>
    <col min="5124" max="5124" width="13.7109375" style="65" hidden="1" customWidth="1"/>
    <col min="5125" max="5125" width="10.85546875" style="65" hidden="1" customWidth="1"/>
    <col min="5126" max="5126" width="9.28515625" style="65" hidden="1" customWidth="1"/>
    <col min="5127" max="5127" width="14.42578125" style="65" hidden="1" customWidth="1"/>
    <col min="5128" max="5128" width="2.28515625" style="65" hidden="1" customWidth="1"/>
    <col min="5129" max="5130" width="10.28515625" style="65" hidden="1" customWidth="1"/>
    <col min="5131" max="5131" width="9.28515625" style="65" hidden="1" customWidth="1"/>
    <col min="5132" max="5132" width="13.85546875" style="65" hidden="1" customWidth="1"/>
    <col min="5133" max="5133" width="2.28515625" style="65" hidden="1" customWidth="1"/>
    <col min="5134" max="5135" width="10.42578125" style="65" hidden="1" customWidth="1"/>
    <col min="5136" max="5136" width="9.28515625" style="65" hidden="1" customWidth="1"/>
    <col min="5137" max="5137" width="14.42578125" style="65" hidden="1" customWidth="1"/>
    <col min="5138" max="5138" width="9.140625" style="65" hidden="1" customWidth="1"/>
    <col min="5139" max="5139" width="0" style="65" hidden="1" customWidth="1"/>
    <col min="5140" max="5376" width="0" style="65" hidden="1"/>
    <col min="5377" max="5377" width="2.42578125" style="65" hidden="1" customWidth="1"/>
    <col min="5378" max="5378" width="3.28515625" style="65" hidden="1" customWidth="1"/>
    <col min="5379" max="5379" width="41.7109375" style="65" hidden="1" customWidth="1"/>
    <col min="5380" max="5380" width="13.7109375" style="65" hidden="1" customWidth="1"/>
    <col min="5381" max="5381" width="10.85546875" style="65" hidden="1" customWidth="1"/>
    <col min="5382" max="5382" width="9.28515625" style="65" hidden="1" customWidth="1"/>
    <col min="5383" max="5383" width="14.42578125" style="65" hidden="1" customWidth="1"/>
    <col min="5384" max="5384" width="2.28515625" style="65" hidden="1" customWidth="1"/>
    <col min="5385" max="5386" width="10.28515625" style="65" hidden="1" customWidth="1"/>
    <col min="5387" max="5387" width="9.28515625" style="65" hidden="1" customWidth="1"/>
    <col min="5388" max="5388" width="13.85546875" style="65" hidden="1" customWidth="1"/>
    <col min="5389" max="5389" width="2.28515625" style="65" hidden="1" customWidth="1"/>
    <col min="5390" max="5391" width="10.42578125" style="65" hidden="1" customWidth="1"/>
    <col min="5392" max="5392" width="9.28515625" style="65" hidden="1" customWidth="1"/>
    <col min="5393" max="5393" width="14.42578125" style="65" hidden="1" customWidth="1"/>
    <col min="5394" max="5394" width="9.140625" style="65" hidden="1" customWidth="1"/>
    <col min="5395" max="5395" width="0" style="65" hidden="1" customWidth="1"/>
    <col min="5396" max="5632" width="0" style="65" hidden="1"/>
    <col min="5633" max="5633" width="2.42578125" style="65" hidden="1" customWidth="1"/>
    <col min="5634" max="5634" width="3.28515625" style="65" hidden="1" customWidth="1"/>
    <col min="5635" max="5635" width="41.7109375" style="65" hidden="1" customWidth="1"/>
    <col min="5636" max="5636" width="13.7109375" style="65" hidden="1" customWidth="1"/>
    <col min="5637" max="5637" width="10.85546875" style="65" hidden="1" customWidth="1"/>
    <col min="5638" max="5638" width="9.28515625" style="65" hidden="1" customWidth="1"/>
    <col min="5639" max="5639" width="14.42578125" style="65" hidden="1" customWidth="1"/>
    <col min="5640" max="5640" width="2.28515625" style="65" hidden="1" customWidth="1"/>
    <col min="5641" max="5642" width="10.28515625" style="65" hidden="1" customWidth="1"/>
    <col min="5643" max="5643" width="9.28515625" style="65" hidden="1" customWidth="1"/>
    <col min="5644" max="5644" width="13.85546875" style="65" hidden="1" customWidth="1"/>
    <col min="5645" max="5645" width="2.28515625" style="65" hidden="1" customWidth="1"/>
    <col min="5646" max="5647" width="10.42578125" style="65" hidden="1" customWidth="1"/>
    <col min="5648" max="5648" width="9.28515625" style="65" hidden="1" customWidth="1"/>
    <col min="5649" max="5649" width="14.42578125" style="65" hidden="1" customWidth="1"/>
    <col min="5650" max="5650" width="9.140625" style="65" hidden="1" customWidth="1"/>
    <col min="5651" max="5651" width="0" style="65" hidden="1" customWidth="1"/>
    <col min="5652" max="5888" width="0" style="65" hidden="1"/>
    <col min="5889" max="5889" width="2.42578125" style="65" hidden="1" customWidth="1"/>
    <col min="5890" max="5890" width="3.28515625" style="65" hidden="1" customWidth="1"/>
    <col min="5891" max="5891" width="41.7109375" style="65" hidden="1" customWidth="1"/>
    <col min="5892" max="5892" width="13.7109375" style="65" hidden="1" customWidth="1"/>
    <col min="5893" max="5893" width="10.85546875" style="65" hidden="1" customWidth="1"/>
    <col min="5894" max="5894" width="9.28515625" style="65" hidden="1" customWidth="1"/>
    <col min="5895" max="5895" width="14.42578125" style="65" hidden="1" customWidth="1"/>
    <col min="5896" max="5896" width="2.28515625" style="65" hidden="1" customWidth="1"/>
    <col min="5897" max="5898" width="10.28515625" style="65" hidden="1" customWidth="1"/>
    <col min="5899" max="5899" width="9.28515625" style="65" hidden="1" customWidth="1"/>
    <col min="5900" max="5900" width="13.85546875" style="65" hidden="1" customWidth="1"/>
    <col min="5901" max="5901" width="2.28515625" style="65" hidden="1" customWidth="1"/>
    <col min="5902" max="5903" width="10.42578125" style="65" hidden="1" customWidth="1"/>
    <col min="5904" max="5904" width="9.28515625" style="65" hidden="1" customWidth="1"/>
    <col min="5905" max="5905" width="14.42578125" style="65" hidden="1" customWidth="1"/>
    <col min="5906" max="5906" width="9.140625" style="65" hidden="1" customWidth="1"/>
    <col min="5907" max="5907" width="0" style="65" hidden="1" customWidth="1"/>
    <col min="5908" max="6144" width="0" style="65" hidden="1"/>
    <col min="6145" max="6145" width="2.42578125" style="65" hidden="1" customWidth="1"/>
    <col min="6146" max="6146" width="3.28515625" style="65" hidden="1" customWidth="1"/>
    <col min="6147" max="6147" width="41.7109375" style="65" hidden="1" customWidth="1"/>
    <col min="6148" max="6148" width="13.7109375" style="65" hidden="1" customWidth="1"/>
    <col min="6149" max="6149" width="10.85546875" style="65" hidden="1" customWidth="1"/>
    <col min="6150" max="6150" width="9.28515625" style="65" hidden="1" customWidth="1"/>
    <col min="6151" max="6151" width="14.42578125" style="65" hidden="1" customWidth="1"/>
    <col min="6152" max="6152" width="2.28515625" style="65" hidden="1" customWidth="1"/>
    <col min="6153" max="6154" width="10.28515625" style="65" hidden="1" customWidth="1"/>
    <col min="6155" max="6155" width="9.28515625" style="65" hidden="1" customWidth="1"/>
    <col min="6156" max="6156" width="13.85546875" style="65" hidden="1" customWidth="1"/>
    <col min="6157" max="6157" width="2.28515625" style="65" hidden="1" customWidth="1"/>
    <col min="6158" max="6159" width="10.42578125" style="65" hidden="1" customWidth="1"/>
    <col min="6160" max="6160" width="9.28515625" style="65" hidden="1" customWidth="1"/>
    <col min="6161" max="6161" width="14.42578125" style="65" hidden="1" customWidth="1"/>
    <col min="6162" max="6162" width="9.140625" style="65" hidden="1" customWidth="1"/>
    <col min="6163" max="6163" width="0" style="65" hidden="1" customWidth="1"/>
    <col min="6164" max="6400" width="0" style="65" hidden="1"/>
    <col min="6401" max="6401" width="2.42578125" style="65" hidden="1" customWidth="1"/>
    <col min="6402" max="6402" width="3.28515625" style="65" hidden="1" customWidth="1"/>
    <col min="6403" max="6403" width="41.7109375" style="65" hidden="1" customWidth="1"/>
    <col min="6404" max="6404" width="13.7109375" style="65" hidden="1" customWidth="1"/>
    <col min="6405" max="6405" width="10.85546875" style="65" hidden="1" customWidth="1"/>
    <col min="6406" max="6406" width="9.28515625" style="65" hidden="1" customWidth="1"/>
    <col min="6407" max="6407" width="14.42578125" style="65" hidden="1" customWidth="1"/>
    <col min="6408" max="6408" width="2.28515625" style="65" hidden="1" customWidth="1"/>
    <col min="6409" max="6410" width="10.28515625" style="65" hidden="1" customWidth="1"/>
    <col min="6411" max="6411" width="9.28515625" style="65" hidden="1" customWidth="1"/>
    <col min="6412" max="6412" width="13.85546875" style="65" hidden="1" customWidth="1"/>
    <col min="6413" max="6413" width="2.28515625" style="65" hidden="1" customWidth="1"/>
    <col min="6414" max="6415" width="10.42578125" style="65" hidden="1" customWidth="1"/>
    <col min="6416" max="6416" width="9.28515625" style="65" hidden="1" customWidth="1"/>
    <col min="6417" max="6417" width="14.42578125" style="65" hidden="1" customWidth="1"/>
    <col min="6418" max="6418" width="9.140625" style="65" hidden="1" customWidth="1"/>
    <col min="6419" max="6419" width="0" style="65" hidden="1" customWidth="1"/>
    <col min="6420" max="6656" width="0" style="65" hidden="1"/>
    <col min="6657" max="6657" width="2.42578125" style="65" hidden="1" customWidth="1"/>
    <col min="6658" max="6658" width="3.28515625" style="65" hidden="1" customWidth="1"/>
    <col min="6659" max="6659" width="41.7109375" style="65" hidden="1" customWidth="1"/>
    <col min="6660" max="6660" width="13.7109375" style="65" hidden="1" customWidth="1"/>
    <col min="6661" max="6661" width="10.85546875" style="65" hidden="1" customWidth="1"/>
    <col min="6662" max="6662" width="9.28515625" style="65" hidden="1" customWidth="1"/>
    <col min="6663" max="6663" width="14.42578125" style="65" hidden="1" customWidth="1"/>
    <col min="6664" max="6664" width="2.28515625" style="65" hidden="1" customWidth="1"/>
    <col min="6665" max="6666" width="10.28515625" style="65" hidden="1" customWidth="1"/>
    <col min="6667" max="6667" width="9.28515625" style="65" hidden="1" customWidth="1"/>
    <col min="6668" max="6668" width="13.85546875" style="65" hidden="1" customWidth="1"/>
    <col min="6669" max="6669" width="2.28515625" style="65" hidden="1" customWidth="1"/>
    <col min="6670" max="6671" width="10.42578125" style="65" hidden="1" customWidth="1"/>
    <col min="6672" max="6672" width="9.28515625" style="65" hidden="1" customWidth="1"/>
    <col min="6673" max="6673" width="14.42578125" style="65" hidden="1" customWidth="1"/>
    <col min="6674" max="6674" width="9.140625" style="65" hidden="1" customWidth="1"/>
    <col min="6675" max="6675" width="0" style="65" hidden="1" customWidth="1"/>
    <col min="6676" max="6912" width="0" style="65" hidden="1"/>
    <col min="6913" max="6913" width="2.42578125" style="65" hidden="1" customWidth="1"/>
    <col min="6914" max="6914" width="3.28515625" style="65" hidden="1" customWidth="1"/>
    <col min="6915" max="6915" width="41.7109375" style="65" hidden="1" customWidth="1"/>
    <col min="6916" max="6916" width="13.7109375" style="65" hidden="1" customWidth="1"/>
    <col min="6917" max="6917" width="10.85546875" style="65" hidden="1" customWidth="1"/>
    <col min="6918" max="6918" width="9.28515625" style="65" hidden="1" customWidth="1"/>
    <col min="6919" max="6919" width="14.42578125" style="65" hidden="1" customWidth="1"/>
    <col min="6920" max="6920" width="2.28515625" style="65" hidden="1" customWidth="1"/>
    <col min="6921" max="6922" width="10.28515625" style="65" hidden="1" customWidth="1"/>
    <col min="6923" max="6923" width="9.28515625" style="65" hidden="1" customWidth="1"/>
    <col min="6924" max="6924" width="13.85546875" style="65" hidden="1" customWidth="1"/>
    <col min="6925" max="6925" width="2.28515625" style="65" hidden="1" customWidth="1"/>
    <col min="6926" max="6927" width="10.42578125" style="65" hidden="1" customWidth="1"/>
    <col min="6928" max="6928" width="9.28515625" style="65" hidden="1" customWidth="1"/>
    <col min="6929" max="6929" width="14.42578125" style="65" hidden="1" customWidth="1"/>
    <col min="6930" max="6930" width="9.140625" style="65" hidden="1" customWidth="1"/>
    <col min="6931" max="6931" width="0" style="65" hidden="1" customWidth="1"/>
    <col min="6932" max="7168" width="0" style="65" hidden="1"/>
    <col min="7169" max="7169" width="2.42578125" style="65" hidden="1" customWidth="1"/>
    <col min="7170" max="7170" width="3.28515625" style="65" hidden="1" customWidth="1"/>
    <col min="7171" max="7171" width="41.7109375" style="65" hidden="1" customWidth="1"/>
    <col min="7172" max="7172" width="13.7109375" style="65" hidden="1" customWidth="1"/>
    <col min="7173" max="7173" width="10.85546875" style="65" hidden="1" customWidth="1"/>
    <col min="7174" max="7174" width="9.28515625" style="65" hidden="1" customWidth="1"/>
    <col min="7175" max="7175" width="14.42578125" style="65" hidden="1" customWidth="1"/>
    <col min="7176" max="7176" width="2.28515625" style="65" hidden="1" customWidth="1"/>
    <col min="7177" max="7178" width="10.28515625" style="65" hidden="1" customWidth="1"/>
    <col min="7179" max="7179" width="9.28515625" style="65" hidden="1" customWidth="1"/>
    <col min="7180" max="7180" width="13.85546875" style="65" hidden="1" customWidth="1"/>
    <col min="7181" max="7181" width="2.28515625" style="65" hidden="1" customWidth="1"/>
    <col min="7182" max="7183" width="10.42578125" style="65" hidden="1" customWidth="1"/>
    <col min="7184" max="7184" width="9.28515625" style="65" hidden="1" customWidth="1"/>
    <col min="7185" max="7185" width="14.42578125" style="65" hidden="1" customWidth="1"/>
    <col min="7186" max="7186" width="9.140625" style="65" hidden="1" customWidth="1"/>
    <col min="7187" max="7187" width="0" style="65" hidden="1" customWidth="1"/>
    <col min="7188" max="7424" width="0" style="65" hidden="1"/>
    <col min="7425" max="7425" width="2.42578125" style="65" hidden="1" customWidth="1"/>
    <col min="7426" max="7426" width="3.28515625" style="65" hidden="1" customWidth="1"/>
    <col min="7427" max="7427" width="41.7109375" style="65" hidden="1" customWidth="1"/>
    <col min="7428" max="7428" width="13.7109375" style="65" hidden="1" customWidth="1"/>
    <col min="7429" max="7429" width="10.85546875" style="65" hidden="1" customWidth="1"/>
    <col min="7430" max="7430" width="9.28515625" style="65" hidden="1" customWidth="1"/>
    <col min="7431" max="7431" width="14.42578125" style="65" hidden="1" customWidth="1"/>
    <col min="7432" max="7432" width="2.28515625" style="65" hidden="1" customWidth="1"/>
    <col min="7433" max="7434" width="10.28515625" style="65" hidden="1" customWidth="1"/>
    <col min="7435" max="7435" width="9.28515625" style="65" hidden="1" customWidth="1"/>
    <col min="7436" max="7436" width="13.85546875" style="65" hidden="1" customWidth="1"/>
    <col min="7437" max="7437" width="2.28515625" style="65" hidden="1" customWidth="1"/>
    <col min="7438" max="7439" width="10.42578125" style="65" hidden="1" customWidth="1"/>
    <col min="7440" max="7440" width="9.28515625" style="65" hidden="1" customWidth="1"/>
    <col min="7441" max="7441" width="14.42578125" style="65" hidden="1" customWidth="1"/>
    <col min="7442" max="7442" width="9.140625" style="65" hidden="1" customWidth="1"/>
    <col min="7443" max="7443" width="0" style="65" hidden="1" customWidth="1"/>
    <col min="7444" max="7680" width="0" style="65" hidden="1"/>
    <col min="7681" max="7681" width="2.42578125" style="65" hidden="1" customWidth="1"/>
    <col min="7682" max="7682" width="3.28515625" style="65" hidden="1" customWidth="1"/>
    <col min="7683" max="7683" width="41.7109375" style="65" hidden="1" customWidth="1"/>
    <col min="7684" max="7684" width="13.7109375" style="65" hidden="1" customWidth="1"/>
    <col min="7685" max="7685" width="10.85546875" style="65" hidden="1" customWidth="1"/>
    <col min="7686" max="7686" width="9.28515625" style="65" hidden="1" customWidth="1"/>
    <col min="7687" max="7687" width="14.42578125" style="65" hidden="1" customWidth="1"/>
    <col min="7688" max="7688" width="2.28515625" style="65" hidden="1" customWidth="1"/>
    <col min="7689" max="7690" width="10.28515625" style="65" hidden="1" customWidth="1"/>
    <col min="7691" max="7691" width="9.28515625" style="65" hidden="1" customWidth="1"/>
    <col min="7692" max="7692" width="13.85546875" style="65" hidden="1" customWidth="1"/>
    <col min="7693" max="7693" width="2.28515625" style="65" hidden="1" customWidth="1"/>
    <col min="7694" max="7695" width="10.42578125" style="65" hidden="1" customWidth="1"/>
    <col min="7696" max="7696" width="9.28515625" style="65" hidden="1" customWidth="1"/>
    <col min="7697" max="7697" width="14.42578125" style="65" hidden="1" customWidth="1"/>
    <col min="7698" max="7698" width="9.140625" style="65" hidden="1" customWidth="1"/>
    <col min="7699" max="7699" width="0" style="65" hidden="1" customWidth="1"/>
    <col min="7700" max="7936" width="0" style="65" hidden="1"/>
    <col min="7937" max="7937" width="2.42578125" style="65" hidden="1" customWidth="1"/>
    <col min="7938" max="7938" width="3.28515625" style="65" hidden="1" customWidth="1"/>
    <col min="7939" max="7939" width="41.7109375" style="65" hidden="1" customWidth="1"/>
    <col min="7940" max="7940" width="13.7109375" style="65" hidden="1" customWidth="1"/>
    <col min="7941" max="7941" width="10.85546875" style="65" hidden="1" customWidth="1"/>
    <col min="7942" max="7942" width="9.28515625" style="65" hidden="1" customWidth="1"/>
    <col min="7943" max="7943" width="14.42578125" style="65" hidden="1" customWidth="1"/>
    <col min="7944" max="7944" width="2.28515625" style="65" hidden="1" customWidth="1"/>
    <col min="7945" max="7946" width="10.28515625" style="65" hidden="1" customWidth="1"/>
    <col min="7947" max="7947" width="9.28515625" style="65" hidden="1" customWidth="1"/>
    <col min="7948" max="7948" width="13.85546875" style="65" hidden="1" customWidth="1"/>
    <col min="7949" max="7949" width="2.28515625" style="65" hidden="1" customWidth="1"/>
    <col min="7950" max="7951" width="10.42578125" style="65" hidden="1" customWidth="1"/>
    <col min="7952" max="7952" width="9.28515625" style="65" hidden="1" customWidth="1"/>
    <col min="7953" max="7953" width="14.42578125" style="65" hidden="1" customWidth="1"/>
    <col min="7954" max="7954" width="9.140625" style="65" hidden="1" customWidth="1"/>
    <col min="7955" max="7955" width="0" style="65" hidden="1" customWidth="1"/>
    <col min="7956" max="8192" width="0" style="65" hidden="1"/>
    <col min="8193" max="8193" width="2.42578125" style="65" hidden="1" customWidth="1"/>
    <col min="8194" max="8194" width="3.28515625" style="65" hidden="1" customWidth="1"/>
    <col min="8195" max="8195" width="41.7109375" style="65" hidden="1" customWidth="1"/>
    <col min="8196" max="8196" width="13.7109375" style="65" hidden="1" customWidth="1"/>
    <col min="8197" max="8197" width="10.85546875" style="65" hidden="1" customWidth="1"/>
    <col min="8198" max="8198" width="9.28515625" style="65" hidden="1" customWidth="1"/>
    <col min="8199" max="8199" width="14.42578125" style="65" hidden="1" customWidth="1"/>
    <col min="8200" max="8200" width="2.28515625" style="65" hidden="1" customWidth="1"/>
    <col min="8201" max="8202" width="10.28515625" style="65" hidden="1" customWidth="1"/>
    <col min="8203" max="8203" width="9.28515625" style="65" hidden="1" customWidth="1"/>
    <col min="8204" max="8204" width="13.85546875" style="65" hidden="1" customWidth="1"/>
    <col min="8205" max="8205" width="2.28515625" style="65" hidden="1" customWidth="1"/>
    <col min="8206" max="8207" width="10.42578125" style="65" hidden="1" customWidth="1"/>
    <col min="8208" max="8208" width="9.28515625" style="65" hidden="1" customWidth="1"/>
    <col min="8209" max="8209" width="14.42578125" style="65" hidden="1" customWidth="1"/>
    <col min="8210" max="8210" width="9.140625" style="65" hidden="1" customWidth="1"/>
    <col min="8211" max="8211" width="0" style="65" hidden="1" customWidth="1"/>
    <col min="8212" max="8448" width="0" style="65" hidden="1"/>
    <col min="8449" max="8449" width="2.42578125" style="65" hidden="1" customWidth="1"/>
    <col min="8450" max="8450" width="3.28515625" style="65" hidden="1" customWidth="1"/>
    <col min="8451" max="8451" width="41.7109375" style="65" hidden="1" customWidth="1"/>
    <col min="8452" max="8452" width="13.7109375" style="65" hidden="1" customWidth="1"/>
    <col min="8453" max="8453" width="10.85546875" style="65" hidden="1" customWidth="1"/>
    <col min="8454" max="8454" width="9.28515625" style="65" hidden="1" customWidth="1"/>
    <col min="8455" max="8455" width="14.42578125" style="65" hidden="1" customWidth="1"/>
    <col min="8456" max="8456" width="2.28515625" style="65" hidden="1" customWidth="1"/>
    <col min="8457" max="8458" width="10.28515625" style="65" hidden="1" customWidth="1"/>
    <col min="8459" max="8459" width="9.28515625" style="65" hidden="1" customWidth="1"/>
    <col min="8460" max="8460" width="13.85546875" style="65" hidden="1" customWidth="1"/>
    <col min="8461" max="8461" width="2.28515625" style="65" hidden="1" customWidth="1"/>
    <col min="8462" max="8463" width="10.42578125" style="65" hidden="1" customWidth="1"/>
    <col min="8464" max="8464" width="9.28515625" style="65" hidden="1" customWidth="1"/>
    <col min="8465" max="8465" width="14.42578125" style="65" hidden="1" customWidth="1"/>
    <col min="8466" max="8466" width="9.140625" style="65" hidden="1" customWidth="1"/>
    <col min="8467" max="8467" width="0" style="65" hidden="1" customWidth="1"/>
    <col min="8468" max="8704" width="0" style="65" hidden="1"/>
    <col min="8705" max="8705" width="2.42578125" style="65" hidden="1" customWidth="1"/>
    <col min="8706" max="8706" width="3.28515625" style="65" hidden="1" customWidth="1"/>
    <col min="8707" max="8707" width="41.7109375" style="65" hidden="1" customWidth="1"/>
    <col min="8708" max="8708" width="13.7109375" style="65" hidden="1" customWidth="1"/>
    <col min="8709" max="8709" width="10.85546875" style="65" hidden="1" customWidth="1"/>
    <col min="8710" max="8710" width="9.28515625" style="65" hidden="1" customWidth="1"/>
    <col min="8711" max="8711" width="14.42578125" style="65" hidden="1" customWidth="1"/>
    <col min="8712" max="8712" width="2.28515625" style="65" hidden="1" customWidth="1"/>
    <col min="8713" max="8714" width="10.28515625" style="65" hidden="1" customWidth="1"/>
    <col min="8715" max="8715" width="9.28515625" style="65" hidden="1" customWidth="1"/>
    <col min="8716" max="8716" width="13.85546875" style="65" hidden="1" customWidth="1"/>
    <col min="8717" max="8717" width="2.28515625" style="65" hidden="1" customWidth="1"/>
    <col min="8718" max="8719" width="10.42578125" style="65" hidden="1" customWidth="1"/>
    <col min="8720" max="8720" width="9.28515625" style="65" hidden="1" customWidth="1"/>
    <col min="8721" max="8721" width="14.42578125" style="65" hidden="1" customWidth="1"/>
    <col min="8722" max="8722" width="9.140625" style="65" hidden="1" customWidth="1"/>
    <col min="8723" max="8723" width="0" style="65" hidden="1" customWidth="1"/>
    <col min="8724" max="8960" width="0" style="65" hidden="1"/>
    <col min="8961" max="8961" width="2.42578125" style="65" hidden="1" customWidth="1"/>
    <col min="8962" max="8962" width="3.28515625" style="65" hidden="1" customWidth="1"/>
    <col min="8963" max="8963" width="41.7109375" style="65" hidden="1" customWidth="1"/>
    <col min="8964" max="8964" width="13.7109375" style="65" hidden="1" customWidth="1"/>
    <col min="8965" max="8965" width="10.85546875" style="65" hidden="1" customWidth="1"/>
    <col min="8966" max="8966" width="9.28515625" style="65" hidden="1" customWidth="1"/>
    <col min="8967" max="8967" width="14.42578125" style="65" hidden="1" customWidth="1"/>
    <col min="8968" max="8968" width="2.28515625" style="65" hidden="1" customWidth="1"/>
    <col min="8969" max="8970" width="10.28515625" style="65" hidden="1" customWidth="1"/>
    <col min="8971" max="8971" width="9.28515625" style="65" hidden="1" customWidth="1"/>
    <col min="8972" max="8972" width="13.85546875" style="65" hidden="1" customWidth="1"/>
    <col min="8973" max="8973" width="2.28515625" style="65" hidden="1" customWidth="1"/>
    <col min="8974" max="8975" width="10.42578125" style="65" hidden="1" customWidth="1"/>
    <col min="8976" max="8976" width="9.28515625" style="65" hidden="1" customWidth="1"/>
    <col min="8977" max="8977" width="14.42578125" style="65" hidden="1" customWidth="1"/>
    <col min="8978" max="8978" width="9.140625" style="65" hidden="1" customWidth="1"/>
    <col min="8979" max="8979" width="0" style="65" hidden="1" customWidth="1"/>
    <col min="8980" max="9216" width="0" style="65" hidden="1"/>
    <col min="9217" max="9217" width="2.42578125" style="65" hidden="1" customWidth="1"/>
    <col min="9218" max="9218" width="3.28515625" style="65" hidden="1" customWidth="1"/>
    <col min="9219" max="9219" width="41.7109375" style="65" hidden="1" customWidth="1"/>
    <col min="9220" max="9220" width="13.7109375" style="65" hidden="1" customWidth="1"/>
    <col min="9221" max="9221" width="10.85546875" style="65" hidden="1" customWidth="1"/>
    <col min="9222" max="9222" width="9.28515625" style="65" hidden="1" customWidth="1"/>
    <col min="9223" max="9223" width="14.42578125" style="65" hidden="1" customWidth="1"/>
    <col min="9224" max="9224" width="2.28515625" style="65" hidden="1" customWidth="1"/>
    <col min="9225" max="9226" width="10.28515625" style="65" hidden="1" customWidth="1"/>
    <col min="9227" max="9227" width="9.28515625" style="65" hidden="1" customWidth="1"/>
    <col min="9228" max="9228" width="13.85546875" style="65" hidden="1" customWidth="1"/>
    <col min="9229" max="9229" width="2.28515625" style="65" hidden="1" customWidth="1"/>
    <col min="9230" max="9231" width="10.42578125" style="65" hidden="1" customWidth="1"/>
    <col min="9232" max="9232" width="9.28515625" style="65" hidden="1" customWidth="1"/>
    <col min="9233" max="9233" width="14.42578125" style="65" hidden="1" customWidth="1"/>
    <col min="9234" max="9234" width="9.140625" style="65" hidden="1" customWidth="1"/>
    <col min="9235" max="9235" width="0" style="65" hidden="1" customWidth="1"/>
    <col min="9236" max="9472" width="0" style="65" hidden="1"/>
    <col min="9473" max="9473" width="2.42578125" style="65" hidden="1" customWidth="1"/>
    <col min="9474" max="9474" width="3.28515625" style="65" hidden="1" customWidth="1"/>
    <col min="9475" max="9475" width="41.7109375" style="65" hidden="1" customWidth="1"/>
    <col min="9476" max="9476" width="13.7109375" style="65" hidden="1" customWidth="1"/>
    <col min="9477" max="9477" width="10.85546875" style="65" hidden="1" customWidth="1"/>
    <col min="9478" max="9478" width="9.28515625" style="65" hidden="1" customWidth="1"/>
    <col min="9479" max="9479" width="14.42578125" style="65" hidden="1" customWidth="1"/>
    <col min="9480" max="9480" width="2.28515625" style="65" hidden="1" customWidth="1"/>
    <col min="9481" max="9482" width="10.28515625" style="65" hidden="1" customWidth="1"/>
    <col min="9483" max="9483" width="9.28515625" style="65" hidden="1" customWidth="1"/>
    <col min="9484" max="9484" width="13.85546875" style="65" hidden="1" customWidth="1"/>
    <col min="9485" max="9485" width="2.28515625" style="65" hidden="1" customWidth="1"/>
    <col min="9486" max="9487" width="10.42578125" style="65" hidden="1" customWidth="1"/>
    <col min="9488" max="9488" width="9.28515625" style="65" hidden="1" customWidth="1"/>
    <col min="9489" max="9489" width="14.42578125" style="65" hidden="1" customWidth="1"/>
    <col min="9490" max="9490" width="9.140625" style="65" hidden="1" customWidth="1"/>
    <col min="9491" max="9491" width="0" style="65" hidden="1" customWidth="1"/>
    <col min="9492" max="9728" width="0" style="65" hidden="1"/>
    <col min="9729" max="9729" width="2.42578125" style="65" hidden="1" customWidth="1"/>
    <col min="9730" max="9730" width="3.28515625" style="65" hidden="1" customWidth="1"/>
    <col min="9731" max="9731" width="41.7109375" style="65" hidden="1" customWidth="1"/>
    <col min="9732" max="9732" width="13.7109375" style="65" hidden="1" customWidth="1"/>
    <col min="9733" max="9733" width="10.85546875" style="65" hidden="1" customWidth="1"/>
    <col min="9734" max="9734" width="9.28515625" style="65" hidden="1" customWidth="1"/>
    <col min="9735" max="9735" width="14.42578125" style="65" hidden="1" customWidth="1"/>
    <col min="9736" max="9736" width="2.28515625" style="65" hidden="1" customWidth="1"/>
    <col min="9737" max="9738" width="10.28515625" style="65" hidden="1" customWidth="1"/>
    <col min="9739" max="9739" width="9.28515625" style="65" hidden="1" customWidth="1"/>
    <col min="9740" max="9740" width="13.85546875" style="65" hidden="1" customWidth="1"/>
    <col min="9741" max="9741" width="2.28515625" style="65" hidden="1" customWidth="1"/>
    <col min="9742" max="9743" width="10.42578125" style="65" hidden="1" customWidth="1"/>
    <col min="9744" max="9744" width="9.28515625" style="65" hidden="1" customWidth="1"/>
    <col min="9745" max="9745" width="14.42578125" style="65" hidden="1" customWidth="1"/>
    <col min="9746" max="9746" width="9.140625" style="65" hidden="1" customWidth="1"/>
    <col min="9747" max="9747" width="0" style="65" hidden="1" customWidth="1"/>
    <col min="9748" max="9984" width="0" style="65" hidden="1"/>
    <col min="9985" max="9985" width="2.42578125" style="65" hidden="1" customWidth="1"/>
    <col min="9986" max="9986" width="3.28515625" style="65" hidden="1" customWidth="1"/>
    <col min="9987" max="9987" width="41.7109375" style="65" hidden="1" customWidth="1"/>
    <col min="9988" max="9988" width="13.7109375" style="65" hidden="1" customWidth="1"/>
    <col min="9989" max="9989" width="10.85546875" style="65" hidden="1" customWidth="1"/>
    <col min="9990" max="9990" width="9.28515625" style="65" hidden="1" customWidth="1"/>
    <col min="9991" max="9991" width="14.42578125" style="65" hidden="1" customWidth="1"/>
    <col min="9992" max="9992" width="2.28515625" style="65" hidden="1" customWidth="1"/>
    <col min="9993" max="9994" width="10.28515625" style="65" hidden="1" customWidth="1"/>
    <col min="9995" max="9995" width="9.28515625" style="65" hidden="1" customWidth="1"/>
    <col min="9996" max="9996" width="13.85546875" style="65" hidden="1" customWidth="1"/>
    <col min="9997" max="9997" width="2.28515625" style="65" hidden="1" customWidth="1"/>
    <col min="9998" max="9999" width="10.42578125" style="65" hidden="1" customWidth="1"/>
    <col min="10000" max="10000" width="9.28515625" style="65" hidden="1" customWidth="1"/>
    <col min="10001" max="10001" width="14.42578125" style="65" hidden="1" customWidth="1"/>
    <col min="10002" max="10002" width="9.140625" style="65" hidden="1" customWidth="1"/>
    <col min="10003" max="10003" width="0" style="65" hidden="1" customWidth="1"/>
    <col min="10004" max="10240" width="0" style="65" hidden="1"/>
    <col min="10241" max="10241" width="2.42578125" style="65" hidden="1" customWidth="1"/>
    <col min="10242" max="10242" width="3.28515625" style="65" hidden="1" customWidth="1"/>
    <col min="10243" max="10243" width="41.7109375" style="65" hidden="1" customWidth="1"/>
    <col min="10244" max="10244" width="13.7109375" style="65" hidden="1" customWidth="1"/>
    <col min="10245" max="10245" width="10.85546875" style="65" hidden="1" customWidth="1"/>
    <col min="10246" max="10246" width="9.28515625" style="65" hidden="1" customWidth="1"/>
    <col min="10247" max="10247" width="14.42578125" style="65" hidden="1" customWidth="1"/>
    <col min="10248" max="10248" width="2.28515625" style="65" hidden="1" customWidth="1"/>
    <col min="10249" max="10250" width="10.28515625" style="65" hidden="1" customWidth="1"/>
    <col min="10251" max="10251" width="9.28515625" style="65" hidden="1" customWidth="1"/>
    <col min="10252" max="10252" width="13.85546875" style="65" hidden="1" customWidth="1"/>
    <col min="10253" max="10253" width="2.28515625" style="65" hidden="1" customWidth="1"/>
    <col min="10254" max="10255" width="10.42578125" style="65" hidden="1" customWidth="1"/>
    <col min="10256" max="10256" width="9.28515625" style="65" hidden="1" customWidth="1"/>
    <col min="10257" max="10257" width="14.42578125" style="65" hidden="1" customWidth="1"/>
    <col min="10258" max="10258" width="9.140625" style="65" hidden="1" customWidth="1"/>
    <col min="10259" max="10259" width="0" style="65" hidden="1" customWidth="1"/>
    <col min="10260" max="10496" width="0" style="65" hidden="1"/>
    <col min="10497" max="10497" width="2.42578125" style="65" hidden="1" customWidth="1"/>
    <col min="10498" max="10498" width="3.28515625" style="65" hidden="1" customWidth="1"/>
    <col min="10499" max="10499" width="41.7109375" style="65" hidden="1" customWidth="1"/>
    <col min="10500" max="10500" width="13.7109375" style="65" hidden="1" customWidth="1"/>
    <col min="10501" max="10501" width="10.85546875" style="65" hidden="1" customWidth="1"/>
    <col min="10502" max="10502" width="9.28515625" style="65" hidden="1" customWidth="1"/>
    <col min="10503" max="10503" width="14.42578125" style="65" hidden="1" customWidth="1"/>
    <col min="10504" max="10504" width="2.28515625" style="65" hidden="1" customWidth="1"/>
    <col min="10505" max="10506" width="10.28515625" style="65" hidden="1" customWidth="1"/>
    <col min="10507" max="10507" width="9.28515625" style="65" hidden="1" customWidth="1"/>
    <col min="10508" max="10508" width="13.85546875" style="65" hidden="1" customWidth="1"/>
    <col min="10509" max="10509" width="2.28515625" style="65" hidden="1" customWidth="1"/>
    <col min="10510" max="10511" width="10.42578125" style="65" hidden="1" customWidth="1"/>
    <col min="10512" max="10512" width="9.28515625" style="65" hidden="1" customWidth="1"/>
    <col min="10513" max="10513" width="14.42578125" style="65" hidden="1" customWidth="1"/>
    <col min="10514" max="10514" width="9.140625" style="65" hidden="1" customWidth="1"/>
    <col min="10515" max="10515" width="0" style="65" hidden="1" customWidth="1"/>
    <col min="10516" max="10752" width="0" style="65" hidden="1"/>
    <col min="10753" max="10753" width="2.42578125" style="65" hidden="1" customWidth="1"/>
    <col min="10754" max="10754" width="3.28515625" style="65" hidden="1" customWidth="1"/>
    <col min="10755" max="10755" width="41.7109375" style="65" hidden="1" customWidth="1"/>
    <col min="10756" max="10756" width="13.7109375" style="65" hidden="1" customWidth="1"/>
    <col min="10757" max="10757" width="10.85546875" style="65" hidden="1" customWidth="1"/>
    <col min="10758" max="10758" width="9.28515625" style="65" hidden="1" customWidth="1"/>
    <col min="10759" max="10759" width="14.42578125" style="65" hidden="1" customWidth="1"/>
    <col min="10760" max="10760" width="2.28515625" style="65" hidden="1" customWidth="1"/>
    <col min="10761" max="10762" width="10.28515625" style="65" hidden="1" customWidth="1"/>
    <col min="10763" max="10763" width="9.28515625" style="65" hidden="1" customWidth="1"/>
    <col min="10764" max="10764" width="13.85546875" style="65" hidden="1" customWidth="1"/>
    <col min="10765" max="10765" width="2.28515625" style="65" hidden="1" customWidth="1"/>
    <col min="10766" max="10767" width="10.42578125" style="65" hidden="1" customWidth="1"/>
    <col min="10768" max="10768" width="9.28515625" style="65" hidden="1" customWidth="1"/>
    <col min="10769" max="10769" width="14.42578125" style="65" hidden="1" customWidth="1"/>
    <col min="10770" max="10770" width="9.140625" style="65" hidden="1" customWidth="1"/>
    <col min="10771" max="10771" width="0" style="65" hidden="1" customWidth="1"/>
    <col min="10772" max="11008" width="0" style="65" hidden="1"/>
    <col min="11009" max="11009" width="2.42578125" style="65" hidden="1" customWidth="1"/>
    <col min="11010" max="11010" width="3.28515625" style="65" hidden="1" customWidth="1"/>
    <col min="11011" max="11011" width="41.7109375" style="65" hidden="1" customWidth="1"/>
    <col min="11012" max="11012" width="13.7109375" style="65" hidden="1" customWidth="1"/>
    <col min="11013" max="11013" width="10.85546875" style="65" hidden="1" customWidth="1"/>
    <col min="11014" max="11014" width="9.28515625" style="65" hidden="1" customWidth="1"/>
    <col min="11015" max="11015" width="14.42578125" style="65" hidden="1" customWidth="1"/>
    <col min="11016" max="11016" width="2.28515625" style="65" hidden="1" customWidth="1"/>
    <col min="11017" max="11018" width="10.28515625" style="65" hidden="1" customWidth="1"/>
    <col min="11019" max="11019" width="9.28515625" style="65" hidden="1" customWidth="1"/>
    <col min="11020" max="11020" width="13.85546875" style="65" hidden="1" customWidth="1"/>
    <col min="11021" max="11021" width="2.28515625" style="65" hidden="1" customWidth="1"/>
    <col min="11022" max="11023" width="10.42578125" style="65" hidden="1" customWidth="1"/>
    <col min="11024" max="11024" width="9.28515625" style="65" hidden="1" customWidth="1"/>
    <col min="11025" max="11025" width="14.42578125" style="65" hidden="1" customWidth="1"/>
    <col min="11026" max="11026" width="9.140625" style="65" hidden="1" customWidth="1"/>
    <col min="11027" max="11027" width="0" style="65" hidden="1" customWidth="1"/>
    <col min="11028" max="11264" width="0" style="65" hidden="1"/>
    <col min="11265" max="11265" width="2.42578125" style="65" hidden="1" customWidth="1"/>
    <col min="11266" max="11266" width="3.28515625" style="65" hidden="1" customWidth="1"/>
    <col min="11267" max="11267" width="41.7109375" style="65" hidden="1" customWidth="1"/>
    <col min="11268" max="11268" width="13.7109375" style="65" hidden="1" customWidth="1"/>
    <col min="11269" max="11269" width="10.85546875" style="65" hidden="1" customWidth="1"/>
    <col min="11270" max="11270" width="9.28515625" style="65" hidden="1" customWidth="1"/>
    <col min="11271" max="11271" width="14.42578125" style="65" hidden="1" customWidth="1"/>
    <col min="11272" max="11272" width="2.28515625" style="65" hidden="1" customWidth="1"/>
    <col min="11273" max="11274" width="10.28515625" style="65" hidden="1" customWidth="1"/>
    <col min="11275" max="11275" width="9.28515625" style="65" hidden="1" customWidth="1"/>
    <col min="11276" max="11276" width="13.85546875" style="65" hidden="1" customWidth="1"/>
    <col min="11277" max="11277" width="2.28515625" style="65" hidden="1" customWidth="1"/>
    <col min="11278" max="11279" width="10.42578125" style="65" hidden="1" customWidth="1"/>
    <col min="11280" max="11280" width="9.28515625" style="65" hidden="1" customWidth="1"/>
    <col min="11281" max="11281" width="14.42578125" style="65" hidden="1" customWidth="1"/>
    <col min="11282" max="11282" width="9.140625" style="65" hidden="1" customWidth="1"/>
    <col min="11283" max="11283" width="0" style="65" hidden="1" customWidth="1"/>
    <col min="11284" max="11520" width="0" style="65" hidden="1"/>
    <col min="11521" max="11521" width="2.42578125" style="65" hidden="1" customWidth="1"/>
    <col min="11522" max="11522" width="3.28515625" style="65" hidden="1" customWidth="1"/>
    <col min="11523" max="11523" width="41.7109375" style="65" hidden="1" customWidth="1"/>
    <col min="11524" max="11524" width="13.7109375" style="65" hidden="1" customWidth="1"/>
    <col min="11525" max="11525" width="10.85546875" style="65" hidden="1" customWidth="1"/>
    <col min="11526" max="11526" width="9.28515625" style="65" hidden="1" customWidth="1"/>
    <col min="11527" max="11527" width="14.42578125" style="65" hidden="1" customWidth="1"/>
    <col min="11528" max="11528" width="2.28515625" style="65" hidden="1" customWidth="1"/>
    <col min="11529" max="11530" width="10.28515625" style="65" hidden="1" customWidth="1"/>
    <col min="11531" max="11531" width="9.28515625" style="65" hidden="1" customWidth="1"/>
    <col min="11532" max="11532" width="13.85546875" style="65" hidden="1" customWidth="1"/>
    <col min="11533" max="11533" width="2.28515625" style="65" hidden="1" customWidth="1"/>
    <col min="11534" max="11535" width="10.42578125" style="65" hidden="1" customWidth="1"/>
    <col min="11536" max="11536" width="9.28515625" style="65" hidden="1" customWidth="1"/>
    <col min="11537" max="11537" width="14.42578125" style="65" hidden="1" customWidth="1"/>
    <col min="11538" max="11538" width="9.140625" style="65" hidden="1" customWidth="1"/>
    <col min="11539" max="11539" width="0" style="65" hidden="1" customWidth="1"/>
    <col min="11540" max="11776" width="0" style="65" hidden="1"/>
    <col min="11777" max="11777" width="2.42578125" style="65" hidden="1" customWidth="1"/>
    <col min="11778" max="11778" width="3.28515625" style="65" hidden="1" customWidth="1"/>
    <col min="11779" max="11779" width="41.7109375" style="65" hidden="1" customWidth="1"/>
    <col min="11780" max="11780" width="13.7109375" style="65" hidden="1" customWidth="1"/>
    <col min="11781" max="11781" width="10.85546875" style="65" hidden="1" customWidth="1"/>
    <col min="11782" max="11782" width="9.28515625" style="65" hidden="1" customWidth="1"/>
    <col min="11783" max="11783" width="14.42578125" style="65" hidden="1" customWidth="1"/>
    <col min="11784" max="11784" width="2.28515625" style="65" hidden="1" customWidth="1"/>
    <col min="11785" max="11786" width="10.28515625" style="65" hidden="1" customWidth="1"/>
    <col min="11787" max="11787" width="9.28515625" style="65" hidden="1" customWidth="1"/>
    <col min="11788" max="11788" width="13.85546875" style="65" hidden="1" customWidth="1"/>
    <col min="11789" max="11789" width="2.28515625" style="65" hidden="1" customWidth="1"/>
    <col min="11790" max="11791" width="10.42578125" style="65" hidden="1" customWidth="1"/>
    <col min="11792" max="11792" width="9.28515625" style="65" hidden="1" customWidth="1"/>
    <col min="11793" max="11793" width="14.42578125" style="65" hidden="1" customWidth="1"/>
    <col min="11794" max="11794" width="9.140625" style="65" hidden="1" customWidth="1"/>
    <col min="11795" max="11795" width="0" style="65" hidden="1" customWidth="1"/>
    <col min="11796" max="12032" width="0" style="65" hidden="1"/>
    <col min="12033" max="12033" width="2.42578125" style="65" hidden="1" customWidth="1"/>
    <col min="12034" max="12034" width="3.28515625" style="65" hidden="1" customWidth="1"/>
    <col min="12035" max="12035" width="41.7109375" style="65" hidden="1" customWidth="1"/>
    <col min="12036" max="12036" width="13.7109375" style="65" hidden="1" customWidth="1"/>
    <col min="12037" max="12037" width="10.85546875" style="65" hidden="1" customWidth="1"/>
    <col min="12038" max="12038" width="9.28515625" style="65" hidden="1" customWidth="1"/>
    <col min="12039" max="12039" width="14.42578125" style="65" hidden="1" customWidth="1"/>
    <col min="12040" max="12040" width="2.28515625" style="65" hidden="1" customWidth="1"/>
    <col min="12041" max="12042" width="10.28515625" style="65" hidden="1" customWidth="1"/>
    <col min="12043" max="12043" width="9.28515625" style="65" hidden="1" customWidth="1"/>
    <col min="12044" max="12044" width="13.85546875" style="65" hidden="1" customWidth="1"/>
    <col min="12045" max="12045" width="2.28515625" style="65" hidden="1" customWidth="1"/>
    <col min="12046" max="12047" width="10.42578125" style="65" hidden="1" customWidth="1"/>
    <col min="12048" max="12048" width="9.28515625" style="65" hidden="1" customWidth="1"/>
    <col min="12049" max="12049" width="14.42578125" style="65" hidden="1" customWidth="1"/>
    <col min="12050" max="12050" width="9.140625" style="65" hidden="1" customWidth="1"/>
    <col min="12051" max="12051" width="0" style="65" hidden="1" customWidth="1"/>
    <col min="12052" max="12288" width="0" style="65" hidden="1"/>
    <col min="12289" max="12289" width="2.42578125" style="65" hidden="1" customWidth="1"/>
    <col min="12290" max="12290" width="3.28515625" style="65" hidden="1" customWidth="1"/>
    <col min="12291" max="12291" width="41.7109375" style="65" hidden="1" customWidth="1"/>
    <col min="12292" max="12292" width="13.7109375" style="65" hidden="1" customWidth="1"/>
    <col min="12293" max="12293" width="10.85546875" style="65" hidden="1" customWidth="1"/>
    <col min="12294" max="12294" width="9.28515625" style="65" hidden="1" customWidth="1"/>
    <col min="12295" max="12295" width="14.42578125" style="65" hidden="1" customWidth="1"/>
    <col min="12296" max="12296" width="2.28515625" style="65" hidden="1" customWidth="1"/>
    <col min="12297" max="12298" width="10.28515625" style="65" hidden="1" customWidth="1"/>
    <col min="12299" max="12299" width="9.28515625" style="65" hidden="1" customWidth="1"/>
    <col min="12300" max="12300" width="13.85546875" style="65" hidden="1" customWidth="1"/>
    <col min="12301" max="12301" width="2.28515625" style="65" hidden="1" customWidth="1"/>
    <col min="12302" max="12303" width="10.42578125" style="65" hidden="1" customWidth="1"/>
    <col min="12304" max="12304" width="9.28515625" style="65" hidden="1" customWidth="1"/>
    <col min="12305" max="12305" width="14.42578125" style="65" hidden="1" customWidth="1"/>
    <col min="12306" max="12306" width="9.140625" style="65" hidden="1" customWidth="1"/>
    <col min="12307" max="12307" width="0" style="65" hidden="1" customWidth="1"/>
    <col min="12308" max="12544" width="0" style="65" hidden="1"/>
    <col min="12545" max="12545" width="2.42578125" style="65" hidden="1" customWidth="1"/>
    <col min="12546" max="12546" width="3.28515625" style="65" hidden="1" customWidth="1"/>
    <col min="12547" max="12547" width="41.7109375" style="65" hidden="1" customWidth="1"/>
    <col min="12548" max="12548" width="13.7109375" style="65" hidden="1" customWidth="1"/>
    <col min="12549" max="12549" width="10.85546875" style="65" hidden="1" customWidth="1"/>
    <col min="12550" max="12550" width="9.28515625" style="65" hidden="1" customWidth="1"/>
    <col min="12551" max="12551" width="14.42578125" style="65" hidden="1" customWidth="1"/>
    <col min="12552" max="12552" width="2.28515625" style="65" hidden="1" customWidth="1"/>
    <col min="12553" max="12554" width="10.28515625" style="65" hidden="1" customWidth="1"/>
    <col min="12555" max="12555" width="9.28515625" style="65" hidden="1" customWidth="1"/>
    <col min="12556" max="12556" width="13.85546875" style="65" hidden="1" customWidth="1"/>
    <col min="12557" max="12557" width="2.28515625" style="65" hidden="1" customWidth="1"/>
    <col min="12558" max="12559" width="10.42578125" style="65" hidden="1" customWidth="1"/>
    <col min="12560" max="12560" width="9.28515625" style="65" hidden="1" customWidth="1"/>
    <col min="12561" max="12561" width="14.42578125" style="65" hidden="1" customWidth="1"/>
    <col min="12562" max="12562" width="9.140625" style="65" hidden="1" customWidth="1"/>
    <col min="12563" max="12563" width="0" style="65" hidden="1" customWidth="1"/>
    <col min="12564" max="12800" width="0" style="65" hidden="1"/>
    <col min="12801" max="12801" width="2.42578125" style="65" hidden="1" customWidth="1"/>
    <col min="12802" max="12802" width="3.28515625" style="65" hidden="1" customWidth="1"/>
    <col min="12803" max="12803" width="41.7109375" style="65" hidden="1" customWidth="1"/>
    <col min="12804" max="12804" width="13.7109375" style="65" hidden="1" customWidth="1"/>
    <col min="12805" max="12805" width="10.85546875" style="65" hidden="1" customWidth="1"/>
    <col min="12806" max="12806" width="9.28515625" style="65" hidden="1" customWidth="1"/>
    <col min="12807" max="12807" width="14.42578125" style="65" hidden="1" customWidth="1"/>
    <col min="12808" max="12808" width="2.28515625" style="65" hidden="1" customWidth="1"/>
    <col min="12809" max="12810" width="10.28515625" style="65" hidden="1" customWidth="1"/>
    <col min="12811" max="12811" width="9.28515625" style="65" hidden="1" customWidth="1"/>
    <col min="12812" max="12812" width="13.85546875" style="65" hidden="1" customWidth="1"/>
    <col min="12813" max="12813" width="2.28515625" style="65" hidden="1" customWidth="1"/>
    <col min="12814" max="12815" width="10.42578125" style="65" hidden="1" customWidth="1"/>
    <col min="12816" max="12816" width="9.28515625" style="65" hidden="1" customWidth="1"/>
    <col min="12817" max="12817" width="14.42578125" style="65" hidden="1" customWidth="1"/>
    <col min="12818" max="12818" width="9.140625" style="65" hidden="1" customWidth="1"/>
    <col min="12819" max="12819" width="0" style="65" hidden="1" customWidth="1"/>
    <col min="12820" max="13056" width="0" style="65" hidden="1"/>
    <col min="13057" max="13057" width="2.42578125" style="65" hidden="1" customWidth="1"/>
    <col min="13058" max="13058" width="3.28515625" style="65" hidden="1" customWidth="1"/>
    <col min="13059" max="13059" width="41.7109375" style="65" hidden="1" customWidth="1"/>
    <col min="13060" max="13060" width="13.7109375" style="65" hidden="1" customWidth="1"/>
    <col min="13061" max="13061" width="10.85546875" style="65" hidden="1" customWidth="1"/>
    <col min="13062" max="13062" width="9.28515625" style="65" hidden="1" customWidth="1"/>
    <col min="13063" max="13063" width="14.42578125" style="65" hidden="1" customWidth="1"/>
    <col min="13064" max="13064" width="2.28515625" style="65" hidden="1" customWidth="1"/>
    <col min="13065" max="13066" width="10.28515625" style="65" hidden="1" customWidth="1"/>
    <col min="13067" max="13067" width="9.28515625" style="65" hidden="1" customWidth="1"/>
    <col min="13068" max="13068" width="13.85546875" style="65" hidden="1" customWidth="1"/>
    <col min="13069" max="13069" width="2.28515625" style="65" hidden="1" customWidth="1"/>
    <col min="13070" max="13071" width="10.42578125" style="65" hidden="1" customWidth="1"/>
    <col min="13072" max="13072" width="9.28515625" style="65" hidden="1" customWidth="1"/>
    <col min="13073" max="13073" width="14.42578125" style="65" hidden="1" customWidth="1"/>
    <col min="13074" max="13074" width="9.140625" style="65" hidden="1" customWidth="1"/>
    <col min="13075" max="13075" width="0" style="65" hidden="1" customWidth="1"/>
    <col min="13076" max="13312" width="0" style="65" hidden="1"/>
    <col min="13313" max="13313" width="2.42578125" style="65" hidden="1" customWidth="1"/>
    <col min="13314" max="13314" width="3.28515625" style="65" hidden="1" customWidth="1"/>
    <col min="13315" max="13315" width="41.7109375" style="65" hidden="1" customWidth="1"/>
    <col min="13316" max="13316" width="13.7109375" style="65" hidden="1" customWidth="1"/>
    <col min="13317" max="13317" width="10.85546875" style="65" hidden="1" customWidth="1"/>
    <col min="13318" max="13318" width="9.28515625" style="65" hidden="1" customWidth="1"/>
    <col min="13319" max="13319" width="14.42578125" style="65" hidden="1" customWidth="1"/>
    <col min="13320" max="13320" width="2.28515625" style="65" hidden="1" customWidth="1"/>
    <col min="13321" max="13322" width="10.28515625" style="65" hidden="1" customWidth="1"/>
    <col min="13323" max="13323" width="9.28515625" style="65" hidden="1" customWidth="1"/>
    <col min="13324" max="13324" width="13.85546875" style="65" hidden="1" customWidth="1"/>
    <col min="13325" max="13325" width="2.28515625" style="65" hidden="1" customWidth="1"/>
    <col min="13326" max="13327" width="10.42578125" style="65" hidden="1" customWidth="1"/>
    <col min="13328" max="13328" width="9.28515625" style="65" hidden="1" customWidth="1"/>
    <col min="13329" max="13329" width="14.42578125" style="65" hidden="1" customWidth="1"/>
    <col min="13330" max="13330" width="9.140625" style="65" hidden="1" customWidth="1"/>
    <col min="13331" max="13331" width="0" style="65" hidden="1" customWidth="1"/>
    <col min="13332" max="13568" width="0" style="65" hidden="1"/>
    <col min="13569" max="13569" width="2.42578125" style="65" hidden="1" customWidth="1"/>
    <col min="13570" max="13570" width="3.28515625" style="65" hidden="1" customWidth="1"/>
    <col min="13571" max="13571" width="41.7109375" style="65" hidden="1" customWidth="1"/>
    <col min="13572" max="13572" width="13.7109375" style="65" hidden="1" customWidth="1"/>
    <col min="13573" max="13573" width="10.85546875" style="65" hidden="1" customWidth="1"/>
    <col min="13574" max="13574" width="9.28515625" style="65" hidden="1" customWidth="1"/>
    <col min="13575" max="13575" width="14.42578125" style="65" hidden="1" customWidth="1"/>
    <col min="13576" max="13576" width="2.28515625" style="65" hidden="1" customWidth="1"/>
    <col min="13577" max="13578" width="10.28515625" style="65" hidden="1" customWidth="1"/>
    <col min="13579" max="13579" width="9.28515625" style="65" hidden="1" customWidth="1"/>
    <col min="13580" max="13580" width="13.85546875" style="65" hidden="1" customWidth="1"/>
    <col min="13581" max="13581" width="2.28515625" style="65" hidden="1" customWidth="1"/>
    <col min="13582" max="13583" width="10.42578125" style="65" hidden="1" customWidth="1"/>
    <col min="13584" max="13584" width="9.28515625" style="65" hidden="1" customWidth="1"/>
    <col min="13585" max="13585" width="14.42578125" style="65" hidden="1" customWidth="1"/>
    <col min="13586" max="13586" width="9.140625" style="65" hidden="1" customWidth="1"/>
    <col min="13587" max="13587" width="0" style="65" hidden="1" customWidth="1"/>
    <col min="13588" max="13824" width="0" style="65" hidden="1"/>
    <col min="13825" max="13825" width="2.42578125" style="65" hidden="1" customWidth="1"/>
    <col min="13826" max="13826" width="3.28515625" style="65" hidden="1" customWidth="1"/>
    <col min="13827" max="13827" width="41.7109375" style="65" hidden="1" customWidth="1"/>
    <col min="13828" max="13828" width="13.7109375" style="65" hidden="1" customWidth="1"/>
    <col min="13829" max="13829" width="10.85546875" style="65" hidden="1" customWidth="1"/>
    <col min="13830" max="13830" width="9.28515625" style="65" hidden="1" customWidth="1"/>
    <col min="13831" max="13831" width="14.42578125" style="65" hidden="1" customWidth="1"/>
    <col min="13832" max="13832" width="2.28515625" style="65" hidden="1" customWidth="1"/>
    <col min="13833" max="13834" width="10.28515625" style="65" hidden="1" customWidth="1"/>
    <col min="13835" max="13835" width="9.28515625" style="65" hidden="1" customWidth="1"/>
    <col min="13836" max="13836" width="13.85546875" style="65" hidden="1" customWidth="1"/>
    <col min="13837" max="13837" width="2.28515625" style="65" hidden="1" customWidth="1"/>
    <col min="13838" max="13839" width="10.42578125" style="65" hidden="1" customWidth="1"/>
    <col min="13840" max="13840" width="9.28515625" style="65" hidden="1" customWidth="1"/>
    <col min="13841" max="13841" width="14.42578125" style="65" hidden="1" customWidth="1"/>
    <col min="13842" max="13842" width="9.140625" style="65" hidden="1" customWidth="1"/>
    <col min="13843" max="13843" width="0" style="65" hidden="1" customWidth="1"/>
    <col min="13844" max="14080" width="0" style="65" hidden="1"/>
    <col min="14081" max="14081" width="2.42578125" style="65" hidden="1" customWidth="1"/>
    <col min="14082" max="14082" width="3.28515625" style="65" hidden="1" customWidth="1"/>
    <col min="14083" max="14083" width="41.7109375" style="65" hidden="1" customWidth="1"/>
    <col min="14084" max="14084" width="13.7109375" style="65" hidden="1" customWidth="1"/>
    <col min="14085" max="14085" width="10.85546875" style="65" hidden="1" customWidth="1"/>
    <col min="14086" max="14086" width="9.28515625" style="65" hidden="1" customWidth="1"/>
    <col min="14087" max="14087" width="14.42578125" style="65" hidden="1" customWidth="1"/>
    <col min="14088" max="14088" width="2.28515625" style="65" hidden="1" customWidth="1"/>
    <col min="14089" max="14090" width="10.28515625" style="65" hidden="1" customWidth="1"/>
    <col min="14091" max="14091" width="9.28515625" style="65" hidden="1" customWidth="1"/>
    <col min="14092" max="14092" width="13.85546875" style="65" hidden="1" customWidth="1"/>
    <col min="14093" max="14093" width="2.28515625" style="65" hidden="1" customWidth="1"/>
    <col min="14094" max="14095" width="10.42578125" style="65" hidden="1" customWidth="1"/>
    <col min="14096" max="14096" width="9.28515625" style="65" hidden="1" customWidth="1"/>
    <col min="14097" max="14097" width="14.42578125" style="65" hidden="1" customWidth="1"/>
    <col min="14098" max="14098" width="9.140625" style="65" hidden="1" customWidth="1"/>
    <col min="14099" max="14099" width="0" style="65" hidden="1" customWidth="1"/>
    <col min="14100" max="14336" width="0" style="65" hidden="1"/>
    <col min="14337" max="14337" width="2.42578125" style="65" hidden="1" customWidth="1"/>
    <col min="14338" max="14338" width="3.28515625" style="65" hidden="1" customWidth="1"/>
    <col min="14339" max="14339" width="41.7109375" style="65" hidden="1" customWidth="1"/>
    <col min="14340" max="14340" width="13.7109375" style="65" hidden="1" customWidth="1"/>
    <col min="14341" max="14341" width="10.85546875" style="65" hidden="1" customWidth="1"/>
    <col min="14342" max="14342" width="9.28515625" style="65" hidden="1" customWidth="1"/>
    <col min="14343" max="14343" width="14.42578125" style="65" hidden="1" customWidth="1"/>
    <col min="14344" max="14344" width="2.28515625" style="65" hidden="1" customWidth="1"/>
    <col min="14345" max="14346" width="10.28515625" style="65" hidden="1" customWidth="1"/>
    <col min="14347" max="14347" width="9.28515625" style="65" hidden="1" customWidth="1"/>
    <col min="14348" max="14348" width="13.85546875" style="65" hidden="1" customWidth="1"/>
    <col min="14349" max="14349" width="2.28515625" style="65" hidden="1" customWidth="1"/>
    <col min="14350" max="14351" width="10.42578125" style="65" hidden="1" customWidth="1"/>
    <col min="14352" max="14352" width="9.28515625" style="65" hidden="1" customWidth="1"/>
    <col min="14353" max="14353" width="14.42578125" style="65" hidden="1" customWidth="1"/>
    <col min="14354" max="14354" width="9.140625" style="65" hidden="1" customWidth="1"/>
    <col min="14355" max="14355" width="0" style="65" hidden="1" customWidth="1"/>
    <col min="14356" max="14592" width="0" style="65" hidden="1"/>
    <col min="14593" max="14593" width="2.42578125" style="65" hidden="1" customWidth="1"/>
    <col min="14594" max="14594" width="3.28515625" style="65" hidden="1" customWidth="1"/>
    <col min="14595" max="14595" width="41.7109375" style="65" hidden="1" customWidth="1"/>
    <col min="14596" max="14596" width="13.7109375" style="65" hidden="1" customWidth="1"/>
    <col min="14597" max="14597" width="10.85546875" style="65" hidden="1" customWidth="1"/>
    <col min="14598" max="14598" width="9.28515625" style="65" hidden="1" customWidth="1"/>
    <col min="14599" max="14599" width="14.42578125" style="65" hidden="1" customWidth="1"/>
    <col min="14600" max="14600" width="2.28515625" style="65" hidden="1" customWidth="1"/>
    <col min="14601" max="14602" width="10.28515625" style="65" hidden="1" customWidth="1"/>
    <col min="14603" max="14603" width="9.28515625" style="65" hidden="1" customWidth="1"/>
    <col min="14604" max="14604" width="13.85546875" style="65" hidden="1" customWidth="1"/>
    <col min="14605" max="14605" width="2.28515625" style="65" hidden="1" customWidth="1"/>
    <col min="14606" max="14607" width="10.42578125" style="65" hidden="1" customWidth="1"/>
    <col min="14608" max="14608" width="9.28515625" style="65" hidden="1" customWidth="1"/>
    <col min="14609" max="14609" width="14.42578125" style="65" hidden="1" customWidth="1"/>
    <col min="14610" max="14610" width="9.140625" style="65" hidden="1" customWidth="1"/>
    <col min="14611" max="14611" width="0" style="65" hidden="1" customWidth="1"/>
    <col min="14612" max="14848" width="0" style="65" hidden="1"/>
    <col min="14849" max="14849" width="2.42578125" style="65" hidden="1" customWidth="1"/>
    <col min="14850" max="14850" width="3.28515625" style="65" hidden="1" customWidth="1"/>
    <col min="14851" max="14851" width="41.7109375" style="65" hidden="1" customWidth="1"/>
    <col min="14852" max="14852" width="13.7109375" style="65" hidden="1" customWidth="1"/>
    <col min="14853" max="14853" width="10.85546875" style="65" hidden="1" customWidth="1"/>
    <col min="14854" max="14854" width="9.28515625" style="65" hidden="1" customWidth="1"/>
    <col min="14855" max="14855" width="14.42578125" style="65" hidden="1" customWidth="1"/>
    <col min="14856" max="14856" width="2.28515625" style="65" hidden="1" customWidth="1"/>
    <col min="14857" max="14858" width="10.28515625" style="65" hidden="1" customWidth="1"/>
    <col min="14859" max="14859" width="9.28515625" style="65" hidden="1" customWidth="1"/>
    <col min="14860" max="14860" width="13.85546875" style="65" hidden="1" customWidth="1"/>
    <col min="14861" max="14861" width="2.28515625" style="65" hidden="1" customWidth="1"/>
    <col min="14862" max="14863" width="10.42578125" style="65" hidden="1" customWidth="1"/>
    <col min="14864" max="14864" width="9.28515625" style="65" hidden="1" customWidth="1"/>
    <col min="14865" max="14865" width="14.42578125" style="65" hidden="1" customWidth="1"/>
    <col min="14866" max="14866" width="9.140625" style="65" hidden="1" customWidth="1"/>
    <col min="14867" max="14867" width="0" style="65" hidden="1" customWidth="1"/>
    <col min="14868" max="15104" width="0" style="65" hidden="1"/>
    <col min="15105" max="15105" width="2.42578125" style="65" hidden="1" customWidth="1"/>
    <col min="15106" max="15106" width="3.28515625" style="65" hidden="1" customWidth="1"/>
    <col min="15107" max="15107" width="41.7109375" style="65" hidden="1" customWidth="1"/>
    <col min="15108" max="15108" width="13.7109375" style="65" hidden="1" customWidth="1"/>
    <col min="15109" max="15109" width="10.85546875" style="65" hidden="1" customWidth="1"/>
    <col min="15110" max="15110" width="9.28515625" style="65" hidden="1" customWidth="1"/>
    <col min="15111" max="15111" width="14.42578125" style="65" hidden="1" customWidth="1"/>
    <col min="15112" max="15112" width="2.28515625" style="65" hidden="1" customWidth="1"/>
    <col min="15113" max="15114" width="10.28515625" style="65" hidden="1" customWidth="1"/>
    <col min="15115" max="15115" width="9.28515625" style="65" hidden="1" customWidth="1"/>
    <col min="15116" max="15116" width="13.85546875" style="65" hidden="1" customWidth="1"/>
    <col min="15117" max="15117" width="2.28515625" style="65" hidden="1" customWidth="1"/>
    <col min="15118" max="15119" width="10.42578125" style="65" hidden="1" customWidth="1"/>
    <col min="15120" max="15120" width="9.28515625" style="65" hidden="1" customWidth="1"/>
    <col min="15121" max="15121" width="14.42578125" style="65" hidden="1" customWidth="1"/>
    <col min="15122" max="15122" width="9.140625" style="65" hidden="1" customWidth="1"/>
    <col min="15123" max="15123" width="0" style="65" hidden="1" customWidth="1"/>
    <col min="15124" max="15360" width="0" style="65" hidden="1"/>
    <col min="15361" max="15361" width="2.42578125" style="65" hidden="1" customWidth="1"/>
    <col min="15362" max="15362" width="3.28515625" style="65" hidden="1" customWidth="1"/>
    <col min="15363" max="15363" width="41.7109375" style="65" hidden="1" customWidth="1"/>
    <col min="15364" max="15364" width="13.7109375" style="65" hidden="1" customWidth="1"/>
    <col min="15365" max="15365" width="10.85546875" style="65" hidden="1" customWidth="1"/>
    <col min="15366" max="15366" width="9.28515625" style="65" hidden="1" customWidth="1"/>
    <col min="15367" max="15367" width="14.42578125" style="65" hidden="1" customWidth="1"/>
    <col min="15368" max="15368" width="2.28515625" style="65" hidden="1" customWidth="1"/>
    <col min="15369" max="15370" width="10.28515625" style="65" hidden="1" customWidth="1"/>
    <col min="15371" max="15371" width="9.28515625" style="65" hidden="1" customWidth="1"/>
    <col min="15372" max="15372" width="13.85546875" style="65" hidden="1" customWidth="1"/>
    <col min="15373" max="15373" width="2.28515625" style="65" hidden="1" customWidth="1"/>
    <col min="15374" max="15375" width="10.42578125" style="65" hidden="1" customWidth="1"/>
    <col min="15376" max="15376" width="9.28515625" style="65" hidden="1" customWidth="1"/>
    <col min="15377" max="15377" width="14.42578125" style="65" hidden="1" customWidth="1"/>
    <col min="15378" max="15378" width="9.140625" style="65" hidden="1" customWidth="1"/>
    <col min="15379" max="15379" width="0" style="65" hidden="1" customWidth="1"/>
    <col min="15380" max="15616" width="0" style="65" hidden="1"/>
    <col min="15617" max="15617" width="2.42578125" style="65" hidden="1" customWidth="1"/>
    <col min="15618" max="15618" width="3.28515625" style="65" hidden="1" customWidth="1"/>
    <col min="15619" max="15619" width="41.7109375" style="65" hidden="1" customWidth="1"/>
    <col min="15620" max="15620" width="13.7109375" style="65" hidden="1" customWidth="1"/>
    <col min="15621" max="15621" width="10.85546875" style="65" hidden="1" customWidth="1"/>
    <col min="15622" max="15622" width="9.28515625" style="65" hidden="1" customWidth="1"/>
    <col min="15623" max="15623" width="14.42578125" style="65" hidden="1" customWidth="1"/>
    <col min="15624" max="15624" width="2.28515625" style="65" hidden="1" customWidth="1"/>
    <col min="15625" max="15626" width="10.28515625" style="65" hidden="1" customWidth="1"/>
    <col min="15627" max="15627" width="9.28515625" style="65" hidden="1" customWidth="1"/>
    <col min="15628" max="15628" width="13.85546875" style="65" hidden="1" customWidth="1"/>
    <col min="15629" max="15629" width="2.28515625" style="65" hidden="1" customWidth="1"/>
    <col min="15630" max="15631" width="10.42578125" style="65" hidden="1" customWidth="1"/>
    <col min="15632" max="15632" width="9.28515625" style="65" hidden="1" customWidth="1"/>
    <col min="15633" max="15633" width="14.42578125" style="65" hidden="1" customWidth="1"/>
    <col min="15634" max="15634" width="9.140625" style="65" hidden="1" customWidth="1"/>
    <col min="15635" max="15635" width="0" style="65" hidden="1" customWidth="1"/>
    <col min="15636" max="15872" width="0" style="65" hidden="1"/>
    <col min="15873" max="15873" width="2.42578125" style="65" hidden="1" customWidth="1"/>
    <col min="15874" max="15874" width="3.28515625" style="65" hidden="1" customWidth="1"/>
    <col min="15875" max="15875" width="41.7109375" style="65" hidden="1" customWidth="1"/>
    <col min="15876" max="15876" width="13.7109375" style="65" hidden="1" customWidth="1"/>
    <col min="15877" max="15877" width="10.85546875" style="65" hidden="1" customWidth="1"/>
    <col min="15878" max="15878" width="9.28515625" style="65" hidden="1" customWidth="1"/>
    <col min="15879" max="15879" width="14.42578125" style="65" hidden="1" customWidth="1"/>
    <col min="15880" max="15880" width="2.28515625" style="65" hidden="1" customWidth="1"/>
    <col min="15881" max="15882" width="10.28515625" style="65" hidden="1" customWidth="1"/>
    <col min="15883" max="15883" width="9.28515625" style="65" hidden="1" customWidth="1"/>
    <col min="15884" max="15884" width="13.85546875" style="65" hidden="1" customWidth="1"/>
    <col min="15885" max="15885" width="2.28515625" style="65" hidden="1" customWidth="1"/>
    <col min="15886" max="15887" width="10.42578125" style="65" hidden="1" customWidth="1"/>
    <col min="15888" max="15888" width="9.28515625" style="65" hidden="1" customWidth="1"/>
    <col min="15889" max="15889" width="14.42578125" style="65" hidden="1" customWidth="1"/>
    <col min="15890" max="15890" width="9.140625" style="65" hidden="1" customWidth="1"/>
    <col min="15891" max="15891" width="0" style="65" hidden="1" customWidth="1"/>
    <col min="15892" max="16128" width="0" style="65" hidden="1"/>
    <col min="16129" max="16129" width="2.42578125" style="65" hidden="1" customWidth="1"/>
    <col min="16130" max="16130" width="3.28515625" style="65" hidden="1" customWidth="1"/>
    <col min="16131" max="16131" width="41.7109375" style="65" hidden="1" customWidth="1"/>
    <col min="16132" max="16132" width="13.7109375" style="65" hidden="1" customWidth="1"/>
    <col min="16133" max="16133" width="10.85546875" style="65" hidden="1" customWidth="1"/>
    <col min="16134" max="16134" width="9.28515625" style="65" hidden="1" customWidth="1"/>
    <col min="16135" max="16135" width="14.42578125" style="65" hidden="1" customWidth="1"/>
    <col min="16136" max="16136" width="2.28515625" style="65" hidden="1" customWidth="1"/>
    <col min="16137" max="16138" width="10.28515625" style="65" hidden="1" customWidth="1"/>
    <col min="16139" max="16139" width="9.28515625" style="65" hidden="1" customWidth="1"/>
    <col min="16140" max="16140" width="13.85546875" style="65" hidden="1" customWidth="1"/>
    <col min="16141" max="16141" width="2.28515625" style="65" hidden="1" customWidth="1"/>
    <col min="16142" max="16143" width="10.42578125" style="65" hidden="1" customWidth="1"/>
    <col min="16144" max="16144" width="9.28515625" style="65" hidden="1" customWidth="1"/>
    <col min="16145" max="16145" width="14.42578125" style="65" hidden="1" customWidth="1"/>
    <col min="16146" max="16146" width="9.140625" style="65" hidden="1" customWidth="1"/>
    <col min="16147" max="16147" width="0" style="65" hidden="1" customWidth="1"/>
    <col min="16148" max="16384" width="0" style="65" hidden="1"/>
  </cols>
  <sheetData>
    <row r="1" spans="2:17" ht="6.75" customHeight="1" thickBot="1" x14ac:dyDescent="0.25"/>
    <row r="2" spans="2:17" ht="16.5" customHeight="1" x14ac:dyDescent="0.2">
      <c r="C2" s="2230" t="str">
        <f>'Borrower Details'!A2</f>
        <v>Mortgage-Magnus-Unsecured</v>
      </c>
      <c r="D2" s="2231"/>
      <c r="E2" s="2231"/>
      <c r="F2" s="2231"/>
      <c r="G2" s="2231"/>
      <c r="H2" s="2231"/>
      <c r="I2" s="2231"/>
      <c r="J2" s="2231"/>
      <c r="K2" s="2231"/>
      <c r="L2" s="2231"/>
      <c r="M2" s="2231"/>
      <c r="N2" s="2231"/>
      <c r="O2" s="2231" t="s">
        <v>2499</v>
      </c>
      <c r="P2" s="2231"/>
      <c r="Q2" s="2182"/>
    </row>
    <row r="3" spans="2:17" ht="16.5" customHeight="1" x14ac:dyDescent="0.2">
      <c r="C3" s="2232"/>
      <c r="D3" s="2233"/>
      <c r="E3" s="2233"/>
      <c r="F3" s="2233"/>
      <c r="G3" s="2233"/>
      <c r="H3" s="2233"/>
      <c r="I3" s="2233"/>
      <c r="J3" s="2233"/>
      <c r="K3" s="2233"/>
      <c r="L3" s="2233"/>
      <c r="M3" s="2233"/>
      <c r="N3" s="2233"/>
      <c r="O3" s="2233"/>
      <c r="P3" s="2233"/>
      <c r="Q3" s="2183"/>
    </row>
    <row r="4" spans="2:17" ht="16.5" customHeight="1" thickBot="1" x14ac:dyDescent="0.25">
      <c r="C4" s="2234"/>
      <c r="D4" s="2235"/>
      <c r="E4" s="2235"/>
      <c r="F4" s="2235"/>
      <c r="G4" s="2235"/>
      <c r="H4" s="2235"/>
      <c r="I4" s="2235"/>
      <c r="J4" s="2235"/>
      <c r="K4" s="2235"/>
      <c r="L4" s="2235"/>
      <c r="M4" s="2235"/>
      <c r="N4" s="2235"/>
      <c r="O4" s="2235"/>
      <c r="P4" s="2235"/>
      <c r="Q4" s="2241"/>
    </row>
    <row r="5" spans="2:17" ht="16.5" customHeight="1" x14ac:dyDescent="0.2">
      <c r="C5" s="2228" t="s">
        <v>2501</v>
      </c>
      <c r="D5" s="2229"/>
      <c r="E5" s="2229"/>
      <c r="F5" s="2229"/>
      <c r="G5" s="2229"/>
      <c r="H5" s="2229"/>
      <c r="I5" s="2229"/>
      <c r="J5" s="2229"/>
      <c r="K5" s="2229"/>
      <c r="L5" s="2229"/>
      <c r="M5" s="2229"/>
      <c r="N5" s="2229"/>
      <c r="O5" s="2229"/>
      <c r="P5" s="2229"/>
      <c r="Q5" s="2236"/>
    </row>
    <row r="6" spans="2:17" ht="16.5" customHeight="1" x14ac:dyDescent="0.2">
      <c r="C6" s="2239" t="s">
        <v>249</v>
      </c>
      <c r="D6" s="2240"/>
      <c r="E6" s="2240"/>
      <c r="F6" s="2240"/>
      <c r="G6" s="2240"/>
      <c r="H6" s="132"/>
      <c r="I6" s="132"/>
      <c r="J6" s="132"/>
      <c r="K6" s="132"/>
      <c r="L6" s="132"/>
      <c r="M6" s="132"/>
      <c r="N6" s="132"/>
      <c r="O6" s="132"/>
      <c r="P6" s="132"/>
      <c r="Q6" s="502"/>
    </row>
    <row r="7" spans="2:17" ht="16.5" customHeight="1" x14ac:dyDescent="0.2">
      <c r="B7" s="65"/>
      <c r="C7" s="1105"/>
      <c r="D7" s="2244" t="s">
        <v>303</v>
      </c>
      <c r="E7" s="2244"/>
      <c r="F7" s="2244"/>
      <c r="G7" s="2244"/>
      <c r="H7" s="132"/>
      <c r="I7" s="2244" t="s">
        <v>315</v>
      </c>
      <c r="J7" s="2244"/>
      <c r="K7" s="2244"/>
      <c r="L7" s="2244"/>
      <c r="M7" s="132"/>
      <c r="N7" s="2244" t="s">
        <v>316</v>
      </c>
      <c r="O7" s="2244"/>
      <c r="P7" s="2244"/>
      <c r="Q7" s="2245"/>
    </row>
    <row r="8" spans="2:17" ht="16.5" customHeight="1" x14ac:dyDescent="0.2">
      <c r="B8" s="65"/>
      <c r="C8" s="1105" t="s">
        <v>302</v>
      </c>
      <c r="D8" s="2237"/>
      <c r="E8" s="2237"/>
      <c r="F8" s="2237"/>
      <c r="G8" s="2237"/>
      <c r="H8" s="132"/>
      <c r="I8" s="2237"/>
      <c r="J8" s="2237"/>
      <c r="K8" s="2237"/>
      <c r="L8" s="2237"/>
      <c r="M8" s="132"/>
      <c r="N8" s="2237"/>
      <c r="O8" s="2237"/>
      <c r="P8" s="2237"/>
      <c r="Q8" s="2243"/>
    </row>
    <row r="9" spans="2:17" ht="14.25" customHeight="1" x14ac:dyDescent="0.2">
      <c r="B9" s="65"/>
      <c r="C9" s="1105" t="s">
        <v>304</v>
      </c>
      <c r="D9" s="2238"/>
      <c r="E9" s="2238"/>
      <c r="F9" s="1106" t="s">
        <v>294</v>
      </c>
      <c r="G9" s="23"/>
      <c r="H9" s="132"/>
      <c r="I9" s="2238"/>
      <c r="J9" s="2238"/>
      <c r="K9" s="1106" t="s">
        <v>294</v>
      </c>
      <c r="L9" s="23"/>
      <c r="M9" s="132"/>
      <c r="N9" s="2238"/>
      <c r="O9" s="2238"/>
      <c r="P9" s="1106" t="s">
        <v>294</v>
      </c>
      <c r="Q9" s="501"/>
    </row>
    <row r="10" spans="2:17" ht="14.25" customHeight="1" x14ac:dyDescent="0.2">
      <c r="B10" s="65"/>
      <c r="C10" s="1105" t="s">
        <v>305</v>
      </c>
      <c r="D10" s="23"/>
      <c r="E10" s="2242" t="s">
        <v>306</v>
      </c>
      <c r="F10" s="2242"/>
      <c r="G10" s="23"/>
      <c r="H10" s="132"/>
      <c r="I10" s="23"/>
      <c r="J10" s="2242" t="s">
        <v>306</v>
      </c>
      <c r="K10" s="2242"/>
      <c r="L10" s="23"/>
      <c r="M10" s="132"/>
      <c r="N10" s="23"/>
      <c r="O10" s="2242" t="s">
        <v>306</v>
      </c>
      <c r="P10" s="2242"/>
      <c r="Q10" s="501"/>
    </row>
    <row r="11" spans="2:17" ht="14.25" customHeight="1" x14ac:dyDescent="0.2">
      <c r="B11" s="65"/>
      <c r="C11" s="1105" t="s">
        <v>307</v>
      </c>
      <c r="D11" s="2246"/>
      <c r="E11" s="2247"/>
      <c r="F11" s="2247"/>
      <c r="G11" s="2248"/>
      <c r="H11" s="132"/>
      <c r="I11" s="2246"/>
      <c r="J11" s="2247"/>
      <c r="K11" s="2247"/>
      <c r="L11" s="2248"/>
      <c r="M11" s="132"/>
      <c r="N11" s="2246"/>
      <c r="O11" s="2247"/>
      <c r="P11" s="2247"/>
      <c r="Q11" s="2249"/>
    </row>
    <row r="12" spans="2:17" ht="14.25" customHeight="1" x14ac:dyDescent="0.2">
      <c r="B12" s="65"/>
      <c r="C12" s="1105" t="s">
        <v>312</v>
      </c>
      <c r="D12" s="919" t="s">
        <v>308</v>
      </c>
      <c r="E12" s="919" t="s">
        <v>309</v>
      </c>
      <c r="F12" s="919" t="s">
        <v>294</v>
      </c>
      <c r="G12" s="919" t="s">
        <v>310</v>
      </c>
      <c r="H12" s="132"/>
      <c r="I12" s="919" t="s">
        <v>308</v>
      </c>
      <c r="J12" s="919" t="s">
        <v>309</v>
      </c>
      <c r="K12" s="919" t="s">
        <v>294</v>
      </c>
      <c r="L12" s="919" t="s">
        <v>310</v>
      </c>
      <c r="M12" s="132"/>
      <c r="N12" s="919" t="s">
        <v>308</v>
      </c>
      <c r="O12" s="919" t="s">
        <v>309</v>
      </c>
      <c r="P12" s="919" t="s">
        <v>294</v>
      </c>
      <c r="Q12" s="1107" t="s">
        <v>310</v>
      </c>
    </row>
    <row r="13" spans="2:17" ht="14.25" customHeight="1" x14ac:dyDescent="0.2">
      <c r="B13" s="65"/>
      <c r="C13" s="1105" t="s">
        <v>311</v>
      </c>
      <c r="D13" s="23"/>
      <c r="E13" s="23"/>
      <c r="F13" s="23"/>
      <c r="G13" s="23"/>
      <c r="H13" s="132"/>
      <c r="I13" s="23"/>
      <c r="J13" s="23"/>
      <c r="K13" s="23"/>
      <c r="L13" s="23"/>
      <c r="M13" s="132"/>
      <c r="N13" s="23"/>
      <c r="O13" s="23"/>
      <c r="P13" s="23"/>
      <c r="Q13" s="501"/>
    </row>
    <row r="14" spans="2:17" ht="14.25" customHeight="1" x14ac:dyDescent="0.2">
      <c r="B14" s="65"/>
      <c r="C14" s="1105" t="s">
        <v>313</v>
      </c>
      <c r="D14" s="23"/>
      <c r="E14" s="23"/>
      <c r="F14" s="23"/>
      <c r="G14" s="23"/>
      <c r="H14" s="132"/>
      <c r="I14" s="23"/>
      <c r="J14" s="23"/>
      <c r="K14" s="23"/>
      <c r="L14" s="23"/>
      <c r="M14" s="132"/>
      <c r="N14" s="23"/>
      <c r="O14" s="23"/>
      <c r="P14" s="23"/>
      <c r="Q14" s="501"/>
    </row>
    <row r="15" spans="2:17" ht="14.25" customHeight="1" x14ac:dyDescent="0.2">
      <c r="B15" s="65"/>
      <c r="C15" s="1105" t="s">
        <v>314</v>
      </c>
      <c r="D15" s="23"/>
      <c r="E15" s="23"/>
      <c r="F15" s="23"/>
      <c r="G15" s="23"/>
      <c r="H15" s="132"/>
      <c r="I15" s="23"/>
      <c r="J15" s="23"/>
      <c r="K15" s="23"/>
      <c r="L15" s="23"/>
      <c r="M15" s="132"/>
      <c r="N15" s="23"/>
      <c r="O15" s="23"/>
      <c r="P15" s="23"/>
      <c r="Q15" s="501"/>
    </row>
    <row r="16" spans="2:17" ht="16.5" customHeight="1" x14ac:dyDescent="0.2">
      <c r="B16" s="65"/>
      <c r="C16" s="1105"/>
      <c r="D16" s="23"/>
      <c r="E16" s="23"/>
      <c r="F16" s="23"/>
      <c r="G16" s="23"/>
      <c r="H16" s="132"/>
      <c r="I16" s="23"/>
      <c r="J16" s="23"/>
      <c r="K16" s="23"/>
      <c r="L16" s="23"/>
      <c r="M16" s="132"/>
      <c r="N16" s="23"/>
      <c r="O16" s="23"/>
      <c r="P16" s="23"/>
      <c r="Q16" s="501"/>
    </row>
    <row r="17" spans="2:18" ht="12.75" customHeight="1" x14ac:dyDescent="0.2">
      <c r="C17" s="1108"/>
      <c r="D17" s="132"/>
      <c r="E17" s="132"/>
      <c r="F17" s="132"/>
      <c r="G17" s="132"/>
      <c r="H17" s="132"/>
      <c r="I17" s="132"/>
      <c r="J17" s="132"/>
      <c r="K17" s="132"/>
      <c r="L17" s="132"/>
      <c r="M17" s="132"/>
      <c r="N17" s="132"/>
      <c r="O17" s="132"/>
      <c r="P17" s="132"/>
      <c r="Q17" s="502"/>
    </row>
    <row r="18" spans="2:18" s="67" customFormat="1" ht="39.75" customHeight="1" x14ac:dyDescent="0.2">
      <c r="B18" s="66"/>
      <c r="C18" s="1109" t="s">
        <v>291</v>
      </c>
      <c r="D18" s="1110" t="s">
        <v>250</v>
      </c>
      <c r="E18" s="1110" t="s">
        <v>251</v>
      </c>
      <c r="F18" s="1110" t="s">
        <v>252</v>
      </c>
      <c r="G18" s="1110" t="s">
        <v>253</v>
      </c>
      <c r="H18" s="132"/>
      <c r="I18" s="1110" t="s">
        <v>250</v>
      </c>
      <c r="J18" s="1110" t="s">
        <v>251</v>
      </c>
      <c r="K18" s="1110" t="s">
        <v>252</v>
      </c>
      <c r="L18" s="1110" t="s">
        <v>253</v>
      </c>
      <c r="M18" s="132"/>
      <c r="N18" s="1110" t="s">
        <v>250</v>
      </c>
      <c r="O18" s="1110" t="s">
        <v>251</v>
      </c>
      <c r="P18" s="1110" t="s">
        <v>252</v>
      </c>
      <c r="Q18" s="1111" t="s">
        <v>253</v>
      </c>
      <c r="R18" s="1438"/>
    </row>
    <row r="19" spans="2:18" ht="14.25" customHeight="1" x14ac:dyDescent="0.2">
      <c r="B19" s="2253" t="s">
        <v>254</v>
      </c>
      <c r="C19" s="1112" t="s">
        <v>255</v>
      </c>
      <c r="D19" s="80"/>
      <c r="E19" s="1113">
        <v>1</v>
      </c>
      <c r="F19" s="1114">
        <f>D19*E19</f>
        <v>0</v>
      </c>
      <c r="G19" s="1114">
        <f>F19</f>
        <v>0</v>
      </c>
      <c r="H19" s="132"/>
      <c r="I19" s="27"/>
      <c r="J19" s="1113">
        <v>1</v>
      </c>
      <c r="K19" s="1114">
        <f>I19*J19</f>
        <v>0</v>
      </c>
      <c r="L19" s="1114">
        <f>K19</f>
        <v>0</v>
      </c>
      <c r="M19" s="132"/>
      <c r="N19" s="27"/>
      <c r="O19" s="1113">
        <v>1</v>
      </c>
      <c r="P19" s="1114">
        <f>N19*O19</f>
        <v>0</v>
      </c>
      <c r="Q19" s="1115">
        <f>P19</f>
        <v>0</v>
      </c>
      <c r="R19" s="1437" t="s">
        <v>3384</v>
      </c>
    </row>
    <row r="20" spans="2:18" ht="12.75" x14ac:dyDescent="0.2">
      <c r="B20" s="2253"/>
      <c r="C20" s="1112" t="s">
        <v>256</v>
      </c>
      <c r="D20" s="80"/>
      <c r="E20" s="1113">
        <v>1</v>
      </c>
      <c r="F20" s="1114">
        <f t="shared" ref="F20:F38" si="0">D20*E20</f>
        <v>0</v>
      </c>
      <c r="G20" s="1114">
        <f t="shared" ref="G20:G38" si="1">F20</f>
        <v>0</v>
      </c>
      <c r="H20" s="132"/>
      <c r="I20" s="27"/>
      <c r="J20" s="1113">
        <v>1</v>
      </c>
      <c r="K20" s="1114">
        <f t="shared" ref="K20:K38" si="2">I20*J20</f>
        <v>0</v>
      </c>
      <c r="L20" s="1114">
        <f t="shared" ref="L20:L30" si="3">K20</f>
        <v>0</v>
      </c>
      <c r="M20" s="132"/>
      <c r="N20" s="27"/>
      <c r="O20" s="1113">
        <v>1</v>
      </c>
      <c r="P20" s="1114">
        <f t="shared" ref="P20:P38" si="4">N20*O20</f>
        <v>0</v>
      </c>
      <c r="Q20" s="1115">
        <f t="shared" ref="Q20:Q30" si="5">P20</f>
        <v>0</v>
      </c>
      <c r="R20" s="1437" t="s">
        <v>3385</v>
      </c>
    </row>
    <row r="21" spans="2:18" ht="12.75" x14ac:dyDescent="0.2">
      <c r="B21" s="2253"/>
      <c r="C21" s="1112" t="s">
        <v>257</v>
      </c>
      <c r="D21" s="80"/>
      <c r="E21" s="1113">
        <v>1</v>
      </c>
      <c r="F21" s="1114">
        <f t="shared" si="0"/>
        <v>0</v>
      </c>
      <c r="G21" s="1114">
        <f t="shared" si="1"/>
        <v>0</v>
      </c>
      <c r="H21" s="132"/>
      <c r="I21" s="27"/>
      <c r="J21" s="1113">
        <v>1</v>
      </c>
      <c r="K21" s="1114">
        <f t="shared" si="2"/>
        <v>0</v>
      </c>
      <c r="L21" s="1114">
        <f t="shared" si="3"/>
        <v>0</v>
      </c>
      <c r="M21" s="132"/>
      <c r="N21" s="27"/>
      <c r="O21" s="1113">
        <v>1</v>
      </c>
      <c r="P21" s="1114">
        <f t="shared" si="4"/>
        <v>0</v>
      </c>
      <c r="Q21" s="1115">
        <f t="shared" si="5"/>
        <v>0</v>
      </c>
      <c r="R21" s="1437" t="s">
        <v>3386</v>
      </c>
    </row>
    <row r="22" spans="2:18" ht="12.75" x14ac:dyDescent="0.2">
      <c r="B22" s="2253"/>
      <c r="C22" s="1112" t="s">
        <v>258</v>
      </c>
      <c r="D22" s="80"/>
      <c r="E22" s="1113">
        <v>1</v>
      </c>
      <c r="F22" s="1114">
        <f t="shared" si="0"/>
        <v>0</v>
      </c>
      <c r="G22" s="1114">
        <f t="shared" si="1"/>
        <v>0</v>
      </c>
      <c r="H22" s="132"/>
      <c r="I22" s="27"/>
      <c r="J22" s="1113">
        <v>1</v>
      </c>
      <c r="K22" s="1114">
        <f t="shared" si="2"/>
        <v>0</v>
      </c>
      <c r="L22" s="1114">
        <f t="shared" si="3"/>
        <v>0</v>
      </c>
      <c r="M22" s="132"/>
      <c r="N22" s="27"/>
      <c r="O22" s="1113">
        <v>1</v>
      </c>
      <c r="P22" s="1114">
        <f t="shared" si="4"/>
        <v>0</v>
      </c>
      <c r="Q22" s="1115">
        <f t="shared" si="5"/>
        <v>0</v>
      </c>
      <c r="R22" s="1437" t="s">
        <v>3387</v>
      </c>
    </row>
    <row r="23" spans="2:18" ht="12.75" x14ac:dyDescent="0.2">
      <c r="B23" s="2253"/>
      <c r="C23" s="1112" t="s">
        <v>259</v>
      </c>
      <c r="D23" s="80"/>
      <c r="E23" s="1113">
        <v>1</v>
      </c>
      <c r="F23" s="1114">
        <f t="shared" si="0"/>
        <v>0</v>
      </c>
      <c r="G23" s="1114">
        <f t="shared" si="1"/>
        <v>0</v>
      </c>
      <c r="H23" s="132"/>
      <c r="I23" s="27"/>
      <c r="J23" s="1113">
        <v>1</v>
      </c>
      <c r="K23" s="1114">
        <f t="shared" si="2"/>
        <v>0</v>
      </c>
      <c r="L23" s="1114">
        <f t="shared" si="3"/>
        <v>0</v>
      </c>
      <c r="M23" s="132"/>
      <c r="N23" s="27"/>
      <c r="O23" s="1113">
        <v>1</v>
      </c>
      <c r="P23" s="1114">
        <f t="shared" si="4"/>
        <v>0</v>
      </c>
      <c r="Q23" s="1115">
        <f t="shared" si="5"/>
        <v>0</v>
      </c>
      <c r="R23" s="1437" t="s">
        <v>3388</v>
      </c>
    </row>
    <row r="24" spans="2:18" ht="12.75" x14ac:dyDescent="0.2">
      <c r="B24" s="2253"/>
      <c r="C24" s="1112" t="s">
        <v>260</v>
      </c>
      <c r="D24" s="80"/>
      <c r="E24" s="1113">
        <v>1</v>
      </c>
      <c r="F24" s="1114">
        <f t="shared" si="0"/>
        <v>0</v>
      </c>
      <c r="G24" s="1114">
        <f t="shared" si="1"/>
        <v>0</v>
      </c>
      <c r="H24" s="132"/>
      <c r="I24" s="27"/>
      <c r="J24" s="1113">
        <v>1</v>
      </c>
      <c r="K24" s="1114">
        <f t="shared" si="2"/>
        <v>0</v>
      </c>
      <c r="L24" s="1114">
        <f t="shared" si="3"/>
        <v>0</v>
      </c>
      <c r="M24" s="132"/>
      <c r="N24" s="27"/>
      <c r="O24" s="1113">
        <v>1</v>
      </c>
      <c r="P24" s="1114">
        <f t="shared" si="4"/>
        <v>0</v>
      </c>
      <c r="Q24" s="1115">
        <f t="shared" si="5"/>
        <v>0</v>
      </c>
      <c r="R24" s="1437" t="s">
        <v>3389</v>
      </c>
    </row>
    <row r="25" spans="2:18" ht="12.75" x14ac:dyDescent="0.2">
      <c r="B25" s="2253"/>
      <c r="C25" s="1112" t="s">
        <v>261</v>
      </c>
      <c r="D25" s="80"/>
      <c r="E25" s="1113">
        <v>1</v>
      </c>
      <c r="F25" s="1114">
        <f t="shared" si="0"/>
        <v>0</v>
      </c>
      <c r="G25" s="1114">
        <f t="shared" si="1"/>
        <v>0</v>
      </c>
      <c r="H25" s="132"/>
      <c r="I25" s="27"/>
      <c r="J25" s="1113">
        <v>1</v>
      </c>
      <c r="K25" s="1114">
        <f t="shared" si="2"/>
        <v>0</v>
      </c>
      <c r="L25" s="1114">
        <f t="shared" si="3"/>
        <v>0</v>
      </c>
      <c r="M25" s="132"/>
      <c r="N25" s="27"/>
      <c r="O25" s="1113">
        <v>1</v>
      </c>
      <c r="P25" s="1114">
        <f t="shared" si="4"/>
        <v>0</v>
      </c>
      <c r="Q25" s="1115">
        <f t="shared" si="5"/>
        <v>0</v>
      </c>
      <c r="R25" s="1437" t="s">
        <v>3390</v>
      </c>
    </row>
    <row r="26" spans="2:18" ht="12.75" x14ac:dyDescent="0.2">
      <c r="B26" s="2253"/>
      <c r="C26" s="1112" t="s">
        <v>262</v>
      </c>
      <c r="D26" s="80"/>
      <c r="E26" s="1113">
        <v>1</v>
      </c>
      <c r="F26" s="1114">
        <f t="shared" si="0"/>
        <v>0</v>
      </c>
      <c r="G26" s="1114">
        <f t="shared" si="1"/>
        <v>0</v>
      </c>
      <c r="H26" s="132"/>
      <c r="I26" s="27"/>
      <c r="J26" s="1113">
        <v>1</v>
      </c>
      <c r="K26" s="1114">
        <f t="shared" si="2"/>
        <v>0</v>
      </c>
      <c r="L26" s="1114">
        <f t="shared" si="3"/>
        <v>0</v>
      </c>
      <c r="M26" s="132"/>
      <c r="N26" s="27"/>
      <c r="O26" s="1113">
        <v>1</v>
      </c>
      <c r="P26" s="1114">
        <f t="shared" si="4"/>
        <v>0</v>
      </c>
      <c r="Q26" s="1115">
        <f t="shared" si="5"/>
        <v>0</v>
      </c>
      <c r="R26" s="1437" t="s">
        <v>3391</v>
      </c>
    </row>
    <row r="27" spans="2:18" ht="14.25" customHeight="1" x14ac:dyDescent="0.2">
      <c r="B27" s="2253"/>
      <c r="C27" s="1116" t="s">
        <v>292</v>
      </c>
      <c r="D27" s="80"/>
      <c r="E27" s="1113">
        <v>1</v>
      </c>
      <c r="F27" s="1114">
        <f t="shared" si="0"/>
        <v>0</v>
      </c>
      <c r="G27" s="1114">
        <f t="shared" si="1"/>
        <v>0</v>
      </c>
      <c r="H27" s="132"/>
      <c r="I27" s="27"/>
      <c r="J27" s="1113">
        <v>1</v>
      </c>
      <c r="K27" s="1114">
        <f t="shared" si="2"/>
        <v>0</v>
      </c>
      <c r="L27" s="1114">
        <f t="shared" si="3"/>
        <v>0</v>
      </c>
      <c r="M27" s="132"/>
      <c r="N27" s="27"/>
      <c r="O27" s="1113">
        <v>1</v>
      </c>
      <c r="P27" s="1114">
        <f t="shared" si="4"/>
        <v>0</v>
      </c>
      <c r="Q27" s="1115">
        <f t="shared" si="5"/>
        <v>0</v>
      </c>
      <c r="R27" s="1437" t="s">
        <v>3392</v>
      </c>
    </row>
    <row r="28" spans="2:18" ht="12.75" x14ac:dyDescent="0.2">
      <c r="B28" s="2253"/>
      <c r="C28" s="1112" t="s">
        <v>263</v>
      </c>
      <c r="D28" s="80"/>
      <c r="E28" s="1113">
        <v>1</v>
      </c>
      <c r="F28" s="1114">
        <f t="shared" si="0"/>
        <v>0</v>
      </c>
      <c r="G28" s="1114">
        <f t="shared" si="1"/>
        <v>0</v>
      </c>
      <c r="H28" s="132"/>
      <c r="I28" s="27"/>
      <c r="J28" s="1113">
        <v>1</v>
      </c>
      <c r="K28" s="1114">
        <f t="shared" si="2"/>
        <v>0</v>
      </c>
      <c r="L28" s="1114">
        <f t="shared" si="3"/>
        <v>0</v>
      </c>
      <c r="M28" s="132"/>
      <c r="N28" s="27"/>
      <c r="O28" s="1113">
        <v>1</v>
      </c>
      <c r="P28" s="1114">
        <f t="shared" si="4"/>
        <v>0</v>
      </c>
      <c r="Q28" s="1115">
        <f t="shared" si="5"/>
        <v>0</v>
      </c>
      <c r="R28" s="1437" t="s">
        <v>3393</v>
      </c>
    </row>
    <row r="29" spans="2:18" ht="12.75" x14ac:dyDescent="0.2">
      <c r="B29" s="2253"/>
      <c r="C29" s="1117" t="s">
        <v>264</v>
      </c>
      <c r="D29" s="80"/>
      <c r="E29" s="1113">
        <v>1</v>
      </c>
      <c r="F29" s="1114">
        <f t="shared" si="0"/>
        <v>0</v>
      </c>
      <c r="G29" s="1114">
        <f t="shared" si="1"/>
        <v>0</v>
      </c>
      <c r="H29" s="132"/>
      <c r="I29" s="27"/>
      <c r="J29" s="1113">
        <v>1</v>
      </c>
      <c r="K29" s="1114">
        <f t="shared" si="2"/>
        <v>0</v>
      </c>
      <c r="L29" s="1114">
        <f t="shared" si="3"/>
        <v>0</v>
      </c>
      <c r="M29" s="132"/>
      <c r="N29" s="27"/>
      <c r="O29" s="1113">
        <v>1</v>
      </c>
      <c r="P29" s="1114">
        <f t="shared" si="4"/>
        <v>0</v>
      </c>
      <c r="Q29" s="1115">
        <f t="shared" si="5"/>
        <v>0</v>
      </c>
      <c r="R29" s="1437" t="s">
        <v>3394</v>
      </c>
    </row>
    <row r="30" spans="2:18" ht="12.75" x14ac:dyDescent="0.2">
      <c r="B30" s="2253"/>
      <c r="C30" s="1112" t="s">
        <v>265</v>
      </c>
      <c r="D30" s="80"/>
      <c r="E30" s="1113">
        <v>1</v>
      </c>
      <c r="F30" s="1114">
        <f t="shared" si="0"/>
        <v>0</v>
      </c>
      <c r="G30" s="1114">
        <f t="shared" si="1"/>
        <v>0</v>
      </c>
      <c r="H30" s="132"/>
      <c r="I30" s="27"/>
      <c r="J30" s="1113">
        <v>1</v>
      </c>
      <c r="K30" s="1114">
        <f t="shared" si="2"/>
        <v>0</v>
      </c>
      <c r="L30" s="1114">
        <f t="shared" si="3"/>
        <v>0</v>
      </c>
      <c r="M30" s="132"/>
      <c r="N30" s="27"/>
      <c r="O30" s="1113">
        <v>1</v>
      </c>
      <c r="P30" s="1114">
        <f t="shared" si="4"/>
        <v>0</v>
      </c>
      <c r="Q30" s="1115">
        <f t="shared" si="5"/>
        <v>0</v>
      </c>
      <c r="R30" s="1437" t="s">
        <v>3395</v>
      </c>
    </row>
    <row r="31" spans="2:18" ht="12.75" x14ac:dyDescent="0.2">
      <c r="B31" s="2253"/>
      <c r="C31" s="1112" t="s">
        <v>265</v>
      </c>
      <c r="D31" s="80"/>
      <c r="E31" s="1113">
        <v>1</v>
      </c>
      <c r="F31" s="1114">
        <f t="shared" si="0"/>
        <v>0</v>
      </c>
      <c r="G31" s="1114">
        <f t="shared" si="1"/>
        <v>0</v>
      </c>
      <c r="H31" s="132"/>
      <c r="I31" s="27"/>
      <c r="J31" s="1113">
        <v>1</v>
      </c>
      <c r="K31" s="1114">
        <f t="shared" si="2"/>
        <v>0</v>
      </c>
      <c r="L31" s="1114">
        <f t="shared" ref="L31:L38" si="6">K31</f>
        <v>0</v>
      </c>
      <c r="M31" s="132"/>
      <c r="N31" s="27"/>
      <c r="O31" s="1113">
        <v>1</v>
      </c>
      <c r="P31" s="1114">
        <f t="shared" si="4"/>
        <v>0</v>
      </c>
      <c r="Q31" s="1115">
        <f t="shared" ref="Q31:Q38" si="7">P31</f>
        <v>0</v>
      </c>
      <c r="R31" s="1437" t="s">
        <v>3396</v>
      </c>
    </row>
    <row r="32" spans="2:18" ht="12.75" x14ac:dyDescent="0.2">
      <c r="B32" s="2253"/>
      <c r="C32" s="1112" t="s">
        <v>286</v>
      </c>
      <c r="D32" s="80">
        <f>D62</f>
        <v>0</v>
      </c>
      <c r="E32" s="1118">
        <v>1</v>
      </c>
      <c r="F32" s="1114">
        <f t="shared" si="0"/>
        <v>0</v>
      </c>
      <c r="G32" s="1114">
        <f t="shared" si="1"/>
        <v>0</v>
      </c>
      <c r="H32" s="132"/>
      <c r="I32" s="28">
        <f>E62</f>
        <v>0</v>
      </c>
      <c r="J32" s="1118">
        <v>1</v>
      </c>
      <c r="K32" s="1114">
        <f t="shared" si="2"/>
        <v>0</v>
      </c>
      <c r="L32" s="1114">
        <f t="shared" si="6"/>
        <v>0</v>
      </c>
      <c r="M32" s="132"/>
      <c r="N32" s="28">
        <f>F62</f>
        <v>0</v>
      </c>
      <c r="O32" s="1118">
        <v>1</v>
      </c>
      <c r="P32" s="1114">
        <f t="shared" si="4"/>
        <v>0</v>
      </c>
      <c r="Q32" s="1115">
        <f t="shared" si="7"/>
        <v>0</v>
      </c>
      <c r="R32" s="1437" t="s">
        <v>3397</v>
      </c>
    </row>
    <row r="33" spans="2:19" ht="14.25" customHeight="1" x14ac:dyDescent="0.2">
      <c r="B33" s="2253" t="s">
        <v>266</v>
      </c>
      <c r="C33" s="1112" t="s">
        <v>267</v>
      </c>
      <c r="D33" s="80"/>
      <c r="E33" s="1119">
        <v>1</v>
      </c>
      <c r="F33" s="1114">
        <f t="shared" si="0"/>
        <v>0</v>
      </c>
      <c r="G33" s="1114">
        <f t="shared" si="1"/>
        <v>0</v>
      </c>
      <c r="H33" s="132"/>
      <c r="I33" s="27"/>
      <c r="J33" s="1119">
        <v>1</v>
      </c>
      <c r="K33" s="1114">
        <f t="shared" si="2"/>
        <v>0</v>
      </c>
      <c r="L33" s="1114">
        <f t="shared" si="6"/>
        <v>0</v>
      </c>
      <c r="M33" s="132"/>
      <c r="N33" s="27"/>
      <c r="O33" s="1119">
        <v>1</v>
      </c>
      <c r="P33" s="1114">
        <f t="shared" si="4"/>
        <v>0</v>
      </c>
      <c r="Q33" s="1115">
        <f t="shared" si="7"/>
        <v>0</v>
      </c>
      <c r="R33" s="1437" t="s">
        <v>3398</v>
      </c>
    </row>
    <row r="34" spans="2:19" ht="12.75" x14ac:dyDescent="0.2">
      <c r="B34" s="2253"/>
      <c r="C34" s="1112" t="s">
        <v>268</v>
      </c>
      <c r="D34" s="80"/>
      <c r="E34" s="1119">
        <v>1</v>
      </c>
      <c r="F34" s="1114">
        <f t="shared" si="0"/>
        <v>0</v>
      </c>
      <c r="G34" s="1114">
        <f t="shared" si="1"/>
        <v>0</v>
      </c>
      <c r="H34" s="132"/>
      <c r="I34" s="27"/>
      <c r="J34" s="1119">
        <v>1</v>
      </c>
      <c r="K34" s="1114">
        <f t="shared" si="2"/>
        <v>0</v>
      </c>
      <c r="L34" s="1114">
        <f t="shared" si="6"/>
        <v>0</v>
      </c>
      <c r="M34" s="132"/>
      <c r="N34" s="27"/>
      <c r="O34" s="1119">
        <v>1</v>
      </c>
      <c r="P34" s="1114">
        <f t="shared" si="4"/>
        <v>0</v>
      </c>
      <c r="Q34" s="1115">
        <f t="shared" si="7"/>
        <v>0</v>
      </c>
      <c r="R34" s="1437" t="s">
        <v>3399</v>
      </c>
    </row>
    <row r="35" spans="2:19" ht="12.75" x14ac:dyDescent="0.2">
      <c r="B35" s="2253"/>
      <c r="C35" s="1112" t="s">
        <v>269</v>
      </c>
      <c r="D35" s="80"/>
      <c r="E35" s="1119">
        <v>1</v>
      </c>
      <c r="F35" s="1114">
        <f t="shared" si="0"/>
        <v>0</v>
      </c>
      <c r="G35" s="1114">
        <f t="shared" si="1"/>
        <v>0</v>
      </c>
      <c r="H35" s="132"/>
      <c r="I35" s="27"/>
      <c r="J35" s="1119">
        <v>1</v>
      </c>
      <c r="K35" s="1114">
        <f t="shared" si="2"/>
        <v>0</v>
      </c>
      <c r="L35" s="1114">
        <f t="shared" si="6"/>
        <v>0</v>
      </c>
      <c r="M35" s="132"/>
      <c r="N35" s="27"/>
      <c r="O35" s="1119">
        <v>1</v>
      </c>
      <c r="P35" s="1114">
        <f t="shared" si="4"/>
        <v>0</v>
      </c>
      <c r="Q35" s="1115">
        <f t="shared" si="7"/>
        <v>0</v>
      </c>
      <c r="R35" s="1437" t="s">
        <v>3400</v>
      </c>
    </row>
    <row r="36" spans="2:19" ht="12.75" x14ac:dyDescent="0.2">
      <c r="B36" s="2253"/>
      <c r="C36" s="1112" t="s">
        <v>269</v>
      </c>
      <c r="D36" s="80"/>
      <c r="E36" s="1119">
        <v>1</v>
      </c>
      <c r="F36" s="1114">
        <f t="shared" si="0"/>
        <v>0</v>
      </c>
      <c r="G36" s="1114">
        <f t="shared" si="1"/>
        <v>0</v>
      </c>
      <c r="H36" s="132"/>
      <c r="I36" s="27"/>
      <c r="J36" s="1119">
        <v>1</v>
      </c>
      <c r="K36" s="1114">
        <f t="shared" si="2"/>
        <v>0</v>
      </c>
      <c r="L36" s="1114">
        <f t="shared" si="6"/>
        <v>0</v>
      </c>
      <c r="M36" s="132"/>
      <c r="N36" s="27"/>
      <c r="O36" s="1119">
        <v>1</v>
      </c>
      <c r="P36" s="1114">
        <f t="shared" si="4"/>
        <v>0</v>
      </c>
      <c r="Q36" s="1115">
        <f t="shared" si="7"/>
        <v>0</v>
      </c>
      <c r="R36" s="1437" t="s">
        <v>3401</v>
      </c>
    </row>
    <row r="37" spans="2:19" ht="12.75" x14ac:dyDescent="0.2">
      <c r="B37" s="2253"/>
      <c r="C37" s="1112" t="s">
        <v>269</v>
      </c>
      <c r="D37" s="80"/>
      <c r="E37" s="1119">
        <v>1</v>
      </c>
      <c r="F37" s="1114">
        <f t="shared" si="0"/>
        <v>0</v>
      </c>
      <c r="G37" s="1114">
        <f t="shared" si="1"/>
        <v>0</v>
      </c>
      <c r="H37" s="132"/>
      <c r="I37" s="27"/>
      <c r="J37" s="1119">
        <v>1</v>
      </c>
      <c r="K37" s="1114">
        <f t="shared" si="2"/>
        <v>0</v>
      </c>
      <c r="L37" s="1114">
        <f t="shared" si="6"/>
        <v>0</v>
      </c>
      <c r="M37" s="132"/>
      <c r="N37" s="27"/>
      <c r="O37" s="1119">
        <v>1</v>
      </c>
      <c r="P37" s="1114">
        <f t="shared" si="4"/>
        <v>0</v>
      </c>
      <c r="Q37" s="1115">
        <f t="shared" si="7"/>
        <v>0</v>
      </c>
      <c r="R37" s="1437" t="s">
        <v>3402</v>
      </c>
    </row>
    <row r="38" spans="2:19" ht="12.75" x14ac:dyDescent="0.2">
      <c r="B38" s="2253"/>
      <c r="C38" s="1112" t="s">
        <v>269</v>
      </c>
      <c r="D38" s="80"/>
      <c r="E38" s="1119">
        <v>1</v>
      </c>
      <c r="F38" s="1114">
        <f t="shared" si="0"/>
        <v>0</v>
      </c>
      <c r="G38" s="1114">
        <f t="shared" si="1"/>
        <v>0</v>
      </c>
      <c r="H38" s="132"/>
      <c r="I38" s="27"/>
      <c r="J38" s="1119">
        <v>1</v>
      </c>
      <c r="K38" s="1114">
        <f t="shared" si="2"/>
        <v>0</v>
      </c>
      <c r="L38" s="1114">
        <f t="shared" si="6"/>
        <v>0</v>
      </c>
      <c r="M38" s="132"/>
      <c r="N38" s="27"/>
      <c r="O38" s="1119">
        <v>1</v>
      </c>
      <c r="P38" s="1114">
        <f t="shared" si="4"/>
        <v>0</v>
      </c>
      <c r="Q38" s="1115">
        <f t="shared" si="7"/>
        <v>0</v>
      </c>
      <c r="R38" s="1437" t="s">
        <v>3403</v>
      </c>
    </row>
    <row r="39" spans="2:19" ht="12.75" x14ac:dyDescent="0.2">
      <c r="C39" s="1108"/>
      <c r="D39" s="2261" t="s">
        <v>270</v>
      </c>
      <c r="E39" s="2262"/>
      <c r="F39" s="2262"/>
      <c r="G39" s="1120">
        <f>(SUM(G19:G32))+((SUM(G33:G38)/12))</f>
        <v>0</v>
      </c>
      <c r="H39" s="132"/>
      <c r="I39" s="2250" t="s">
        <v>270</v>
      </c>
      <c r="J39" s="2251"/>
      <c r="K39" s="2252"/>
      <c r="L39" s="1120">
        <f>(SUM(L19:L32))+((SUM(L33:L38)/12))</f>
        <v>0</v>
      </c>
      <c r="M39" s="132"/>
      <c r="N39" s="2250" t="s">
        <v>270</v>
      </c>
      <c r="O39" s="2251"/>
      <c r="P39" s="2252"/>
      <c r="Q39" s="1121">
        <f>(SUM(Q19:Q32))+((SUM(Q33:Q38)/12))</f>
        <v>0</v>
      </c>
      <c r="R39" s="1437" t="s">
        <v>3404</v>
      </c>
    </row>
    <row r="40" spans="2:19" ht="12.75" x14ac:dyDescent="0.2">
      <c r="C40" s="1108"/>
      <c r="D40" s="132"/>
      <c r="E40" s="132"/>
      <c r="F40" s="132"/>
      <c r="G40" s="132"/>
      <c r="H40" s="132"/>
      <c r="I40" s="132"/>
      <c r="J40" s="132"/>
      <c r="K40" s="132"/>
      <c r="L40" s="132"/>
      <c r="M40" s="132"/>
      <c r="N40" s="132"/>
      <c r="O40" s="132"/>
      <c r="P40" s="132"/>
      <c r="Q40" s="502"/>
    </row>
    <row r="41" spans="2:19" ht="12.75" x14ac:dyDescent="0.2">
      <c r="C41" s="1105" t="s">
        <v>271</v>
      </c>
      <c r="D41" s="1122">
        <f>(G39+L39+Q39)</f>
        <v>0</v>
      </c>
      <c r="E41" s="132"/>
      <c r="F41" s="995" t="s">
        <v>202</v>
      </c>
      <c r="G41" s="28"/>
      <c r="H41" s="132"/>
      <c r="I41" s="132" t="s">
        <v>706</v>
      </c>
      <c r="J41" s="132"/>
      <c r="K41" s="132"/>
      <c r="L41" s="132"/>
      <c r="M41" s="132"/>
      <c r="N41" s="132" t="s">
        <v>706</v>
      </c>
      <c r="O41" s="132"/>
      <c r="P41" s="132"/>
      <c r="Q41" s="502"/>
    </row>
    <row r="42" spans="2:19" ht="12.75" x14ac:dyDescent="0.2">
      <c r="C42" s="1105" t="s">
        <v>272</v>
      </c>
      <c r="D42" s="1122">
        <f>L60</f>
        <v>0</v>
      </c>
      <c r="E42" s="132"/>
      <c r="F42" s="995" t="s">
        <v>220</v>
      </c>
      <c r="G42" s="29"/>
      <c r="H42" s="132"/>
      <c r="I42" s="23" t="s">
        <v>612</v>
      </c>
      <c r="J42" s="23" t="s">
        <v>613</v>
      </c>
      <c r="K42" s="23" t="s">
        <v>614</v>
      </c>
      <c r="L42" s="23" t="s">
        <v>704</v>
      </c>
      <c r="M42" s="132"/>
      <c r="N42" s="23" t="s">
        <v>612</v>
      </c>
      <c r="O42" s="23" t="s">
        <v>613</v>
      </c>
      <c r="P42" s="23" t="s">
        <v>614</v>
      </c>
      <c r="Q42" s="501" t="s">
        <v>704</v>
      </c>
    </row>
    <row r="43" spans="2:19" ht="12.75" x14ac:dyDescent="0.2">
      <c r="C43" s="1123" t="s">
        <v>273</v>
      </c>
      <c r="D43" s="1122">
        <f>D41+D42</f>
        <v>0</v>
      </c>
      <c r="E43" s="132"/>
      <c r="F43" s="1124" t="s">
        <v>221</v>
      </c>
      <c r="G43" s="89" t="e">
        <f>ROUND(-PMT(G42/12,G41,100000),0)</f>
        <v>#NUM!</v>
      </c>
      <c r="H43" s="132"/>
      <c r="I43" s="92">
        <v>43556</v>
      </c>
      <c r="J43" s="23"/>
      <c r="K43" s="23"/>
      <c r="L43" s="23"/>
      <c r="M43" s="132"/>
      <c r="N43" s="92">
        <f>I43</f>
        <v>43556</v>
      </c>
      <c r="O43" s="23"/>
      <c r="P43" s="23"/>
      <c r="Q43" s="501"/>
    </row>
    <row r="44" spans="2:19" ht="12.75" x14ac:dyDescent="0.2">
      <c r="C44" s="1108"/>
      <c r="D44" s="1125"/>
      <c r="E44" s="132"/>
      <c r="F44" s="132"/>
      <c r="G44" s="132"/>
      <c r="H44" s="132"/>
      <c r="I44" s="92">
        <f t="shared" ref="I44:I50" si="8">I43-30</f>
        <v>43526</v>
      </c>
      <c r="J44" s="23"/>
      <c r="K44" s="23"/>
      <c r="L44" s="23"/>
      <c r="M44" s="132"/>
      <c r="N44" s="92">
        <f t="shared" ref="N44:N50" si="9">I44</f>
        <v>43526</v>
      </c>
      <c r="O44" s="23"/>
      <c r="P44" s="23"/>
      <c r="Q44" s="501"/>
    </row>
    <row r="45" spans="2:19" ht="12.75" x14ac:dyDescent="0.2">
      <c r="C45" s="1123" t="s">
        <v>222</v>
      </c>
      <c r="D45" s="30">
        <v>0.6</v>
      </c>
      <c r="E45" s="132"/>
      <c r="F45" s="79" t="s">
        <v>274</v>
      </c>
      <c r="G45" s="89"/>
      <c r="H45" s="132"/>
      <c r="I45" s="92">
        <f t="shared" si="8"/>
        <v>43496</v>
      </c>
      <c r="J45" s="23"/>
      <c r="K45" s="23"/>
      <c r="L45" s="23"/>
      <c r="M45" s="132"/>
      <c r="N45" s="92">
        <f t="shared" si="9"/>
        <v>43496</v>
      </c>
      <c r="O45" s="23"/>
      <c r="P45" s="23"/>
      <c r="Q45" s="501"/>
      <c r="R45" s="1439"/>
      <c r="S45" s="68"/>
    </row>
    <row r="46" spans="2:19" ht="12.75" x14ac:dyDescent="0.2">
      <c r="C46" s="1123" t="s">
        <v>223</v>
      </c>
      <c r="D46" s="179">
        <f>D43</f>
        <v>0</v>
      </c>
      <c r="E46" s="132"/>
      <c r="F46" s="995" t="s">
        <v>229</v>
      </c>
      <c r="G46" s="89" t="e">
        <f>ROUND(-PMT(G42/12,G41,G45),0)</f>
        <v>#NUM!</v>
      </c>
      <c r="H46" s="132"/>
      <c r="I46" s="92">
        <f t="shared" si="8"/>
        <v>43466</v>
      </c>
      <c r="J46" s="23"/>
      <c r="K46" s="23"/>
      <c r="L46" s="23"/>
      <c r="M46" s="132"/>
      <c r="N46" s="92">
        <f t="shared" si="9"/>
        <v>43466</v>
      </c>
      <c r="O46" s="23"/>
      <c r="P46" s="23"/>
      <c r="Q46" s="501"/>
      <c r="R46" s="1439"/>
      <c r="S46" s="68"/>
    </row>
    <row r="47" spans="2:19" ht="12.75" x14ac:dyDescent="0.2">
      <c r="C47" s="1126" t="s">
        <v>224</v>
      </c>
      <c r="D47" s="179">
        <f>D45*D46</f>
        <v>0</v>
      </c>
      <c r="E47" s="132"/>
      <c r="F47" s="995" t="s">
        <v>230</v>
      </c>
      <c r="G47" s="1127" t="e">
        <f>(G46+D48)/D46</f>
        <v>#NUM!</v>
      </c>
      <c r="H47" s="132"/>
      <c r="I47" s="92">
        <f t="shared" si="8"/>
        <v>43436</v>
      </c>
      <c r="J47" s="23"/>
      <c r="K47" s="23"/>
      <c r="L47" s="23"/>
      <c r="M47" s="132"/>
      <c r="N47" s="92">
        <f t="shared" si="9"/>
        <v>43436</v>
      </c>
      <c r="O47" s="23"/>
      <c r="P47" s="23"/>
      <c r="Q47" s="501"/>
      <c r="R47" s="1439"/>
      <c r="S47" s="68"/>
    </row>
    <row r="48" spans="2:19" ht="12.75" x14ac:dyDescent="0.2">
      <c r="C48" s="1126" t="s">
        <v>225</v>
      </c>
      <c r="D48" s="179">
        <f>'EMI Chart'!I43</f>
        <v>96610</v>
      </c>
      <c r="E48" s="132"/>
      <c r="F48" s="132"/>
      <c r="G48" s="132"/>
      <c r="H48" s="132"/>
      <c r="I48" s="92">
        <f t="shared" si="8"/>
        <v>43406</v>
      </c>
      <c r="J48" s="23"/>
      <c r="K48" s="23"/>
      <c r="L48" s="23"/>
      <c r="M48" s="132"/>
      <c r="N48" s="92">
        <f t="shared" si="9"/>
        <v>43406</v>
      </c>
      <c r="O48" s="23"/>
      <c r="P48" s="23"/>
      <c r="Q48" s="501"/>
      <c r="S48" s="69"/>
    </row>
    <row r="49" spans="2:18" ht="12.75" x14ac:dyDescent="0.2">
      <c r="C49" s="1126" t="s">
        <v>226</v>
      </c>
      <c r="D49" s="179">
        <f>D47-D48</f>
        <v>-96610</v>
      </c>
      <c r="E49" s="132"/>
      <c r="F49" s="132"/>
      <c r="G49" s="132"/>
      <c r="H49" s="132"/>
      <c r="I49" s="92">
        <f t="shared" si="8"/>
        <v>43376</v>
      </c>
      <c r="J49" s="23" t="s">
        <v>705</v>
      </c>
      <c r="K49" s="23" t="s">
        <v>705</v>
      </c>
      <c r="L49" s="23" t="s">
        <v>705</v>
      </c>
      <c r="M49" s="132"/>
      <c r="N49" s="92">
        <f t="shared" si="9"/>
        <v>43376</v>
      </c>
      <c r="O49" s="23"/>
      <c r="P49" s="23"/>
      <c r="Q49" s="501"/>
    </row>
    <row r="50" spans="2:18" ht="12.75" x14ac:dyDescent="0.2">
      <c r="C50" s="1126" t="s">
        <v>227</v>
      </c>
      <c r="D50" s="1128" t="e">
        <f>D49/G43</f>
        <v>#NUM!</v>
      </c>
      <c r="E50" s="132"/>
      <c r="F50" s="132"/>
      <c r="G50" s="132"/>
      <c r="H50" s="132"/>
      <c r="I50" s="92">
        <f t="shared" si="8"/>
        <v>43346</v>
      </c>
      <c r="J50" s="23"/>
      <c r="K50" s="23"/>
      <c r="L50" s="23"/>
      <c r="M50" s="132"/>
      <c r="N50" s="92">
        <f t="shared" si="9"/>
        <v>43346</v>
      </c>
      <c r="O50" s="23"/>
      <c r="P50" s="23"/>
      <c r="Q50" s="501"/>
    </row>
    <row r="51" spans="2:18" ht="12.75" x14ac:dyDescent="0.2">
      <c r="C51" s="1129" t="s">
        <v>736</v>
      </c>
      <c r="D51" s="179">
        <f>SUM(IFERROR(MEDIAN(K43:K45),0),IFERROR(MEDIAN(P43:P45),0),IFERROR(MEDIAN(P57:P59),0))</f>
        <v>0</v>
      </c>
      <c r="E51" s="132"/>
      <c r="F51" s="132"/>
      <c r="G51" s="132"/>
      <c r="H51" s="132"/>
      <c r="I51" s="131"/>
      <c r="J51" s="132"/>
      <c r="K51" s="132"/>
      <c r="L51" s="132"/>
      <c r="M51" s="132"/>
      <c r="N51" s="131"/>
      <c r="O51" s="132"/>
      <c r="P51" s="132"/>
      <c r="Q51" s="502"/>
    </row>
    <row r="52" spans="2:18" ht="12.75" x14ac:dyDescent="0.2">
      <c r="C52" s="1129" t="s">
        <v>737</v>
      </c>
      <c r="D52" s="179" t="e">
        <f>D48+G46</f>
        <v>#NUM!</v>
      </c>
      <c r="E52" s="132"/>
      <c r="F52" s="132"/>
      <c r="G52" s="132"/>
      <c r="H52" s="132"/>
      <c r="I52" s="131"/>
      <c r="J52" s="132"/>
      <c r="K52" s="132"/>
      <c r="L52" s="132"/>
      <c r="M52" s="132"/>
      <c r="N52" s="131"/>
      <c r="O52" s="132"/>
      <c r="P52" s="132"/>
      <c r="Q52" s="502"/>
    </row>
    <row r="53" spans="2:18" ht="12.75" x14ac:dyDescent="0.2">
      <c r="C53" s="1130" t="s">
        <v>739</v>
      </c>
      <c r="D53" s="1131" t="e">
        <f>IF(D51*90%&gt;=D52,"Okay","Not Okay")</f>
        <v>#NUM!</v>
      </c>
      <c r="E53" s="1132" t="s">
        <v>738</v>
      </c>
      <c r="F53" s="132"/>
      <c r="G53" s="132"/>
      <c r="H53" s="132"/>
      <c r="I53" s="131"/>
      <c r="J53" s="132"/>
      <c r="K53" s="132"/>
      <c r="L53" s="132"/>
      <c r="M53" s="132"/>
      <c r="N53" s="131"/>
      <c r="O53" s="132"/>
      <c r="P53" s="132"/>
      <c r="Q53" s="502"/>
    </row>
    <row r="54" spans="2:18" ht="12.75" x14ac:dyDescent="0.2">
      <c r="C54" s="1133"/>
      <c r="D54" s="1134"/>
      <c r="E54" s="132"/>
      <c r="F54" s="132"/>
      <c r="G54" s="132"/>
      <c r="H54" s="132"/>
      <c r="I54" s="132"/>
      <c r="J54" s="132"/>
      <c r="K54" s="132"/>
      <c r="L54" s="132"/>
      <c r="M54" s="132"/>
      <c r="N54" s="132"/>
      <c r="O54" s="132"/>
      <c r="P54" s="132"/>
      <c r="Q54" s="502"/>
    </row>
    <row r="55" spans="2:18" s="71" customFormat="1" ht="19.5" x14ac:dyDescent="0.3">
      <c r="B55" s="70"/>
      <c r="C55" s="2257" t="s">
        <v>275</v>
      </c>
      <c r="D55" s="2258"/>
      <c r="E55" s="2258"/>
      <c r="F55" s="2259"/>
      <c r="G55" s="1135"/>
      <c r="H55" s="1135"/>
      <c r="I55" s="2260" t="s">
        <v>284</v>
      </c>
      <c r="J55" s="2258"/>
      <c r="K55" s="2258"/>
      <c r="L55" s="2259"/>
      <c r="M55" s="1135"/>
      <c r="N55" s="132" t="s">
        <v>706</v>
      </c>
      <c r="O55" s="503"/>
      <c r="P55" s="503"/>
      <c r="Q55" s="504"/>
      <c r="R55" s="1440"/>
    </row>
    <row r="56" spans="2:18" ht="12.75" customHeight="1" x14ac:dyDescent="0.2">
      <c r="C56" s="1105"/>
      <c r="D56" s="1136" t="s">
        <v>276</v>
      </c>
      <c r="E56" s="1136" t="s">
        <v>277</v>
      </c>
      <c r="F56" s="1136" t="s">
        <v>278</v>
      </c>
      <c r="G56" s="132"/>
      <c r="H56" s="1137"/>
      <c r="I56" s="1138" t="s">
        <v>237</v>
      </c>
      <c r="J56" s="1139"/>
      <c r="K56" s="1140"/>
      <c r="L56" s="25"/>
      <c r="M56" s="1137"/>
      <c r="N56" s="23" t="s">
        <v>612</v>
      </c>
      <c r="O56" s="23" t="s">
        <v>613</v>
      </c>
      <c r="P56" s="23" t="s">
        <v>614</v>
      </c>
      <c r="Q56" s="501" t="s">
        <v>704</v>
      </c>
    </row>
    <row r="57" spans="2:18" ht="12.75" customHeight="1" x14ac:dyDescent="0.2">
      <c r="C57" s="1141" t="s">
        <v>279</v>
      </c>
      <c r="D57" s="24"/>
      <c r="E57" s="24"/>
      <c r="F57" s="24"/>
      <c r="G57" s="1137"/>
      <c r="H57" s="1137"/>
      <c r="I57" s="1138" t="s">
        <v>693</v>
      </c>
      <c r="J57" s="1142"/>
      <c r="K57" s="1143"/>
      <c r="L57" s="1144">
        <f>L56*75%</f>
        <v>0</v>
      </c>
      <c r="M57" s="1137"/>
      <c r="N57" s="92">
        <f>I43</f>
        <v>43556</v>
      </c>
      <c r="O57" s="23"/>
      <c r="P57" s="23"/>
      <c r="Q57" s="501"/>
    </row>
    <row r="58" spans="2:18" ht="12.75" customHeight="1" x14ac:dyDescent="0.2">
      <c r="C58" s="1141" t="s">
        <v>280</v>
      </c>
      <c r="D58" s="24"/>
      <c r="E58" s="24"/>
      <c r="F58" s="24"/>
      <c r="G58" s="1137"/>
      <c r="H58" s="1137"/>
      <c r="I58" s="1138" t="s">
        <v>285</v>
      </c>
      <c r="J58" s="1142"/>
      <c r="K58" s="1143"/>
      <c r="L58" s="1144">
        <f>L57/12</f>
        <v>0</v>
      </c>
      <c r="M58" s="1137"/>
      <c r="N58" s="92">
        <f t="shared" ref="N58:N64" si="10">I44</f>
        <v>43526</v>
      </c>
      <c r="O58" s="23"/>
      <c r="P58" s="23"/>
      <c r="Q58" s="501"/>
    </row>
    <row r="59" spans="2:18" ht="12.75" customHeight="1" x14ac:dyDescent="0.2">
      <c r="C59" s="1145" t="s">
        <v>290</v>
      </c>
      <c r="D59" s="73" t="e">
        <f>(D58-D57)/D57</f>
        <v>#DIV/0!</v>
      </c>
      <c r="E59" s="73" t="e">
        <f>(E58-E57)/E57</f>
        <v>#DIV/0!</v>
      </c>
      <c r="F59" s="73" t="e">
        <f>(F58-F57)/F57</f>
        <v>#DIV/0!</v>
      </c>
      <c r="G59" s="1137"/>
      <c r="H59" s="1137"/>
      <c r="I59" s="1138" t="s">
        <v>287</v>
      </c>
      <c r="J59" s="1142"/>
      <c r="K59" s="1143"/>
      <c r="L59" s="1144">
        <f>D41</f>
        <v>0</v>
      </c>
      <c r="M59" s="1137"/>
      <c r="N59" s="92">
        <f t="shared" si="10"/>
        <v>43496</v>
      </c>
      <c r="O59" s="23"/>
      <c r="P59" s="23"/>
      <c r="Q59" s="501"/>
    </row>
    <row r="60" spans="2:18" ht="12.75" customHeight="1" x14ac:dyDescent="0.2">
      <c r="C60" s="1141" t="s">
        <v>281</v>
      </c>
      <c r="D60" s="1146" t="e">
        <f>IF(D59&gt;20%,AVERAGE(D57:D58),D58)</f>
        <v>#DIV/0!</v>
      </c>
      <c r="E60" s="1146" t="e">
        <f>IF(E59&gt;20%,AVERAGE(E57:E58),E58)</f>
        <v>#DIV/0!</v>
      </c>
      <c r="F60" s="1146" t="e">
        <f>IF(F59&gt;20%,AVERAGE(F57:F58),F58)</f>
        <v>#DIV/0!</v>
      </c>
      <c r="G60" s="1137"/>
      <c r="H60" s="1137"/>
      <c r="I60" s="2254" t="s">
        <v>288</v>
      </c>
      <c r="J60" s="2255"/>
      <c r="K60" s="2256"/>
      <c r="L60" s="1147">
        <f>MIN(L58,L59)</f>
        <v>0</v>
      </c>
      <c r="M60" s="132"/>
      <c r="N60" s="92">
        <f t="shared" si="10"/>
        <v>43466</v>
      </c>
      <c r="O60" s="23"/>
      <c r="P60" s="23"/>
      <c r="Q60" s="501"/>
    </row>
    <row r="61" spans="2:18" ht="12.75" customHeight="1" x14ac:dyDescent="0.2">
      <c r="C61" s="1145" t="s">
        <v>282</v>
      </c>
      <c r="D61" s="1148" t="e">
        <f>D60*50%</f>
        <v>#DIV/0!</v>
      </c>
      <c r="E61" s="1148" t="e">
        <f>E60*50%</f>
        <v>#DIV/0!</v>
      </c>
      <c r="F61" s="1148" t="e">
        <f>F60*50%</f>
        <v>#DIV/0!</v>
      </c>
      <c r="G61" s="1137"/>
      <c r="H61" s="1137"/>
      <c r="I61" s="132"/>
      <c r="J61" s="132"/>
      <c r="K61" s="132"/>
      <c r="L61" s="132"/>
      <c r="M61" s="1137"/>
      <c r="N61" s="92">
        <f t="shared" si="10"/>
        <v>43436</v>
      </c>
      <c r="O61" s="23"/>
      <c r="P61" s="23"/>
      <c r="Q61" s="501"/>
    </row>
    <row r="62" spans="2:18" ht="12.75" customHeight="1" x14ac:dyDescent="0.2">
      <c r="C62" s="1141" t="s">
        <v>283</v>
      </c>
      <c r="D62" s="1149">
        <f>IFERROR(D61/12,0)</f>
        <v>0</v>
      </c>
      <c r="E62" s="1149">
        <f>IFERROR(E61/12,0)</f>
        <v>0</v>
      </c>
      <c r="F62" s="1149">
        <f>IFERROR(F61/12,0)</f>
        <v>0</v>
      </c>
      <c r="G62" s="1137"/>
      <c r="H62" s="1137"/>
      <c r="I62" s="132" t="s">
        <v>289</v>
      </c>
      <c r="J62" s="1137"/>
      <c r="K62" s="1137"/>
      <c r="L62" s="132"/>
      <c r="M62" s="1137"/>
      <c r="N62" s="92">
        <f t="shared" si="10"/>
        <v>43406</v>
      </c>
      <c r="O62" s="23"/>
      <c r="P62" s="23"/>
      <c r="Q62" s="501"/>
    </row>
    <row r="63" spans="2:18" ht="12.75" customHeight="1" x14ac:dyDescent="0.2">
      <c r="C63" s="1150"/>
      <c r="D63" s="1137"/>
      <c r="E63" s="1137"/>
      <c r="F63" s="1137"/>
      <c r="G63" s="1137"/>
      <c r="H63" s="1137"/>
      <c r="I63" s="1137"/>
      <c r="J63" s="1137"/>
      <c r="K63" s="1137"/>
      <c r="L63" s="132"/>
      <c r="M63" s="1137"/>
      <c r="N63" s="92">
        <f t="shared" si="10"/>
        <v>43376</v>
      </c>
      <c r="O63" s="23"/>
      <c r="P63" s="23"/>
      <c r="Q63" s="501"/>
    </row>
    <row r="64" spans="2:18" ht="13.5" thickBot="1" x14ac:dyDescent="0.25">
      <c r="C64" s="1151"/>
      <c r="D64" s="1152"/>
      <c r="E64" s="1153"/>
      <c r="F64" s="1153"/>
      <c r="G64" s="1153"/>
      <c r="H64" s="1153"/>
      <c r="I64" s="1153"/>
      <c r="J64" s="1153"/>
      <c r="K64" s="1153"/>
      <c r="L64" s="1153"/>
      <c r="M64" s="1153"/>
      <c r="N64" s="92">
        <f t="shared" si="10"/>
        <v>43346</v>
      </c>
      <c r="O64" s="505"/>
      <c r="P64" s="505"/>
      <c r="Q64" s="506"/>
    </row>
    <row r="65" spans="3:13" ht="12.75" customHeight="1" x14ac:dyDescent="0.2">
      <c r="E65" s="48"/>
      <c r="F65" s="48"/>
      <c r="G65" s="48"/>
      <c r="H65" s="48"/>
      <c r="I65" s="48"/>
      <c r="J65" s="48"/>
      <c r="K65" s="48"/>
      <c r="L65" s="48"/>
      <c r="M65" s="48"/>
    </row>
    <row r="66" spans="3:13" ht="12.75" customHeight="1" x14ac:dyDescent="0.2">
      <c r="E66" s="48"/>
      <c r="F66" s="48"/>
      <c r="G66" s="48"/>
      <c r="H66" s="48"/>
      <c r="I66" s="48"/>
      <c r="J66" s="48"/>
      <c r="K66" s="48"/>
      <c r="L66" s="48"/>
      <c r="M66" s="48"/>
    </row>
    <row r="67" spans="3:13" ht="12.75" customHeight="1" x14ac:dyDescent="0.2">
      <c r="E67" s="48"/>
      <c r="F67" s="48"/>
      <c r="G67" s="48"/>
      <c r="H67" s="48"/>
      <c r="I67" s="48"/>
      <c r="J67" s="48"/>
      <c r="K67" s="48"/>
      <c r="L67" s="48"/>
      <c r="M67" s="48"/>
    </row>
    <row r="68" spans="3:13" ht="12.75" customHeight="1" x14ac:dyDescent="0.2">
      <c r="E68" s="48"/>
      <c r="F68" s="48"/>
      <c r="G68" s="48"/>
      <c r="H68" s="48"/>
      <c r="I68" s="48"/>
      <c r="J68" s="48"/>
      <c r="K68" s="48"/>
      <c r="L68" s="48"/>
      <c r="M68" s="48"/>
    </row>
    <row r="69" spans="3:13" ht="12.75" customHeight="1" x14ac:dyDescent="0.2">
      <c r="E69" s="48"/>
      <c r="F69" s="48"/>
      <c r="G69" s="48"/>
      <c r="H69" s="48"/>
      <c r="I69" s="48"/>
      <c r="J69" s="48"/>
      <c r="K69" s="48"/>
      <c r="L69" s="48"/>
      <c r="M69" s="48"/>
    </row>
    <row r="70" spans="3:13" ht="12.75" customHeight="1" x14ac:dyDescent="0.2">
      <c r="C70" s="72"/>
      <c r="D70" s="72"/>
      <c r="E70" s="72"/>
      <c r="F70" s="72"/>
      <c r="G70" s="72"/>
      <c r="H70" s="72"/>
      <c r="I70" s="72"/>
      <c r="J70" s="72"/>
      <c r="K70" s="72"/>
      <c r="L70" s="72"/>
      <c r="M70" s="72"/>
    </row>
    <row r="71" spans="3:13" ht="12.75" customHeight="1" x14ac:dyDescent="0.2"/>
    <row r="72" spans="3:13" ht="12.75" customHeight="1" x14ac:dyDescent="0.2"/>
    <row r="73" spans="3:13" ht="12.75" customHeight="1" x14ac:dyDescent="0.2"/>
    <row r="74" spans="3:13" ht="12.75" customHeight="1" x14ac:dyDescent="0.2"/>
    <row r="75" spans="3:13" ht="12.75" customHeight="1" x14ac:dyDescent="0.2"/>
    <row r="76" spans="3:13" ht="12.75" customHeight="1" x14ac:dyDescent="0.2"/>
    <row r="77" spans="3:13" ht="12.75" customHeight="1" x14ac:dyDescent="0.2"/>
    <row r="78" spans="3:13" ht="12.75" customHeight="1" x14ac:dyDescent="0.2"/>
    <row r="79" spans="3:13" ht="12.75" customHeight="1" x14ac:dyDescent="0.2"/>
    <row r="80" spans="3:13"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sheetData>
  <sheetProtection algorithmName="SHA-512" hashValue="ZkaDM/GP5Pz2V4rz9IcW1rL4dXw0baQ8ywS8GjWIzGncdG56ckyP4wtRQ0YgLSRKZNK80UvHVhQoxVIVKOFkyA==" saltValue="TsYXJxWicKIHo2ErMv6yuA==" spinCount="100000" sheet="1" objects="1" scenarios="1" formatCells="0" formatColumns="0" formatRows="0" insertColumns="0" insertRows="0" insertHyperlinks="0"/>
  <mergeCells count="27">
    <mergeCell ref="I60:K60"/>
    <mergeCell ref="B33:B38"/>
    <mergeCell ref="C55:F55"/>
    <mergeCell ref="I55:L55"/>
    <mergeCell ref="D39:F39"/>
    <mergeCell ref="I39:K39"/>
    <mergeCell ref="D11:G11"/>
    <mergeCell ref="I11:L11"/>
    <mergeCell ref="N11:Q11"/>
    <mergeCell ref="N39:P39"/>
    <mergeCell ref="B19:B32"/>
    <mergeCell ref="O10:P10"/>
    <mergeCell ref="D9:E9"/>
    <mergeCell ref="E10:F10"/>
    <mergeCell ref="N8:Q8"/>
    <mergeCell ref="D7:G7"/>
    <mergeCell ref="N7:Q7"/>
    <mergeCell ref="I7:L7"/>
    <mergeCell ref="I9:J9"/>
    <mergeCell ref="J10:K10"/>
    <mergeCell ref="C2:N4"/>
    <mergeCell ref="C5:Q5"/>
    <mergeCell ref="D8:G8"/>
    <mergeCell ref="I8:L8"/>
    <mergeCell ref="N9:O9"/>
    <mergeCell ref="C6:G6"/>
    <mergeCell ref="O2:Q4"/>
  </mergeCells>
  <pageMargins left="0.19685039370078741" right="0.31496062992125984" top="0.22" bottom="0.24" header="0.19685039370078741" footer="0.17"/>
  <pageSetup paperSize="9" scale="65" orientation="landscape"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D60:F61 G47 E59:F59" evalError="1"/>
  </ignoredError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1">
    <pageSetUpPr fitToPage="1"/>
  </sheetPr>
  <dimension ref="A1:AV54"/>
  <sheetViews>
    <sheetView showGridLines="0" zoomScale="90" zoomScaleNormal="90" workbookViewId="0">
      <selection sqref="A1:A13"/>
    </sheetView>
  </sheetViews>
  <sheetFormatPr defaultColWidth="9.140625" defaultRowHeight="12.75" zeroHeight="1" outlineLevelRow="1" x14ac:dyDescent="0.2"/>
  <cols>
    <col min="1" max="1" width="2.7109375" style="162" customWidth="1"/>
    <col min="2" max="2" width="7.5703125" style="162" customWidth="1"/>
    <col min="3" max="3" width="16.28515625" style="162" customWidth="1"/>
    <col min="4" max="4" width="11.85546875" style="162" bestFit="1" customWidth="1"/>
    <col min="5" max="5" width="14.28515625" style="162" customWidth="1"/>
    <col min="6" max="6" width="11.28515625" style="162" bestFit="1" customWidth="1"/>
    <col min="7" max="7" width="11.7109375" style="162" bestFit="1" customWidth="1"/>
    <col min="8" max="8" width="12.7109375" style="162" bestFit="1" customWidth="1"/>
    <col min="9" max="9" width="10.28515625" style="162" customWidth="1"/>
    <col min="10" max="10" width="10.85546875" style="162" customWidth="1"/>
    <col min="11" max="11" width="5.5703125" style="162" bestFit="1" customWidth="1"/>
    <col min="12" max="12" width="11.7109375" style="162" customWidth="1"/>
    <col min="13" max="15" width="12.7109375" style="162" customWidth="1"/>
    <col min="16" max="16" width="12.5703125" style="586" customWidth="1"/>
    <col min="17" max="17" width="12.5703125" style="162" customWidth="1"/>
    <col min="18" max="18" width="12.7109375" style="162" customWidth="1"/>
    <col min="19" max="19" width="12.140625" style="162" bestFit="1" customWidth="1"/>
    <col min="20" max="20" width="13.5703125" style="162" customWidth="1"/>
    <col min="21" max="16384" width="9.140625" style="162"/>
  </cols>
  <sheetData>
    <row r="1" spans="1:48" ht="11.25" customHeight="1" thickBot="1" x14ac:dyDescent="0.25">
      <c r="A1" s="907"/>
      <c r="B1" s="907"/>
      <c r="C1" s="907"/>
      <c r="D1" s="907"/>
      <c r="E1" s="907"/>
      <c r="F1" s="907"/>
      <c r="G1" s="907"/>
      <c r="H1" s="907"/>
      <c r="I1" s="907"/>
      <c r="J1" s="907"/>
      <c r="K1" s="907"/>
      <c r="L1" s="907"/>
      <c r="M1" s="907"/>
      <c r="N1" s="907"/>
      <c r="O1" s="907"/>
      <c r="P1" s="581"/>
      <c r="Q1" s="907"/>
      <c r="R1" s="907"/>
      <c r="S1" s="907"/>
      <c r="T1" s="907"/>
      <c r="U1" s="907"/>
      <c r="V1" s="907"/>
      <c r="W1" s="907"/>
      <c r="X1" s="907"/>
      <c r="Y1" s="907"/>
      <c r="Z1" s="907"/>
      <c r="AA1" s="907"/>
      <c r="AB1" s="907"/>
      <c r="AC1" s="907"/>
      <c r="AD1" s="907"/>
      <c r="AE1" s="907"/>
      <c r="AF1" s="907"/>
      <c r="AG1" s="907"/>
      <c r="AH1" s="907"/>
      <c r="AI1" s="907"/>
      <c r="AJ1" s="907"/>
      <c r="AK1" s="907"/>
      <c r="AL1" s="907"/>
      <c r="AM1" s="907"/>
      <c r="AN1" s="907"/>
      <c r="AO1" s="907"/>
      <c r="AP1" s="907"/>
      <c r="AQ1" s="907"/>
      <c r="AR1" s="907"/>
      <c r="AS1" s="907"/>
      <c r="AT1" s="907"/>
      <c r="AU1" s="907"/>
      <c r="AV1" s="907"/>
    </row>
    <row r="2" spans="1:48" s="589" customFormat="1" ht="28.5" customHeight="1" outlineLevel="1" thickBot="1" x14ac:dyDescent="0.25">
      <c r="A2" s="1154"/>
      <c r="B2" s="2263" t="str">
        <f>'Borrower Details'!A2 &amp; " - Credit Information Report"</f>
        <v>Mortgage-Magnus-Unsecured - Credit Information Report</v>
      </c>
      <c r="C2" s="2264"/>
      <c r="D2" s="2264"/>
      <c r="E2" s="2264"/>
      <c r="F2" s="2264"/>
      <c r="G2" s="2264"/>
      <c r="H2" s="2264"/>
      <c r="I2" s="2264"/>
      <c r="J2" s="2264"/>
      <c r="K2" s="2264"/>
      <c r="L2" s="2264"/>
      <c r="M2" s="2264"/>
      <c r="N2" s="2264"/>
      <c r="O2" s="2264"/>
      <c r="P2" s="2264"/>
      <c r="Q2" s="2264"/>
      <c r="R2" s="2264" t="s">
        <v>3</v>
      </c>
      <c r="S2" s="2264"/>
      <c r="T2" s="2265"/>
      <c r="U2" s="1155"/>
      <c r="V2" s="1155"/>
      <c r="W2" s="1155"/>
      <c r="X2" s="1155"/>
      <c r="Y2" s="1155"/>
      <c r="Z2" s="1155"/>
      <c r="AA2" s="1155"/>
      <c r="AB2" s="1155"/>
      <c r="AC2" s="1155"/>
      <c r="AD2" s="1155"/>
      <c r="AE2" s="1155"/>
      <c r="AF2" s="1155"/>
      <c r="AG2" s="1155"/>
      <c r="AH2" s="1155"/>
      <c r="AI2" s="1155"/>
      <c r="AJ2" s="1155"/>
      <c r="AK2" s="1155"/>
      <c r="AL2" s="1155"/>
      <c r="AM2" s="1155"/>
      <c r="AN2" s="1155"/>
      <c r="AO2" s="1155"/>
      <c r="AP2" s="1155"/>
      <c r="AQ2" s="1155"/>
      <c r="AR2" s="1155"/>
      <c r="AS2" s="1155"/>
      <c r="AT2" s="1155"/>
      <c r="AU2" s="1155"/>
      <c r="AV2" s="1155"/>
    </row>
    <row r="3" spans="1:48" s="590" customFormat="1" ht="17.25" customHeight="1" outlineLevel="1" x14ac:dyDescent="0.2">
      <c r="A3" s="1156"/>
      <c r="B3" s="2308" t="s">
        <v>20</v>
      </c>
      <c r="C3" s="2309"/>
      <c r="D3" s="2309"/>
      <c r="E3" s="2310" t="s">
        <v>624</v>
      </c>
      <c r="F3" s="2310"/>
      <c r="G3" s="2310"/>
      <c r="H3" s="2310" t="s">
        <v>1301</v>
      </c>
      <c r="I3" s="2310"/>
      <c r="J3" s="2310"/>
      <c r="K3" s="2310" t="s">
        <v>1302</v>
      </c>
      <c r="L3" s="2310"/>
      <c r="M3" s="2310"/>
      <c r="N3" s="2310"/>
      <c r="O3" s="2266" t="s">
        <v>1303</v>
      </c>
      <c r="P3" s="2267"/>
      <c r="Q3" s="2268"/>
      <c r="R3" s="2310" t="s">
        <v>1805</v>
      </c>
      <c r="S3" s="2310"/>
      <c r="T3" s="2310"/>
      <c r="U3" s="1157"/>
      <c r="V3" s="1157"/>
      <c r="W3" s="1157"/>
      <c r="X3" s="1157"/>
      <c r="Y3" s="1157"/>
      <c r="Z3" s="1157"/>
      <c r="AA3" s="1157"/>
      <c r="AB3" s="1157"/>
      <c r="AC3" s="1157"/>
      <c r="AD3" s="1157"/>
      <c r="AE3" s="1157"/>
      <c r="AF3" s="1157"/>
      <c r="AG3" s="1157"/>
      <c r="AH3" s="1157"/>
      <c r="AI3" s="1157"/>
      <c r="AJ3" s="1157"/>
      <c r="AK3" s="1157"/>
      <c r="AL3" s="1157"/>
      <c r="AM3" s="1157"/>
      <c r="AN3" s="1157"/>
      <c r="AO3" s="1157"/>
      <c r="AP3" s="1157"/>
      <c r="AQ3" s="1157"/>
      <c r="AR3" s="1157"/>
      <c r="AS3" s="1157"/>
      <c r="AT3" s="1157"/>
      <c r="AU3" s="1157"/>
      <c r="AV3" s="1158"/>
    </row>
    <row r="4" spans="1:48" s="589" customFormat="1" ht="15" customHeight="1" outlineLevel="1" x14ac:dyDescent="0.2">
      <c r="A4" s="1154"/>
      <c r="B4" s="2279" t="s">
        <v>1304</v>
      </c>
      <c r="C4" s="2280"/>
      <c r="D4" s="2280"/>
      <c r="E4" s="2281" t="s">
        <v>3465</v>
      </c>
      <c r="F4" s="2281"/>
      <c r="G4" s="2281"/>
      <c r="H4" s="2281" t="s">
        <v>3499</v>
      </c>
      <c r="I4" s="2281"/>
      <c r="J4" s="2281"/>
      <c r="K4" s="2281" t="s">
        <v>3499</v>
      </c>
      <c r="L4" s="2281"/>
      <c r="M4" s="2281"/>
      <c r="N4" s="2281"/>
      <c r="O4" s="2269"/>
      <c r="P4" s="2270"/>
      <c r="Q4" s="2271"/>
      <c r="R4" s="2282"/>
      <c r="S4" s="2282"/>
      <c r="T4" s="2282"/>
      <c r="U4" s="1155"/>
      <c r="V4" s="1155"/>
      <c r="W4" s="1155"/>
      <c r="X4" s="1155"/>
      <c r="Y4" s="1155"/>
      <c r="Z4" s="1155"/>
      <c r="AA4" s="1155"/>
      <c r="AB4" s="1155"/>
      <c r="AC4" s="1155"/>
      <c r="AD4" s="1155"/>
      <c r="AE4" s="1155"/>
      <c r="AF4" s="1155"/>
      <c r="AG4" s="1155"/>
      <c r="AH4" s="1155"/>
      <c r="AI4" s="1155"/>
      <c r="AJ4" s="1155"/>
      <c r="AK4" s="1155"/>
      <c r="AL4" s="1155"/>
      <c r="AM4" s="1155"/>
      <c r="AN4" s="1155"/>
      <c r="AO4" s="1155"/>
      <c r="AP4" s="1155"/>
      <c r="AQ4" s="1155"/>
      <c r="AR4" s="1155"/>
      <c r="AS4" s="1155"/>
      <c r="AT4" s="1159"/>
      <c r="AU4" s="1159"/>
      <c r="AV4" s="1159"/>
    </row>
    <row r="5" spans="1:48" s="589" customFormat="1" ht="15" customHeight="1" outlineLevel="1" x14ac:dyDescent="0.2">
      <c r="A5" s="1154"/>
      <c r="B5" s="2279" t="s">
        <v>2</v>
      </c>
      <c r="C5" s="2280"/>
      <c r="D5" s="2280"/>
      <c r="E5" s="2281" t="s">
        <v>3458</v>
      </c>
      <c r="F5" s="2281"/>
      <c r="G5" s="2281"/>
      <c r="H5" s="2281" t="s">
        <v>3483</v>
      </c>
      <c r="I5" s="2281"/>
      <c r="J5" s="2281"/>
      <c r="K5" s="2281" t="s">
        <v>3484</v>
      </c>
      <c r="L5" s="2281"/>
      <c r="M5" s="2281"/>
      <c r="N5" s="2281"/>
      <c r="O5" s="2269"/>
      <c r="P5" s="2270"/>
      <c r="Q5" s="2271"/>
      <c r="R5" s="2282"/>
      <c r="S5" s="2282"/>
      <c r="T5" s="2282"/>
      <c r="U5" s="1155"/>
      <c r="V5" s="1155"/>
      <c r="W5" s="1155"/>
      <c r="X5" s="1155"/>
      <c r="Y5" s="1155"/>
      <c r="Z5" s="1155"/>
      <c r="AA5" s="1155"/>
      <c r="AB5" s="1155"/>
      <c r="AC5" s="1155"/>
      <c r="AD5" s="1155"/>
      <c r="AE5" s="1155"/>
      <c r="AF5" s="1155"/>
      <c r="AG5" s="1155"/>
      <c r="AH5" s="1155"/>
      <c r="AI5" s="1155"/>
      <c r="AJ5" s="1155"/>
      <c r="AK5" s="1155"/>
      <c r="AL5" s="1155"/>
      <c r="AM5" s="1155"/>
      <c r="AN5" s="1155"/>
      <c r="AO5" s="1155"/>
      <c r="AP5" s="1155"/>
      <c r="AQ5" s="1155"/>
      <c r="AR5" s="1155"/>
      <c r="AS5" s="1155"/>
      <c r="AT5" s="1159"/>
      <c r="AU5" s="1159"/>
      <c r="AV5" s="1159"/>
    </row>
    <row r="6" spans="1:48" s="589" customFormat="1" ht="15" customHeight="1" outlineLevel="1" x14ac:dyDescent="0.2">
      <c r="A6" s="1154"/>
      <c r="B6" s="2279" t="s">
        <v>1807</v>
      </c>
      <c r="C6" s="2280"/>
      <c r="D6" s="2280"/>
      <c r="E6" s="2307">
        <v>31840</v>
      </c>
      <c r="F6" s="2307"/>
      <c r="G6" s="2307"/>
      <c r="H6" s="2307">
        <v>20773</v>
      </c>
      <c r="I6" s="2307"/>
      <c r="J6" s="2307"/>
      <c r="K6" s="2307">
        <v>21130</v>
      </c>
      <c r="L6" s="2307"/>
      <c r="M6" s="2307"/>
      <c r="N6" s="2307"/>
      <c r="O6" s="2272"/>
      <c r="P6" s="2273"/>
      <c r="Q6" s="2274"/>
      <c r="R6" s="2284"/>
      <c r="S6" s="2284"/>
      <c r="T6" s="2284"/>
      <c r="U6" s="1155"/>
      <c r="V6" s="1155"/>
      <c r="W6" s="1155"/>
      <c r="X6" s="1155"/>
      <c r="Y6" s="1155"/>
      <c r="Z6" s="1155"/>
      <c r="AA6" s="1155"/>
      <c r="AB6" s="1155"/>
      <c r="AC6" s="1155"/>
      <c r="AD6" s="1155"/>
      <c r="AE6" s="1155"/>
      <c r="AF6" s="1155"/>
      <c r="AG6" s="1155"/>
      <c r="AH6" s="1155"/>
      <c r="AI6" s="1155"/>
      <c r="AJ6" s="1155"/>
      <c r="AK6" s="1155"/>
      <c r="AL6" s="1155"/>
      <c r="AM6" s="1155"/>
      <c r="AN6" s="1155"/>
      <c r="AO6" s="1155"/>
      <c r="AP6" s="1155"/>
      <c r="AQ6" s="1155"/>
      <c r="AR6" s="1155"/>
      <c r="AS6" s="1155"/>
      <c r="AT6" s="1159"/>
      <c r="AU6" s="1159"/>
      <c r="AV6" s="1159"/>
    </row>
    <row r="7" spans="1:48" s="589" customFormat="1" ht="15" customHeight="1" outlineLevel="1" x14ac:dyDescent="0.2">
      <c r="A7" s="1154"/>
      <c r="B7" s="2279" t="s">
        <v>1306</v>
      </c>
      <c r="C7" s="2280"/>
      <c r="D7" s="2280"/>
      <c r="E7" s="2281" t="s">
        <v>3466</v>
      </c>
      <c r="F7" s="2281"/>
      <c r="G7" s="2281"/>
      <c r="H7" s="2281" t="s">
        <v>3494</v>
      </c>
      <c r="I7" s="2281"/>
      <c r="J7" s="2281"/>
      <c r="K7" s="2281" t="s">
        <v>3495</v>
      </c>
      <c r="L7" s="2281"/>
      <c r="M7" s="2281"/>
      <c r="N7" s="2281"/>
      <c r="O7" s="2269"/>
      <c r="P7" s="2270"/>
      <c r="Q7" s="2271"/>
      <c r="R7" s="2282"/>
      <c r="S7" s="2282"/>
      <c r="T7" s="2282"/>
      <c r="U7" s="1155"/>
      <c r="V7" s="1155"/>
      <c r="W7" s="1155"/>
      <c r="X7" s="1155"/>
      <c r="Y7" s="1155"/>
      <c r="Z7" s="1155"/>
      <c r="AA7" s="1155"/>
      <c r="AB7" s="1155"/>
      <c r="AC7" s="1155"/>
      <c r="AD7" s="1155"/>
      <c r="AE7" s="1155"/>
      <c r="AF7" s="1155"/>
      <c r="AG7" s="1155"/>
      <c r="AH7" s="1155"/>
      <c r="AI7" s="1155"/>
      <c r="AJ7" s="1155"/>
      <c r="AK7" s="1155"/>
      <c r="AL7" s="1155"/>
      <c r="AM7" s="1155"/>
      <c r="AN7" s="1155"/>
      <c r="AO7" s="1155"/>
      <c r="AP7" s="1155"/>
      <c r="AQ7" s="1155"/>
      <c r="AR7" s="1155"/>
      <c r="AS7" s="1155"/>
      <c r="AT7" s="1159"/>
      <c r="AU7" s="1159"/>
      <c r="AV7" s="1159"/>
    </row>
    <row r="8" spans="1:48" s="591" customFormat="1" ht="21" customHeight="1" outlineLevel="1" x14ac:dyDescent="0.25">
      <c r="A8" s="1160"/>
      <c r="B8" s="2279" t="s">
        <v>1307</v>
      </c>
      <c r="C8" s="2280"/>
      <c r="D8" s="2280"/>
      <c r="E8" s="2283" t="s">
        <v>3467</v>
      </c>
      <c r="F8" s="2283"/>
      <c r="G8" s="2283"/>
      <c r="H8" s="2283">
        <v>744</v>
      </c>
      <c r="I8" s="2283"/>
      <c r="J8" s="2283"/>
      <c r="K8" s="2283">
        <v>763</v>
      </c>
      <c r="L8" s="2283"/>
      <c r="M8" s="2283"/>
      <c r="N8" s="2283"/>
      <c r="O8" s="2275"/>
      <c r="P8" s="2276"/>
      <c r="Q8" s="2277"/>
      <c r="R8" s="2278"/>
      <c r="S8" s="2278"/>
      <c r="T8" s="2278"/>
      <c r="U8" s="1161"/>
      <c r="V8" s="1161"/>
      <c r="W8" s="1161"/>
      <c r="X8" s="1161"/>
      <c r="Y8" s="1161"/>
      <c r="Z8" s="1161"/>
      <c r="AA8" s="1161"/>
      <c r="AB8" s="1161"/>
      <c r="AC8" s="1161"/>
      <c r="AD8" s="1161"/>
      <c r="AE8" s="1161"/>
      <c r="AF8" s="1161"/>
      <c r="AG8" s="1161"/>
      <c r="AH8" s="1161"/>
      <c r="AI8" s="1161"/>
      <c r="AJ8" s="1161"/>
      <c r="AK8" s="1161"/>
      <c r="AL8" s="1161"/>
      <c r="AM8" s="1161"/>
      <c r="AN8" s="1161"/>
      <c r="AO8" s="1161"/>
      <c r="AP8" s="1161"/>
      <c r="AQ8" s="1161"/>
      <c r="AR8" s="1161"/>
      <c r="AS8" s="1161"/>
      <c r="AT8" s="1162"/>
      <c r="AU8" s="1162"/>
      <c r="AV8" s="1162"/>
    </row>
    <row r="9" spans="1:48" s="589" customFormat="1" ht="15" customHeight="1" outlineLevel="1" x14ac:dyDescent="0.2">
      <c r="A9" s="1154"/>
      <c r="B9" s="2279" t="s">
        <v>1808</v>
      </c>
      <c r="C9" s="2280"/>
      <c r="D9" s="2280"/>
      <c r="E9" s="2281">
        <v>33</v>
      </c>
      <c r="F9" s="2281"/>
      <c r="G9" s="2281"/>
      <c r="H9" s="2281"/>
      <c r="I9" s="2281"/>
      <c r="J9" s="2281"/>
      <c r="K9" s="2281"/>
      <c r="L9" s="2281"/>
      <c r="M9" s="2281"/>
      <c r="N9" s="2281"/>
      <c r="O9" s="2269"/>
      <c r="P9" s="2270"/>
      <c r="Q9" s="2271"/>
      <c r="R9" s="2282"/>
      <c r="S9" s="2282"/>
      <c r="T9" s="2282"/>
      <c r="U9" s="1155"/>
      <c r="V9" s="1155"/>
      <c r="W9" s="1155"/>
      <c r="X9" s="1155"/>
      <c r="Y9" s="1155"/>
      <c r="Z9" s="1155"/>
      <c r="AA9" s="1155"/>
      <c r="AB9" s="1155"/>
      <c r="AC9" s="1155"/>
      <c r="AD9" s="1155"/>
      <c r="AE9" s="1155"/>
      <c r="AF9" s="1155"/>
      <c r="AG9" s="1155"/>
      <c r="AH9" s="1155"/>
      <c r="AI9" s="1155"/>
      <c r="AJ9" s="1155"/>
      <c r="AK9" s="1155"/>
      <c r="AL9" s="1155"/>
      <c r="AM9" s="1155"/>
      <c r="AN9" s="1155"/>
      <c r="AO9" s="1155"/>
      <c r="AP9" s="1155"/>
      <c r="AQ9" s="1155"/>
      <c r="AR9" s="1155"/>
      <c r="AS9" s="1155"/>
      <c r="AT9" s="1159"/>
      <c r="AU9" s="1159"/>
      <c r="AV9" s="1159"/>
    </row>
    <row r="10" spans="1:48" s="589" customFormat="1" ht="15" customHeight="1" outlineLevel="1" x14ac:dyDescent="0.2">
      <c r="A10" s="1154"/>
      <c r="B10" s="2279" t="s">
        <v>1809</v>
      </c>
      <c r="C10" s="2280"/>
      <c r="D10" s="2280"/>
      <c r="E10" s="2281">
        <v>6</v>
      </c>
      <c r="F10" s="2281"/>
      <c r="G10" s="2281"/>
      <c r="H10" s="2281"/>
      <c r="I10" s="2281"/>
      <c r="J10" s="2281"/>
      <c r="K10" s="2281"/>
      <c r="L10" s="2281"/>
      <c r="M10" s="2281"/>
      <c r="N10" s="2281"/>
      <c r="O10" s="2269"/>
      <c r="P10" s="2270"/>
      <c r="Q10" s="2271"/>
      <c r="R10" s="2282"/>
      <c r="S10" s="2282"/>
      <c r="T10" s="2282"/>
      <c r="U10" s="1155"/>
      <c r="V10" s="1155"/>
      <c r="W10" s="1155"/>
      <c r="X10" s="1155"/>
      <c r="Y10" s="1155"/>
      <c r="Z10" s="1155"/>
      <c r="AA10" s="1155"/>
      <c r="AB10" s="1155"/>
      <c r="AC10" s="1155"/>
      <c r="AD10" s="1155"/>
      <c r="AE10" s="1155"/>
      <c r="AF10" s="1155"/>
      <c r="AG10" s="1155"/>
      <c r="AH10" s="1155"/>
      <c r="AI10" s="1155"/>
      <c r="AJ10" s="1155"/>
      <c r="AK10" s="1155"/>
      <c r="AL10" s="1155"/>
      <c r="AM10" s="1155"/>
      <c r="AN10" s="1155"/>
      <c r="AO10" s="1155"/>
      <c r="AP10" s="1155"/>
      <c r="AQ10" s="1155"/>
      <c r="AR10" s="1155"/>
      <c r="AS10" s="1155"/>
      <c r="AT10" s="1159"/>
      <c r="AU10" s="1159"/>
      <c r="AV10" s="1159"/>
    </row>
    <row r="11" spans="1:48" s="589" customFormat="1" ht="15" customHeight="1" outlineLevel="1" x14ac:dyDescent="0.2">
      <c r="A11" s="1154"/>
      <c r="B11" s="2279" t="s">
        <v>1308</v>
      </c>
      <c r="C11" s="2280"/>
      <c r="D11" s="2280"/>
      <c r="E11" s="2306">
        <v>931949</v>
      </c>
      <c r="F11" s="2306"/>
      <c r="G11" s="2306"/>
      <c r="H11" s="2306"/>
      <c r="I11" s="2306"/>
      <c r="J11" s="2306"/>
      <c r="K11" s="2306"/>
      <c r="L11" s="2306"/>
      <c r="M11" s="2306"/>
      <c r="N11" s="2306"/>
      <c r="O11" s="2300"/>
      <c r="P11" s="2301"/>
      <c r="Q11" s="2302"/>
      <c r="R11" s="2297"/>
      <c r="S11" s="2297"/>
      <c r="T11" s="2297"/>
      <c r="U11" s="1155"/>
      <c r="V11" s="1155"/>
      <c r="W11" s="1155"/>
      <c r="X11" s="1155"/>
      <c r="Y11" s="1155"/>
      <c r="Z11" s="1155"/>
      <c r="AA11" s="1155"/>
      <c r="AB11" s="1155"/>
      <c r="AC11" s="1155"/>
      <c r="AD11" s="1155"/>
      <c r="AE11" s="1155"/>
      <c r="AF11" s="1155"/>
      <c r="AG11" s="1155"/>
      <c r="AH11" s="1155"/>
      <c r="AI11" s="1155"/>
      <c r="AJ11" s="1155"/>
      <c r="AK11" s="1155"/>
      <c r="AL11" s="1155"/>
      <c r="AM11" s="1155"/>
      <c r="AN11" s="1155"/>
      <c r="AO11" s="1155"/>
      <c r="AP11" s="1155"/>
      <c r="AQ11" s="1155"/>
      <c r="AR11" s="1155"/>
      <c r="AS11" s="1155"/>
      <c r="AT11" s="1159"/>
      <c r="AU11" s="1159"/>
      <c r="AV11" s="1159"/>
    </row>
    <row r="12" spans="1:48" s="589" customFormat="1" ht="15" customHeight="1" outlineLevel="1" x14ac:dyDescent="0.2">
      <c r="A12" s="1154"/>
      <c r="B12" s="2279" t="s">
        <v>1309</v>
      </c>
      <c r="C12" s="2280"/>
      <c r="D12" s="2280"/>
      <c r="E12" s="2306">
        <v>94190196</v>
      </c>
      <c r="F12" s="2306"/>
      <c r="G12" s="2306"/>
      <c r="H12" s="2306"/>
      <c r="I12" s="2306"/>
      <c r="J12" s="2306"/>
      <c r="K12" s="2306"/>
      <c r="L12" s="2306"/>
      <c r="M12" s="2306"/>
      <c r="N12" s="2306"/>
      <c r="O12" s="2300"/>
      <c r="P12" s="2301"/>
      <c r="Q12" s="2302"/>
      <c r="R12" s="2297"/>
      <c r="S12" s="2297"/>
      <c r="T12" s="2297"/>
      <c r="U12" s="1155"/>
      <c r="V12" s="1155"/>
      <c r="W12" s="1155"/>
      <c r="X12" s="1155"/>
      <c r="Y12" s="1155"/>
      <c r="Z12" s="1155"/>
      <c r="AA12" s="1155"/>
      <c r="AB12" s="1155"/>
      <c r="AC12" s="1155"/>
      <c r="AD12" s="1155"/>
      <c r="AE12" s="1155"/>
      <c r="AF12" s="1155"/>
      <c r="AG12" s="1155"/>
      <c r="AH12" s="1155"/>
      <c r="AI12" s="1155"/>
      <c r="AJ12" s="1155"/>
      <c r="AK12" s="1155"/>
      <c r="AL12" s="1155"/>
      <c r="AM12" s="1155"/>
      <c r="AN12" s="1155"/>
      <c r="AO12" s="1155"/>
      <c r="AP12" s="1155"/>
      <c r="AQ12" s="1155"/>
      <c r="AR12" s="1155"/>
      <c r="AS12" s="1155"/>
      <c r="AT12" s="1159"/>
      <c r="AU12" s="1159"/>
      <c r="AV12" s="1159"/>
    </row>
    <row r="13" spans="1:48" s="589" customFormat="1" ht="15" customHeight="1" outlineLevel="1" x14ac:dyDescent="0.2">
      <c r="A13" s="1154"/>
      <c r="B13" s="2279" t="s">
        <v>1310</v>
      </c>
      <c r="C13" s="2280"/>
      <c r="D13" s="2280"/>
      <c r="E13" s="2298">
        <v>9.8943312529044952E-3</v>
      </c>
      <c r="F13" s="2298"/>
      <c r="G13" s="2298"/>
      <c r="H13" s="2298"/>
      <c r="I13" s="2298"/>
      <c r="J13" s="2298"/>
      <c r="K13" s="2298"/>
      <c r="L13" s="2298"/>
      <c r="M13" s="2298"/>
      <c r="N13" s="2298"/>
      <c r="O13" s="2303"/>
      <c r="P13" s="2304"/>
      <c r="Q13" s="2305"/>
      <c r="R13" s="2299"/>
      <c r="S13" s="2299"/>
      <c r="T13" s="2299"/>
      <c r="U13" s="1155"/>
      <c r="V13" s="1155"/>
      <c r="W13" s="1155"/>
      <c r="X13" s="1155"/>
      <c r="Y13" s="1155"/>
      <c r="Z13" s="1155"/>
      <c r="AA13" s="1155"/>
      <c r="AB13" s="1155"/>
      <c r="AC13" s="1155"/>
      <c r="AD13" s="1155"/>
      <c r="AE13" s="1155"/>
      <c r="AF13" s="1155"/>
      <c r="AG13" s="1155"/>
      <c r="AH13" s="1155"/>
      <c r="AI13" s="1155"/>
      <c r="AJ13" s="1155"/>
      <c r="AK13" s="1155"/>
      <c r="AL13" s="1155"/>
      <c r="AM13" s="1155"/>
      <c r="AN13" s="1155"/>
      <c r="AO13" s="1155"/>
      <c r="AP13" s="1155"/>
      <c r="AQ13" s="1155"/>
      <c r="AR13" s="1155"/>
      <c r="AS13" s="1155"/>
      <c r="AT13" s="1159"/>
      <c r="AU13" s="1159"/>
      <c r="AV13" s="1159"/>
    </row>
    <row r="14" spans="1:48" s="589" customFormat="1" ht="15" customHeight="1" outlineLevel="1" x14ac:dyDescent="0.2">
      <c r="A14" s="1154"/>
      <c r="B14" s="2279" t="s">
        <v>1810</v>
      </c>
      <c r="C14" s="2280"/>
      <c r="D14" s="2280"/>
      <c r="E14" s="2281">
        <v>0</v>
      </c>
      <c r="F14" s="2281"/>
      <c r="G14" s="2281"/>
      <c r="H14" s="2281"/>
      <c r="I14" s="2281"/>
      <c r="J14" s="2281"/>
      <c r="K14" s="2281"/>
      <c r="L14" s="2281"/>
      <c r="M14" s="2281"/>
      <c r="N14" s="2281"/>
      <c r="O14" s="2269"/>
      <c r="P14" s="2270"/>
      <c r="Q14" s="2271"/>
      <c r="R14" s="2282"/>
      <c r="S14" s="2282"/>
      <c r="T14" s="2282"/>
      <c r="U14" s="1155"/>
      <c r="V14" s="1155"/>
      <c r="W14" s="1155"/>
      <c r="X14" s="1155"/>
      <c r="Y14" s="1155"/>
      <c r="Z14" s="1155"/>
      <c r="AA14" s="1155"/>
      <c r="AB14" s="1155"/>
      <c r="AC14" s="1155"/>
      <c r="AD14" s="1155"/>
      <c r="AE14" s="1155"/>
      <c r="AF14" s="1155"/>
      <c r="AG14" s="1155"/>
      <c r="AH14" s="1155"/>
      <c r="AI14" s="1155"/>
      <c r="AJ14" s="1155"/>
      <c r="AK14" s="1155"/>
      <c r="AL14" s="1155"/>
      <c r="AM14" s="1155"/>
      <c r="AN14" s="1155"/>
      <c r="AO14" s="1155"/>
      <c r="AP14" s="1155"/>
      <c r="AQ14" s="1155"/>
      <c r="AR14" s="1155"/>
      <c r="AS14" s="1155"/>
      <c r="AT14" s="1159"/>
      <c r="AU14" s="1159"/>
      <c r="AV14" s="1159"/>
    </row>
    <row r="15" spans="1:48" s="589" customFormat="1" ht="15" customHeight="1" outlineLevel="1" x14ac:dyDescent="0.2">
      <c r="A15" s="1154"/>
      <c r="B15" s="2279" t="s">
        <v>1811</v>
      </c>
      <c r="C15" s="2280"/>
      <c r="D15" s="2280"/>
      <c r="E15" s="2281">
        <v>0</v>
      </c>
      <c r="F15" s="2281"/>
      <c r="G15" s="2281"/>
      <c r="H15" s="2281"/>
      <c r="I15" s="2281"/>
      <c r="J15" s="2281"/>
      <c r="K15" s="2281"/>
      <c r="L15" s="2281"/>
      <c r="M15" s="2281"/>
      <c r="N15" s="2281"/>
      <c r="O15" s="2269"/>
      <c r="P15" s="2270"/>
      <c r="Q15" s="2271"/>
      <c r="R15" s="2282"/>
      <c r="S15" s="2282"/>
      <c r="T15" s="2282"/>
      <c r="U15" s="1155"/>
      <c r="V15" s="1155"/>
      <c r="W15" s="1155"/>
      <c r="X15" s="1155"/>
      <c r="Y15" s="1155"/>
      <c r="Z15" s="1155"/>
      <c r="AA15" s="1155"/>
      <c r="AB15" s="1155"/>
      <c r="AC15" s="1155"/>
      <c r="AD15" s="1155"/>
      <c r="AE15" s="1155"/>
      <c r="AF15" s="1155"/>
      <c r="AG15" s="1155"/>
      <c r="AH15" s="1155"/>
      <c r="AI15" s="1155"/>
      <c r="AJ15" s="1155"/>
      <c r="AK15" s="1155"/>
      <c r="AL15" s="1155"/>
      <c r="AM15" s="1155"/>
      <c r="AN15" s="1155"/>
      <c r="AO15" s="1155"/>
      <c r="AP15" s="1155"/>
      <c r="AQ15" s="1155"/>
      <c r="AR15" s="1155"/>
      <c r="AS15" s="1155"/>
      <c r="AT15" s="1159"/>
      <c r="AU15" s="1159"/>
      <c r="AV15" s="1159"/>
    </row>
    <row r="16" spans="1:48" s="589" customFormat="1" ht="15" customHeight="1" outlineLevel="1" x14ac:dyDescent="0.2">
      <c r="A16" s="1154"/>
      <c r="B16" s="2279" t="s">
        <v>1812</v>
      </c>
      <c r="C16" s="2280"/>
      <c r="D16" s="2280"/>
      <c r="E16" s="2290" t="s">
        <v>3468</v>
      </c>
      <c r="F16" s="2290"/>
      <c r="G16" s="2290"/>
      <c r="H16" s="2290"/>
      <c r="I16" s="2290"/>
      <c r="J16" s="2290"/>
      <c r="K16" s="2290"/>
      <c r="L16" s="2290"/>
      <c r="M16" s="2290"/>
      <c r="N16" s="2290"/>
      <c r="O16" s="2291"/>
      <c r="P16" s="2292"/>
      <c r="Q16" s="2293"/>
      <c r="R16" s="2285"/>
      <c r="S16" s="2285"/>
      <c r="T16" s="2285"/>
      <c r="U16" s="1155"/>
      <c r="V16" s="1155"/>
      <c r="W16" s="1155"/>
      <c r="X16" s="1155"/>
      <c r="Y16" s="1155"/>
      <c r="Z16" s="1155"/>
      <c r="AA16" s="1155"/>
      <c r="AB16" s="1155"/>
      <c r="AC16" s="1155"/>
      <c r="AD16" s="1155"/>
      <c r="AE16" s="1155"/>
      <c r="AF16" s="1155"/>
      <c r="AG16" s="1155"/>
      <c r="AH16" s="1155"/>
      <c r="AI16" s="1155"/>
      <c r="AJ16" s="1155"/>
      <c r="AK16" s="1155"/>
      <c r="AL16" s="1155"/>
      <c r="AM16" s="1155"/>
      <c r="AN16" s="1155"/>
      <c r="AO16" s="1155"/>
      <c r="AP16" s="1155"/>
      <c r="AQ16" s="1155"/>
      <c r="AR16" s="1155"/>
      <c r="AS16" s="1155"/>
      <c r="AT16" s="1159"/>
      <c r="AU16" s="1159"/>
      <c r="AV16" s="1159"/>
    </row>
    <row r="17" spans="1:48" s="589" customFormat="1" ht="15" customHeight="1" outlineLevel="1" x14ac:dyDescent="0.2">
      <c r="A17" s="1154"/>
      <c r="B17" s="2279" t="s">
        <v>1813</v>
      </c>
      <c r="C17" s="2280"/>
      <c r="D17" s="2280"/>
      <c r="E17" s="2290" t="s">
        <v>3468</v>
      </c>
      <c r="F17" s="2290"/>
      <c r="G17" s="2290"/>
      <c r="H17" s="2290"/>
      <c r="I17" s="2290"/>
      <c r="J17" s="2290"/>
      <c r="K17" s="2290"/>
      <c r="L17" s="2290"/>
      <c r="M17" s="2290"/>
      <c r="N17" s="2290"/>
      <c r="O17" s="2291"/>
      <c r="P17" s="2292"/>
      <c r="Q17" s="2293"/>
      <c r="R17" s="2285"/>
      <c r="S17" s="2285"/>
      <c r="T17" s="2285"/>
      <c r="U17" s="1155"/>
      <c r="V17" s="1155"/>
      <c r="W17" s="1155"/>
      <c r="X17" s="1155"/>
      <c r="Y17" s="1155"/>
      <c r="Z17" s="1155"/>
      <c r="AA17" s="1155"/>
      <c r="AB17" s="1155"/>
      <c r="AC17" s="1155"/>
      <c r="AD17" s="1155"/>
      <c r="AE17" s="1155"/>
      <c r="AF17" s="1155"/>
      <c r="AG17" s="1155"/>
      <c r="AH17" s="1155"/>
      <c r="AI17" s="1155"/>
      <c r="AJ17" s="1155"/>
      <c r="AK17" s="1155"/>
      <c r="AL17" s="1155"/>
      <c r="AM17" s="1155"/>
      <c r="AN17" s="1155"/>
      <c r="AO17" s="1155"/>
      <c r="AP17" s="1155"/>
      <c r="AQ17" s="1155"/>
      <c r="AR17" s="1155"/>
      <c r="AS17" s="1155"/>
      <c r="AT17" s="1159"/>
      <c r="AU17" s="1159"/>
      <c r="AV17" s="1159"/>
    </row>
    <row r="18" spans="1:48" s="589" customFormat="1" ht="15" customHeight="1" outlineLevel="1" x14ac:dyDescent="0.2">
      <c r="A18" s="1154"/>
      <c r="B18" s="2279" t="s">
        <v>1814</v>
      </c>
      <c r="C18" s="2280"/>
      <c r="D18" s="2280"/>
      <c r="E18" s="2290" t="s">
        <v>3469</v>
      </c>
      <c r="F18" s="2290"/>
      <c r="G18" s="2290"/>
      <c r="H18" s="2290"/>
      <c r="I18" s="2290"/>
      <c r="J18" s="2290"/>
      <c r="K18" s="2290"/>
      <c r="L18" s="2290"/>
      <c r="M18" s="2290"/>
      <c r="N18" s="2290"/>
      <c r="O18" s="2291"/>
      <c r="P18" s="2292"/>
      <c r="Q18" s="2293"/>
      <c r="R18" s="2285"/>
      <c r="S18" s="2285"/>
      <c r="T18" s="2285"/>
      <c r="U18" s="1155"/>
      <c r="V18" s="1155"/>
      <c r="W18" s="1155"/>
      <c r="X18" s="1155"/>
      <c r="Y18" s="1155"/>
      <c r="Z18" s="1155"/>
      <c r="AA18" s="1155"/>
      <c r="AB18" s="1155"/>
      <c r="AC18" s="1155"/>
      <c r="AD18" s="1155"/>
      <c r="AE18" s="1155"/>
      <c r="AF18" s="1155"/>
      <c r="AG18" s="1155"/>
      <c r="AH18" s="1155"/>
      <c r="AI18" s="1155"/>
      <c r="AJ18" s="1155"/>
      <c r="AK18" s="1155"/>
      <c r="AL18" s="1155"/>
      <c r="AM18" s="1155"/>
      <c r="AN18" s="1155"/>
      <c r="AO18" s="1155"/>
      <c r="AP18" s="1155"/>
      <c r="AQ18" s="1155"/>
      <c r="AR18" s="1155"/>
      <c r="AS18" s="1155"/>
      <c r="AT18" s="1159"/>
      <c r="AU18" s="1159"/>
      <c r="AV18" s="1159"/>
    </row>
    <row r="19" spans="1:48" s="589" customFormat="1" ht="15" customHeight="1" outlineLevel="1" x14ac:dyDescent="0.2">
      <c r="A19" s="1154"/>
      <c r="B19" s="2279" t="s">
        <v>1815</v>
      </c>
      <c r="C19" s="2280"/>
      <c r="D19" s="2280"/>
      <c r="E19" s="2290" t="s">
        <v>3470</v>
      </c>
      <c r="F19" s="2290"/>
      <c r="G19" s="2290"/>
      <c r="H19" s="2290"/>
      <c r="I19" s="2290"/>
      <c r="J19" s="2290"/>
      <c r="K19" s="2290"/>
      <c r="L19" s="2290"/>
      <c r="M19" s="2290"/>
      <c r="N19" s="2290"/>
      <c r="O19" s="2291"/>
      <c r="P19" s="2292"/>
      <c r="Q19" s="2293"/>
      <c r="R19" s="2285"/>
      <c r="S19" s="2285"/>
      <c r="T19" s="2285"/>
      <c r="U19" s="1155"/>
      <c r="V19" s="1155"/>
      <c r="W19" s="1155"/>
      <c r="X19" s="1155"/>
      <c r="Y19" s="1155"/>
      <c r="Z19" s="1155"/>
      <c r="AA19" s="1155"/>
      <c r="AB19" s="1155"/>
      <c r="AC19" s="1155"/>
      <c r="AD19" s="1155"/>
      <c r="AE19" s="1155"/>
      <c r="AF19" s="1155"/>
      <c r="AG19" s="1155"/>
      <c r="AH19" s="1155"/>
      <c r="AI19" s="1155"/>
      <c r="AJ19" s="1155"/>
      <c r="AK19" s="1155"/>
      <c r="AL19" s="1155"/>
      <c r="AM19" s="1155"/>
      <c r="AN19" s="1155"/>
      <c r="AO19" s="1155"/>
      <c r="AP19" s="1155"/>
      <c r="AQ19" s="1155"/>
      <c r="AR19" s="1155"/>
      <c r="AS19" s="1155"/>
      <c r="AT19" s="1159"/>
      <c r="AU19" s="1159"/>
      <c r="AV19" s="1159"/>
    </row>
    <row r="20" spans="1:48" s="589" customFormat="1" ht="15" customHeight="1" outlineLevel="1" x14ac:dyDescent="0.2">
      <c r="A20" s="1154"/>
      <c r="B20" s="2279" t="s">
        <v>1816</v>
      </c>
      <c r="C20" s="2280"/>
      <c r="D20" s="2280"/>
      <c r="E20" s="2290" t="s">
        <v>3471</v>
      </c>
      <c r="F20" s="2290"/>
      <c r="G20" s="2290"/>
      <c r="H20" s="2290"/>
      <c r="I20" s="2290"/>
      <c r="J20" s="2290"/>
      <c r="K20" s="2290"/>
      <c r="L20" s="2290"/>
      <c r="M20" s="2290"/>
      <c r="N20" s="2290"/>
      <c r="O20" s="2291"/>
      <c r="P20" s="2292"/>
      <c r="Q20" s="2293"/>
      <c r="R20" s="2285"/>
      <c r="S20" s="2285"/>
      <c r="T20" s="2285"/>
      <c r="U20" s="1155"/>
      <c r="V20" s="1155"/>
      <c r="W20" s="1155"/>
      <c r="X20" s="1155"/>
      <c r="Y20" s="1155"/>
      <c r="Z20" s="1155"/>
      <c r="AA20" s="1155"/>
      <c r="AB20" s="1155"/>
      <c r="AC20" s="1155"/>
      <c r="AD20" s="1155"/>
      <c r="AE20" s="1155"/>
      <c r="AF20" s="1155"/>
      <c r="AG20" s="1155"/>
      <c r="AH20" s="1155"/>
      <c r="AI20" s="1155"/>
      <c r="AJ20" s="1155"/>
      <c r="AK20" s="1155"/>
      <c r="AL20" s="1155"/>
      <c r="AM20" s="1155"/>
      <c r="AN20" s="1155"/>
      <c r="AO20" s="1155"/>
      <c r="AP20" s="1155"/>
      <c r="AQ20" s="1155"/>
      <c r="AR20" s="1155"/>
      <c r="AS20" s="1155"/>
      <c r="AT20" s="1159"/>
      <c r="AU20" s="1159"/>
      <c r="AV20" s="1159"/>
    </row>
    <row r="21" spans="1:48" s="589" customFormat="1" ht="15" customHeight="1" outlineLevel="1" thickBot="1" x14ac:dyDescent="0.25">
      <c r="A21" s="1154"/>
      <c r="B21" s="2286" t="s">
        <v>504</v>
      </c>
      <c r="C21" s="2287"/>
      <c r="D21" s="2287"/>
      <c r="E21" s="2288" t="s">
        <v>3472</v>
      </c>
      <c r="F21" s="2288"/>
      <c r="G21" s="2288"/>
      <c r="H21" s="2288"/>
      <c r="I21" s="2288"/>
      <c r="J21" s="2288"/>
      <c r="K21" s="2288"/>
      <c r="L21" s="2288"/>
      <c r="M21" s="2288"/>
      <c r="N21" s="2288"/>
      <c r="O21" s="2294"/>
      <c r="P21" s="2295"/>
      <c r="Q21" s="2296"/>
      <c r="R21" s="2289"/>
      <c r="S21" s="2289"/>
      <c r="T21" s="2289"/>
      <c r="U21" s="1155"/>
      <c r="V21" s="1155"/>
      <c r="W21" s="1155"/>
      <c r="X21" s="1155"/>
      <c r="Y21" s="1155"/>
      <c r="Z21" s="1155"/>
      <c r="AA21" s="1155"/>
      <c r="AB21" s="1155"/>
      <c r="AC21" s="1155"/>
      <c r="AD21" s="1155"/>
      <c r="AE21" s="1155"/>
      <c r="AF21" s="1155"/>
      <c r="AG21" s="1155"/>
      <c r="AH21" s="1155"/>
      <c r="AI21" s="1155"/>
      <c r="AJ21" s="1155"/>
      <c r="AK21" s="1155"/>
      <c r="AL21" s="1155"/>
      <c r="AM21" s="1155"/>
      <c r="AN21" s="1155"/>
      <c r="AO21" s="1155"/>
      <c r="AP21" s="1155"/>
      <c r="AQ21" s="1155"/>
      <c r="AR21" s="1155"/>
      <c r="AS21" s="1155"/>
      <c r="AT21" s="1159"/>
      <c r="AU21" s="1159"/>
      <c r="AV21" s="1159"/>
    </row>
    <row r="22" spans="1:48" ht="11.25" customHeight="1" x14ac:dyDescent="0.2">
      <c r="A22" s="907"/>
      <c r="B22" s="907"/>
      <c r="C22" s="907"/>
      <c r="D22" s="907"/>
      <c r="E22" s="907"/>
      <c r="F22" s="907"/>
      <c r="G22" s="907"/>
      <c r="H22" s="907"/>
      <c r="I22" s="907"/>
      <c r="J22" s="907"/>
      <c r="K22" s="907"/>
      <c r="L22" s="907"/>
      <c r="M22" s="907"/>
      <c r="N22" s="907"/>
      <c r="O22" s="907"/>
      <c r="P22" s="581"/>
      <c r="Q22" s="907"/>
      <c r="R22" s="907"/>
      <c r="S22" s="907"/>
      <c r="T22" s="907"/>
      <c r="U22" s="907"/>
      <c r="V22" s="907"/>
      <c r="W22" s="907"/>
      <c r="X22" s="907"/>
      <c r="Y22" s="907"/>
      <c r="Z22" s="907"/>
      <c r="AA22" s="907"/>
      <c r="AB22" s="907"/>
      <c r="AC22" s="907"/>
      <c r="AD22" s="907"/>
      <c r="AE22" s="907"/>
      <c r="AF22" s="907"/>
      <c r="AG22" s="907"/>
      <c r="AH22" s="907"/>
      <c r="AI22" s="907"/>
      <c r="AJ22" s="907"/>
      <c r="AK22" s="907"/>
      <c r="AL22" s="907"/>
      <c r="AM22" s="907"/>
      <c r="AN22" s="907"/>
      <c r="AO22" s="907"/>
      <c r="AP22" s="907"/>
      <c r="AQ22" s="907"/>
      <c r="AR22" s="907"/>
      <c r="AS22" s="907"/>
      <c r="AT22" s="907"/>
      <c r="AU22" s="907"/>
      <c r="AV22" s="907"/>
    </row>
    <row r="23" spans="1:48" ht="73.5" customHeight="1" x14ac:dyDescent="0.2">
      <c r="A23" s="907"/>
      <c r="B23" s="187" t="s">
        <v>211</v>
      </c>
      <c r="C23" s="187" t="s">
        <v>92</v>
      </c>
      <c r="D23" s="187" t="s">
        <v>1311</v>
      </c>
      <c r="E23" s="187" t="s">
        <v>212</v>
      </c>
      <c r="F23" s="187" t="s">
        <v>1323</v>
      </c>
      <c r="G23" s="186" t="s">
        <v>213</v>
      </c>
      <c r="H23" s="187" t="s">
        <v>1312</v>
      </c>
      <c r="I23" s="187" t="s">
        <v>214</v>
      </c>
      <c r="J23" s="187" t="s">
        <v>215</v>
      </c>
      <c r="K23" s="187" t="s">
        <v>1313</v>
      </c>
      <c r="L23" s="187" t="s">
        <v>1314</v>
      </c>
      <c r="M23" s="1163">
        <f>Banking!C3</f>
        <v>44348</v>
      </c>
      <c r="N23" s="1163">
        <f>EDATE(M23,-1)</f>
        <v>44317</v>
      </c>
      <c r="O23" s="1163">
        <f t="shared" ref="O23:R23" si="0">EDATE(N23,-1)</f>
        <v>44287</v>
      </c>
      <c r="P23" s="1163">
        <f t="shared" si="0"/>
        <v>44256</v>
      </c>
      <c r="Q23" s="1163">
        <f t="shared" si="0"/>
        <v>44228</v>
      </c>
      <c r="R23" s="1163">
        <f t="shared" si="0"/>
        <v>44197</v>
      </c>
      <c r="S23" s="185" t="s">
        <v>216</v>
      </c>
      <c r="T23" s="187" t="s">
        <v>1315</v>
      </c>
      <c r="U23" s="907"/>
      <c r="V23" s="907"/>
      <c r="W23" s="907"/>
      <c r="X23" s="907"/>
      <c r="Y23" s="907"/>
      <c r="Z23" s="907"/>
      <c r="AA23" s="907"/>
      <c r="AB23" s="907"/>
      <c r="AC23" s="907"/>
      <c r="AD23" s="907"/>
      <c r="AE23" s="907"/>
      <c r="AF23" s="907"/>
      <c r="AG23" s="907"/>
      <c r="AH23" s="907"/>
      <c r="AI23" s="907"/>
      <c r="AJ23" s="907"/>
      <c r="AK23" s="907"/>
      <c r="AL23" s="907"/>
      <c r="AM23" s="907"/>
      <c r="AN23" s="907"/>
      <c r="AO23" s="907"/>
      <c r="AP23" s="907"/>
      <c r="AQ23" s="907"/>
      <c r="AR23" s="907"/>
      <c r="AS23" s="907"/>
      <c r="AT23" s="907"/>
      <c r="AU23" s="907"/>
      <c r="AV23" s="907"/>
    </row>
    <row r="24" spans="1:48" ht="18" customHeight="1" x14ac:dyDescent="0.2">
      <c r="A24" s="907"/>
      <c r="B24" s="183">
        <v>1</v>
      </c>
      <c r="C24" s="592">
        <v>558673</v>
      </c>
      <c r="D24" s="182" t="s">
        <v>3461</v>
      </c>
      <c r="E24" s="182"/>
      <c r="F24" s="593">
        <v>43099</v>
      </c>
      <c r="G24" s="594">
        <v>11513</v>
      </c>
      <c r="H24" s="182" t="s">
        <v>3518</v>
      </c>
      <c r="I24" s="182">
        <v>60</v>
      </c>
      <c r="J24" s="182">
        <v>17.366666666666667</v>
      </c>
      <c r="K24" s="595"/>
      <c r="L24" s="596"/>
      <c r="M24" s="604"/>
      <c r="N24" s="604"/>
      <c r="O24" s="604"/>
      <c r="P24" s="604"/>
      <c r="Q24" s="604"/>
      <c r="R24" s="604"/>
      <c r="S24" s="183" t="s">
        <v>1545</v>
      </c>
      <c r="T24" s="182" t="s">
        <v>3516</v>
      </c>
      <c r="U24" s="907"/>
      <c r="V24" s="907"/>
      <c r="W24" s="907"/>
      <c r="X24" s="907"/>
      <c r="Y24" s="907"/>
      <c r="Z24" s="907"/>
      <c r="AA24" s="907"/>
      <c r="AB24" s="907"/>
      <c r="AC24" s="907"/>
      <c r="AD24" s="907"/>
      <c r="AE24" s="907"/>
      <c r="AF24" s="907"/>
      <c r="AG24" s="907"/>
      <c r="AH24" s="907"/>
      <c r="AI24" s="907"/>
      <c r="AJ24" s="907"/>
      <c r="AK24" s="907"/>
      <c r="AL24" s="907"/>
      <c r="AM24" s="907"/>
      <c r="AN24" s="907"/>
      <c r="AO24" s="907"/>
      <c r="AP24" s="907"/>
      <c r="AQ24" s="907"/>
      <c r="AR24" s="907"/>
      <c r="AS24" s="907"/>
      <c r="AT24" s="907"/>
      <c r="AU24" s="907"/>
      <c r="AV24" s="907"/>
    </row>
    <row r="25" spans="1:48" ht="18" customHeight="1" x14ac:dyDescent="0.2">
      <c r="A25" s="907"/>
      <c r="B25" s="182">
        <v>2</v>
      </c>
      <c r="C25" s="597">
        <v>577000</v>
      </c>
      <c r="D25" s="184" t="s">
        <v>3462</v>
      </c>
      <c r="E25" s="183"/>
      <c r="F25" s="598">
        <v>42808</v>
      </c>
      <c r="G25" s="599">
        <v>12183</v>
      </c>
      <c r="H25" s="600" t="s">
        <v>3459</v>
      </c>
      <c r="I25" s="600">
        <v>60</v>
      </c>
      <c r="J25" s="600">
        <v>7.6666666666666643</v>
      </c>
      <c r="K25" s="601"/>
      <c r="L25" s="602"/>
      <c r="M25" s="603"/>
      <c r="N25" s="603"/>
      <c r="O25" s="603"/>
      <c r="P25" s="603"/>
      <c r="Q25" s="603"/>
      <c r="R25" s="603"/>
      <c r="S25" s="183" t="s">
        <v>1545</v>
      </c>
      <c r="T25" s="183" t="s">
        <v>3516</v>
      </c>
      <c r="U25" s="907"/>
      <c r="V25" s="907"/>
      <c r="W25" s="907"/>
      <c r="X25" s="907"/>
      <c r="Y25" s="907"/>
      <c r="Z25" s="907"/>
      <c r="AA25" s="907"/>
      <c r="AB25" s="907"/>
      <c r="AC25" s="907"/>
      <c r="AD25" s="907"/>
      <c r="AE25" s="907"/>
      <c r="AF25" s="907"/>
      <c r="AG25" s="907"/>
      <c r="AH25" s="907"/>
      <c r="AI25" s="907"/>
      <c r="AJ25" s="907"/>
      <c r="AK25" s="907"/>
      <c r="AL25" s="907"/>
      <c r="AM25" s="907"/>
      <c r="AN25" s="907"/>
      <c r="AO25" s="907"/>
      <c r="AP25" s="907"/>
      <c r="AQ25" s="907"/>
      <c r="AR25" s="907"/>
      <c r="AS25" s="907"/>
      <c r="AT25" s="907"/>
      <c r="AU25" s="907"/>
      <c r="AV25" s="907"/>
    </row>
    <row r="26" spans="1:48" ht="18" customHeight="1" x14ac:dyDescent="0.2">
      <c r="A26" s="907"/>
      <c r="B26" s="183">
        <v>3</v>
      </c>
      <c r="C26" s="592">
        <v>640521</v>
      </c>
      <c r="D26" s="182" t="s">
        <v>3463</v>
      </c>
      <c r="E26" s="182"/>
      <c r="F26" s="593">
        <v>43034</v>
      </c>
      <c r="G26" s="594">
        <v>13688</v>
      </c>
      <c r="H26" s="182" t="s">
        <v>3518</v>
      </c>
      <c r="I26" s="182">
        <v>60</v>
      </c>
      <c r="J26" s="182">
        <v>15.200000000000003</v>
      </c>
      <c r="K26" s="595"/>
      <c r="L26" s="596"/>
      <c r="M26" s="604"/>
      <c r="N26" s="604"/>
      <c r="O26" s="604"/>
      <c r="P26" s="604"/>
      <c r="Q26" s="604"/>
      <c r="R26" s="604"/>
      <c r="S26" s="183" t="s">
        <v>1545</v>
      </c>
      <c r="T26" s="182" t="s">
        <v>3516</v>
      </c>
      <c r="U26" s="907"/>
      <c r="V26" s="907"/>
      <c r="W26" s="907"/>
      <c r="X26" s="907"/>
      <c r="Y26" s="907"/>
      <c r="Z26" s="907"/>
      <c r="AA26" s="907"/>
      <c r="AB26" s="907"/>
      <c r="AC26" s="907"/>
      <c r="AD26" s="907"/>
      <c r="AE26" s="907"/>
      <c r="AF26" s="907"/>
      <c r="AG26" s="907"/>
      <c r="AH26" s="907"/>
      <c r="AI26" s="907"/>
      <c r="AJ26" s="907"/>
      <c r="AK26" s="907"/>
      <c r="AL26" s="907"/>
      <c r="AM26" s="907"/>
      <c r="AN26" s="907"/>
      <c r="AO26" s="907"/>
      <c r="AP26" s="907"/>
      <c r="AQ26" s="907"/>
      <c r="AR26" s="907"/>
      <c r="AS26" s="907"/>
      <c r="AT26" s="907"/>
      <c r="AU26" s="907"/>
      <c r="AV26" s="907"/>
    </row>
    <row r="27" spans="1:48" ht="18" customHeight="1" x14ac:dyDescent="0.2">
      <c r="A27" s="907"/>
      <c r="B27" s="182">
        <v>4</v>
      </c>
      <c r="C27" s="597">
        <v>2000000</v>
      </c>
      <c r="D27" s="184" t="s">
        <v>3464</v>
      </c>
      <c r="E27" s="183"/>
      <c r="F27" s="598">
        <v>42671</v>
      </c>
      <c r="G27" s="599"/>
      <c r="H27" s="600" t="s">
        <v>3518</v>
      </c>
      <c r="I27" s="600"/>
      <c r="J27" s="600"/>
      <c r="K27" s="601"/>
      <c r="L27" s="602"/>
      <c r="M27" s="603"/>
      <c r="N27" s="603"/>
      <c r="O27" s="603"/>
      <c r="P27" s="603"/>
      <c r="Q27" s="603"/>
      <c r="R27" s="603"/>
      <c r="S27" s="183" t="s">
        <v>1545</v>
      </c>
      <c r="T27" s="183" t="s">
        <v>3516</v>
      </c>
      <c r="U27" s="907"/>
      <c r="V27" s="907"/>
      <c r="W27" s="907"/>
      <c r="X27" s="907"/>
      <c r="Y27" s="907"/>
      <c r="Z27" s="907"/>
      <c r="AA27" s="907"/>
      <c r="AB27" s="907"/>
      <c r="AC27" s="907"/>
      <c r="AD27" s="907"/>
      <c r="AE27" s="907"/>
      <c r="AF27" s="907"/>
      <c r="AG27" s="907"/>
      <c r="AH27" s="907"/>
      <c r="AI27" s="907"/>
      <c r="AJ27" s="907"/>
      <c r="AK27" s="907"/>
      <c r="AL27" s="907"/>
      <c r="AM27" s="907"/>
      <c r="AN27" s="907"/>
      <c r="AO27" s="907"/>
      <c r="AP27" s="907"/>
      <c r="AQ27" s="907"/>
      <c r="AR27" s="907"/>
      <c r="AS27" s="907"/>
      <c r="AT27" s="907"/>
      <c r="AU27" s="907"/>
      <c r="AV27" s="907"/>
    </row>
    <row r="28" spans="1:48" ht="18" customHeight="1" x14ac:dyDescent="0.2">
      <c r="A28" s="907"/>
      <c r="B28" s="183">
        <v>5</v>
      </c>
      <c r="C28" s="592">
        <v>9990000</v>
      </c>
      <c r="D28" s="182" t="s">
        <v>3511</v>
      </c>
      <c r="E28" s="182"/>
      <c r="F28" s="593"/>
      <c r="G28" s="594"/>
      <c r="H28" s="182" t="s">
        <v>3517</v>
      </c>
      <c r="I28" s="182"/>
      <c r="J28" s="182"/>
      <c r="K28" s="595"/>
      <c r="L28" s="596"/>
      <c r="M28" s="604"/>
      <c r="N28" s="604"/>
      <c r="O28" s="604"/>
      <c r="P28" s="604"/>
      <c r="Q28" s="604"/>
      <c r="R28" s="604"/>
      <c r="S28" s="183" t="s">
        <v>1545</v>
      </c>
      <c r="T28" s="182" t="s">
        <v>3576</v>
      </c>
      <c r="U28" s="907"/>
      <c r="V28" s="907"/>
      <c r="W28" s="907"/>
      <c r="X28" s="907"/>
      <c r="Y28" s="907"/>
      <c r="Z28" s="907"/>
      <c r="AA28" s="907"/>
      <c r="AB28" s="907"/>
      <c r="AC28" s="907"/>
      <c r="AD28" s="907"/>
      <c r="AE28" s="907"/>
      <c r="AF28" s="907"/>
      <c r="AG28" s="907"/>
      <c r="AH28" s="907"/>
      <c r="AI28" s="907"/>
      <c r="AJ28" s="907"/>
      <c r="AK28" s="907"/>
      <c r="AL28" s="907"/>
      <c r="AM28" s="907"/>
      <c r="AN28" s="907"/>
      <c r="AO28" s="907"/>
      <c r="AP28" s="907"/>
      <c r="AQ28" s="907"/>
      <c r="AR28" s="907"/>
      <c r="AS28" s="907"/>
      <c r="AT28" s="907"/>
      <c r="AU28" s="907"/>
      <c r="AV28" s="907"/>
    </row>
    <row r="29" spans="1:48" ht="18" customHeight="1" x14ac:dyDescent="0.2">
      <c r="A29" s="907"/>
      <c r="B29" s="182">
        <v>6</v>
      </c>
      <c r="C29" s="597">
        <v>73000</v>
      </c>
      <c r="D29" s="184" t="s">
        <v>3512</v>
      </c>
      <c r="E29" s="183"/>
      <c r="F29" s="598"/>
      <c r="G29" s="599"/>
      <c r="H29" s="600" t="s">
        <v>3510</v>
      </c>
      <c r="I29" s="600"/>
      <c r="J29" s="600"/>
      <c r="K29" s="601"/>
      <c r="L29" s="602"/>
      <c r="M29" s="603"/>
      <c r="N29" s="603"/>
      <c r="O29" s="603"/>
      <c r="P29" s="603"/>
      <c r="Q29" s="603"/>
      <c r="R29" s="603"/>
      <c r="S29" s="183" t="s">
        <v>1545</v>
      </c>
      <c r="T29" s="183" t="s">
        <v>3576</v>
      </c>
      <c r="U29" s="907"/>
      <c r="V29" s="907"/>
      <c r="W29" s="907"/>
      <c r="X29" s="907"/>
      <c r="Y29" s="907"/>
      <c r="Z29" s="907"/>
      <c r="AA29" s="907"/>
      <c r="AB29" s="907"/>
      <c r="AC29" s="907"/>
      <c r="AD29" s="907"/>
      <c r="AE29" s="907"/>
      <c r="AF29" s="907"/>
      <c r="AG29" s="907"/>
      <c r="AH29" s="907"/>
      <c r="AI29" s="907"/>
      <c r="AJ29" s="907"/>
      <c r="AK29" s="907"/>
      <c r="AL29" s="907"/>
      <c r="AM29" s="907"/>
      <c r="AN29" s="907"/>
      <c r="AO29" s="907"/>
      <c r="AP29" s="907"/>
      <c r="AQ29" s="907"/>
      <c r="AR29" s="907"/>
      <c r="AS29" s="907"/>
      <c r="AT29" s="907"/>
      <c r="AU29" s="907"/>
      <c r="AV29" s="907"/>
    </row>
    <row r="30" spans="1:48" ht="18" customHeight="1" x14ac:dyDescent="0.2">
      <c r="A30" s="907"/>
      <c r="B30" s="183">
        <v>7</v>
      </c>
      <c r="C30" s="592">
        <v>50000</v>
      </c>
      <c r="D30" s="182" t="s">
        <v>3514</v>
      </c>
      <c r="E30" s="182"/>
      <c r="F30" s="593"/>
      <c r="G30" s="594">
        <v>1160</v>
      </c>
      <c r="H30" s="182" t="s">
        <v>3513</v>
      </c>
      <c r="I30" s="182">
        <v>60</v>
      </c>
      <c r="J30" s="182"/>
      <c r="K30" s="595"/>
      <c r="L30" s="596"/>
      <c r="M30" s="604"/>
      <c r="N30" s="604"/>
      <c r="O30" s="604"/>
      <c r="P30" s="604"/>
      <c r="Q30" s="604"/>
      <c r="R30" s="604"/>
      <c r="S30" s="183" t="s">
        <v>1545</v>
      </c>
      <c r="T30" s="182" t="s">
        <v>3577</v>
      </c>
      <c r="U30" s="907"/>
      <c r="V30" s="907"/>
      <c r="W30" s="907"/>
      <c r="X30" s="907"/>
      <c r="Y30" s="907"/>
      <c r="Z30" s="907"/>
      <c r="AA30" s="907"/>
      <c r="AB30" s="907"/>
      <c r="AC30" s="907"/>
      <c r="AD30" s="907"/>
      <c r="AE30" s="907"/>
      <c r="AF30" s="907"/>
      <c r="AG30" s="907"/>
      <c r="AH30" s="907"/>
      <c r="AI30" s="907"/>
      <c r="AJ30" s="907"/>
      <c r="AK30" s="907"/>
      <c r="AL30" s="907"/>
      <c r="AM30" s="907"/>
      <c r="AN30" s="907"/>
      <c r="AO30" s="907"/>
      <c r="AP30" s="907"/>
      <c r="AQ30" s="907"/>
      <c r="AR30" s="907"/>
      <c r="AS30" s="907"/>
      <c r="AT30" s="907"/>
      <c r="AU30" s="907"/>
      <c r="AV30" s="907"/>
    </row>
    <row r="31" spans="1:48" ht="18" customHeight="1" x14ac:dyDescent="0.2">
      <c r="A31" s="907"/>
      <c r="B31" s="182">
        <v>8</v>
      </c>
      <c r="C31" s="597">
        <v>100000</v>
      </c>
      <c r="D31" s="184" t="s">
        <v>3515</v>
      </c>
      <c r="E31" s="183"/>
      <c r="F31" s="598"/>
      <c r="G31" s="599">
        <v>2310</v>
      </c>
      <c r="H31" s="600" t="s">
        <v>3513</v>
      </c>
      <c r="I31" s="600">
        <v>60</v>
      </c>
      <c r="J31" s="600"/>
      <c r="K31" s="601"/>
      <c r="L31" s="602"/>
      <c r="M31" s="603"/>
      <c r="N31" s="603"/>
      <c r="O31" s="603"/>
      <c r="P31" s="603"/>
      <c r="Q31" s="603"/>
      <c r="R31" s="603"/>
      <c r="S31" s="183" t="s">
        <v>1545</v>
      </c>
      <c r="T31" s="183" t="s">
        <v>3577</v>
      </c>
      <c r="U31" s="907"/>
      <c r="V31" s="907"/>
      <c r="W31" s="907"/>
      <c r="X31" s="907"/>
      <c r="Y31" s="907"/>
      <c r="Z31" s="907"/>
      <c r="AA31" s="907"/>
      <c r="AB31" s="907"/>
      <c r="AC31" s="907"/>
      <c r="AD31" s="907"/>
      <c r="AE31" s="907"/>
      <c r="AF31" s="907"/>
      <c r="AG31" s="907"/>
      <c r="AH31" s="907"/>
      <c r="AI31" s="907"/>
      <c r="AJ31" s="907"/>
      <c r="AK31" s="907"/>
      <c r="AL31" s="907"/>
      <c r="AM31" s="907"/>
      <c r="AN31" s="907"/>
      <c r="AO31" s="907"/>
      <c r="AP31" s="907"/>
      <c r="AQ31" s="907"/>
      <c r="AR31" s="907"/>
      <c r="AS31" s="907"/>
      <c r="AT31" s="907"/>
      <c r="AU31" s="907"/>
      <c r="AV31" s="907"/>
    </row>
    <row r="32" spans="1:48" ht="18" customHeight="1" x14ac:dyDescent="0.2">
      <c r="A32" s="907"/>
      <c r="B32" s="183">
        <v>9</v>
      </c>
      <c r="C32" s="592">
        <v>50000</v>
      </c>
      <c r="D32" s="182" t="s">
        <v>3514</v>
      </c>
      <c r="E32" s="182"/>
      <c r="F32" s="593"/>
      <c r="G32" s="594">
        <v>1160</v>
      </c>
      <c r="H32" s="182" t="s">
        <v>3513</v>
      </c>
      <c r="I32" s="182">
        <v>60</v>
      </c>
      <c r="J32" s="182"/>
      <c r="K32" s="595"/>
      <c r="L32" s="596"/>
      <c r="M32" s="604"/>
      <c r="N32" s="604"/>
      <c r="O32" s="604"/>
      <c r="P32" s="604"/>
      <c r="Q32" s="604"/>
      <c r="R32" s="604"/>
      <c r="S32" s="183" t="s">
        <v>1545</v>
      </c>
      <c r="T32" s="182" t="s">
        <v>3577</v>
      </c>
      <c r="U32" s="907"/>
      <c r="V32" s="907"/>
      <c r="W32" s="907"/>
      <c r="X32" s="907"/>
      <c r="Y32" s="907"/>
      <c r="Z32" s="907"/>
      <c r="AA32" s="907"/>
      <c r="AB32" s="907"/>
      <c r="AC32" s="907"/>
      <c r="AD32" s="907"/>
      <c r="AE32" s="907"/>
      <c r="AF32" s="907"/>
      <c r="AG32" s="907"/>
      <c r="AH32" s="907"/>
      <c r="AI32" s="907"/>
      <c r="AJ32" s="907"/>
      <c r="AK32" s="907"/>
      <c r="AL32" s="907"/>
      <c r="AM32" s="907"/>
      <c r="AN32" s="907"/>
      <c r="AO32" s="907"/>
      <c r="AP32" s="907"/>
      <c r="AQ32" s="907"/>
      <c r="AR32" s="907"/>
      <c r="AS32" s="907"/>
      <c r="AT32" s="907"/>
      <c r="AU32" s="907"/>
      <c r="AV32" s="907"/>
    </row>
    <row r="33" spans="1:48" ht="18" customHeight="1" x14ac:dyDescent="0.2">
      <c r="A33" s="907"/>
      <c r="B33" s="182">
        <v>10</v>
      </c>
      <c r="C33" s="597">
        <v>200000</v>
      </c>
      <c r="D33" s="184" t="s">
        <v>3515</v>
      </c>
      <c r="E33" s="183"/>
      <c r="F33" s="598"/>
      <c r="G33" s="599">
        <v>4670</v>
      </c>
      <c r="H33" s="600" t="s">
        <v>3513</v>
      </c>
      <c r="I33" s="600">
        <v>60</v>
      </c>
      <c r="J33" s="600"/>
      <c r="K33" s="601"/>
      <c r="L33" s="602"/>
      <c r="M33" s="603"/>
      <c r="N33" s="603"/>
      <c r="O33" s="603"/>
      <c r="P33" s="603"/>
      <c r="Q33" s="603"/>
      <c r="R33" s="603"/>
      <c r="S33" s="183" t="s">
        <v>1545</v>
      </c>
      <c r="T33" s="183" t="s">
        <v>3577</v>
      </c>
      <c r="U33" s="907"/>
      <c r="V33" s="907"/>
      <c r="W33" s="907"/>
      <c r="X33" s="907"/>
      <c r="Y33" s="907"/>
      <c r="Z33" s="907"/>
      <c r="AA33" s="907"/>
      <c r="AB33" s="907"/>
      <c r="AC33" s="907"/>
      <c r="AD33" s="907"/>
      <c r="AE33" s="907"/>
      <c r="AF33" s="907"/>
      <c r="AG33" s="907"/>
      <c r="AH33" s="907"/>
      <c r="AI33" s="907"/>
      <c r="AJ33" s="907"/>
      <c r="AK33" s="907"/>
      <c r="AL33" s="907"/>
      <c r="AM33" s="907"/>
      <c r="AN33" s="907"/>
      <c r="AO33" s="907"/>
      <c r="AP33" s="907"/>
      <c r="AQ33" s="907"/>
      <c r="AR33" s="907"/>
      <c r="AS33" s="907"/>
      <c r="AT33" s="907"/>
      <c r="AU33" s="907"/>
      <c r="AV33" s="907"/>
    </row>
    <row r="34" spans="1:48" ht="18" customHeight="1" x14ac:dyDescent="0.2">
      <c r="A34" s="907"/>
      <c r="B34" s="183">
        <v>11</v>
      </c>
      <c r="C34" s="592">
        <v>100000</v>
      </c>
      <c r="D34" s="182" t="s">
        <v>3515</v>
      </c>
      <c r="E34" s="182"/>
      <c r="F34" s="593"/>
      <c r="G34" s="594">
        <v>2320</v>
      </c>
      <c r="H34" s="182" t="s">
        <v>3510</v>
      </c>
      <c r="I34" s="182">
        <v>60</v>
      </c>
      <c r="J34" s="182"/>
      <c r="K34" s="595"/>
      <c r="L34" s="596"/>
      <c r="M34" s="605"/>
      <c r="N34" s="605"/>
      <c r="O34" s="605"/>
      <c r="P34" s="605"/>
      <c r="Q34" s="605"/>
      <c r="R34" s="605"/>
      <c r="S34" s="183" t="s">
        <v>1545</v>
      </c>
      <c r="T34" s="182" t="s">
        <v>3601</v>
      </c>
      <c r="U34" s="907"/>
      <c r="V34" s="907"/>
      <c r="W34" s="907"/>
      <c r="X34" s="907"/>
      <c r="Y34" s="907"/>
      <c r="Z34" s="907"/>
      <c r="AA34" s="907"/>
      <c r="AB34" s="907"/>
      <c r="AC34" s="907"/>
      <c r="AD34" s="907"/>
      <c r="AE34" s="907"/>
      <c r="AF34" s="907"/>
      <c r="AG34" s="907"/>
      <c r="AH34" s="907"/>
      <c r="AI34" s="907"/>
      <c r="AJ34" s="907"/>
      <c r="AK34" s="907"/>
      <c r="AL34" s="907"/>
      <c r="AM34" s="907"/>
      <c r="AN34" s="907"/>
      <c r="AO34" s="907"/>
      <c r="AP34" s="907"/>
      <c r="AQ34" s="907"/>
      <c r="AR34" s="907"/>
      <c r="AS34" s="907"/>
      <c r="AT34" s="907"/>
      <c r="AU34" s="907"/>
      <c r="AV34" s="907"/>
    </row>
    <row r="35" spans="1:48" ht="18" customHeight="1" x14ac:dyDescent="0.2">
      <c r="A35" s="907"/>
      <c r="B35" s="182">
        <v>12</v>
      </c>
      <c r="C35" s="597">
        <v>100000</v>
      </c>
      <c r="D35" s="184" t="s">
        <v>3515</v>
      </c>
      <c r="E35" s="183"/>
      <c r="F35" s="598"/>
      <c r="G35" s="599">
        <v>2320</v>
      </c>
      <c r="H35" s="600" t="s">
        <v>3510</v>
      </c>
      <c r="I35" s="600">
        <v>60</v>
      </c>
      <c r="J35" s="600"/>
      <c r="K35" s="601"/>
      <c r="L35" s="602"/>
      <c r="M35" s="603"/>
      <c r="N35" s="603"/>
      <c r="O35" s="603"/>
      <c r="P35" s="603"/>
      <c r="Q35" s="603"/>
      <c r="R35" s="603"/>
      <c r="S35" s="183" t="s">
        <v>1545</v>
      </c>
      <c r="T35" s="183" t="s">
        <v>3601</v>
      </c>
      <c r="U35" s="907"/>
      <c r="V35" s="907"/>
      <c r="W35" s="907"/>
      <c r="X35" s="907"/>
      <c r="Y35" s="907"/>
      <c r="Z35" s="907"/>
      <c r="AA35" s="907"/>
      <c r="AB35" s="907"/>
      <c r="AC35" s="907"/>
      <c r="AD35" s="907"/>
      <c r="AE35" s="907"/>
      <c r="AF35" s="907"/>
      <c r="AG35" s="907"/>
      <c r="AH35" s="907"/>
      <c r="AI35" s="907"/>
      <c r="AJ35" s="907"/>
      <c r="AK35" s="907"/>
      <c r="AL35" s="907"/>
      <c r="AM35" s="907"/>
      <c r="AN35" s="907"/>
      <c r="AO35" s="907"/>
      <c r="AP35" s="907"/>
      <c r="AQ35" s="907"/>
      <c r="AR35" s="907"/>
      <c r="AS35" s="907"/>
      <c r="AT35" s="907"/>
      <c r="AU35" s="907"/>
      <c r="AV35" s="907"/>
    </row>
    <row r="36" spans="1:48" ht="18" customHeight="1" x14ac:dyDescent="0.2">
      <c r="A36" s="907"/>
      <c r="B36" s="183">
        <v>13</v>
      </c>
      <c r="C36" s="592"/>
      <c r="D36" s="182"/>
      <c r="E36" s="182" t="s">
        <v>3594</v>
      </c>
      <c r="F36" s="593"/>
      <c r="G36" s="594">
        <v>54850</v>
      </c>
      <c r="H36" s="182" t="s">
        <v>3597</v>
      </c>
      <c r="I36" s="182"/>
      <c r="J36" s="182"/>
      <c r="K36" s="595"/>
      <c r="L36" s="596" t="s">
        <v>3585</v>
      </c>
      <c r="M36" s="605">
        <v>30</v>
      </c>
      <c r="N36" s="605">
        <v>31</v>
      </c>
      <c r="O36" s="605">
        <v>30</v>
      </c>
      <c r="P36" s="605">
        <v>31</v>
      </c>
      <c r="Q36" s="605" t="s">
        <v>3599</v>
      </c>
      <c r="R36" s="605"/>
      <c r="S36" s="183" t="s">
        <v>1340</v>
      </c>
      <c r="T36" s="182" t="s">
        <v>3600</v>
      </c>
      <c r="U36" s="907"/>
      <c r="V36" s="907"/>
      <c r="W36" s="907"/>
      <c r="X36" s="907"/>
      <c r="Y36" s="907"/>
      <c r="Z36" s="907"/>
      <c r="AA36" s="907"/>
      <c r="AB36" s="907"/>
      <c r="AC36" s="907"/>
      <c r="AD36" s="907"/>
      <c r="AE36" s="907"/>
      <c r="AF36" s="907"/>
      <c r="AG36" s="907"/>
      <c r="AH36" s="907"/>
      <c r="AI36" s="907"/>
      <c r="AJ36" s="907"/>
      <c r="AK36" s="907"/>
      <c r="AL36" s="907"/>
      <c r="AM36" s="907"/>
      <c r="AN36" s="907"/>
      <c r="AO36" s="907"/>
      <c r="AP36" s="907"/>
      <c r="AQ36" s="907"/>
      <c r="AR36" s="907"/>
      <c r="AS36" s="907"/>
      <c r="AT36" s="907"/>
      <c r="AU36" s="907"/>
      <c r="AV36" s="907"/>
    </row>
    <row r="37" spans="1:48" ht="18" customHeight="1" x14ac:dyDescent="0.2">
      <c r="A37" s="907"/>
      <c r="B37" s="182">
        <v>14</v>
      </c>
      <c r="C37" s="597"/>
      <c r="D37" s="184"/>
      <c r="E37" s="183" t="s">
        <v>3593</v>
      </c>
      <c r="F37" s="598"/>
      <c r="G37" s="599">
        <v>41760</v>
      </c>
      <c r="H37" s="600" t="s">
        <v>3597</v>
      </c>
      <c r="I37" s="600"/>
      <c r="J37" s="600"/>
      <c r="K37" s="601"/>
      <c r="L37" s="602" t="s">
        <v>3585</v>
      </c>
      <c r="M37" s="603">
        <v>1</v>
      </c>
      <c r="N37" s="603">
        <v>1</v>
      </c>
      <c r="O37" s="603">
        <v>3</v>
      </c>
      <c r="P37" s="603">
        <v>1</v>
      </c>
      <c r="Q37" s="603">
        <v>1</v>
      </c>
      <c r="R37" s="603">
        <v>1</v>
      </c>
      <c r="S37" s="183" t="s">
        <v>1340</v>
      </c>
      <c r="T37" s="183" t="s">
        <v>3598</v>
      </c>
      <c r="U37" s="907"/>
      <c r="V37" s="907"/>
      <c r="W37" s="907"/>
      <c r="X37" s="907"/>
      <c r="Y37" s="907"/>
      <c r="Z37" s="907"/>
      <c r="AA37" s="907"/>
      <c r="AB37" s="907"/>
      <c r="AC37" s="907"/>
      <c r="AD37" s="907"/>
      <c r="AE37" s="907"/>
      <c r="AF37" s="907"/>
      <c r="AG37" s="907"/>
      <c r="AH37" s="907"/>
      <c r="AI37" s="907"/>
      <c r="AJ37" s="907"/>
      <c r="AK37" s="907"/>
      <c r="AL37" s="907"/>
      <c r="AM37" s="907"/>
      <c r="AN37" s="907"/>
      <c r="AO37" s="907"/>
      <c r="AP37" s="907"/>
      <c r="AQ37" s="907"/>
      <c r="AR37" s="907"/>
      <c r="AS37" s="907"/>
      <c r="AT37" s="907"/>
      <c r="AU37" s="907"/>
      <c r="AV37" s="907"/>
    </row>
    <row r="38" spans="1:48" ht="18" customHeight="1" x14ac:dyDescent="0.2">
      <c r="A38" s="907"/>
      <c r="B38" s="183"/>
      <c r="C38" s="592"/>
      <c r="D38" s="182"/>
      <c r="E38" s="182"/>
      <c r="F38" s="593"/>
      <c r="G38" s="594"/>
      <c r="H38" s="182"/>
      <c r="I38" s="182"/>
      <c r="J38" s="182"/>
      <c r="K38" s="595"/>
      <c r="L38" s="596"/>
      <c r="M38" s="605"/>
      <c r="N38" s="605"/>
      <c r="O38" s="605"/>
      <c r="P38" s="605"/>
      <c r="Q38" s="605"/>
      <c r="R38" s="605"/>
      <c r="S38" s="183"/>
      <c r="T38" s="182"/>
      <c r="U38" s="907"/>
      <c r="V38" s="907"/>
      <c r="W38" s="907"/>
      <c r="X38" s="907"/>
      <c r="Y38" s="907"/>
      <c r="Z38" s="907"/>
      <c r="AA38" s="907"/>
      <c r="AB38" s="907"/>
      <c r="AC38" s="907"/>
      <c r="AD38" s="907"/>
      <c r="AE38" s="907"/>
      <c r="AF38" s="907"/>
      <c r="AG38" s="907"/>
      <c r="AH38" s="907"/>
      <c r="AI38" s="907"/>
      <c r="AJ38" s="907"/>
      <c r="AK38" s="907"/>
      <c r="AL38" s="907"/>
      <c r="AM38" s="907"/>
      <c r="AN38" s="907"/>
      <c r="AO38" s="907"/>
      <c r="AP38" s="907"/>
      <c r="AQ38" s="907"/>
      <c r="AR38" s="907"/>
      <c r="AS38" s="907"/>
      <c r="AT38" s="907"/>
      <c r="AU38" s="907"/>
      <c r="AV38" s="907"/>
    </row>
    <row r="39" spans="1:48" s="586" customFormat="1" x14ac:dyDescent="0.2">
      <c r="A39" s="581"/>
      <c r="B39" s="182"/>
      <c r="C39" s="597"/>
      <c r="D39" s="184"/>
      <c r="E39" s="183"/>
      <c r="F39" s="598"/>
      <c r="G39" s="599"/>
      <c r="H39" s="600"/>
      <c r="I39" s="600"/>
      <c r="J39" s="600"/>
      <c r="K39" s="601"/>
      <c r="L39" s="602"/>
      <c r="M39" s="603"/>
      <c r="N39" s="603"/>
      <c r="O39" s="603"/>
      <c r="P39" s="603"/>
      <c r="Q39" s="603"/>
      <c r="R39" s="603"/>
      <c r="S39" s="183"/>
      <c r="T39" s="183"/>
      <c r="U39" s="581"/>
      <c r="V39" s="581"/>
      <c r="W39" s="581"/>
      <c r="X39" s="581"/>
      <c r="Y39" s="581"/>
      <c r="Z39" s="581"/>
      <c r="AA39" s="581"/>
      <c r="AB39" s="581"/>
      <c r="AC39" s="581"/>
      <c r="AD39" s="581"/>
      <c r="AE39" s="581"/>
      <c r="AF39" s="581"/>
      <c r="AG39" s="581"/>
      <c r="AH39" s="581"/>
      <c r="AI39" s="581"/>
      <c r="AJ39" s="581"/>
      <c r="AK39" s="581"/>
      <c r="AL39" s="581"/>
      <c r="AM39" s="581"/>
      <c r="AN39" s="581"/>
      <c r="AO39" s="581"/>
      <c r="AP39" s="581"/>
      <c r="AQ39" s="581"/>
      <c r="AR39" s="581"/>
      <c r="AS39" s="581"/>
      <c r="AT39" s="581"/>
      <c r="AU39" s="581"/>
      <c r="AV39" s="581"/>
    </row>
    <row r="40" spans="1:48" ht="15.75" customHeight="1" x14ac:dyDescent="0.2">
      <c r="A40" s="907"/>
      <c r="B40" s="183"/>
      <c r="C40" s="592"/>
      <c r="D40" s="182"/>
      <c r="E40" s="182"/>
      <c r="F40" s="593"/>
      <c r="G40" s="594"/>
      <c r="H40" s="182"/>
      <c r="I40" s="182"/>
      <c r="J40" s="182"/>
      <c r="K40" s="595"/>
      <c r="L40" s="596"/>
      <c r="M40" s="605"/>
      <c r="N40" s="605"/>
      <c r="O40" s="605"/>
      <c r="P40" s="605"/>
      <c r="Q40" s="605"/>
      <c r="R40" s="605"/>
      <c r="S40" s="183"/>
      <c r="T40" s="182"/>
      <c r="U40" s="907"/>
      <c r="V40" s="907"/>
      <c r="W40" s="907"/>
      <c r="X40" s="907"/>
      <c r="Y40" s="907"/>
      <c r="Z40" s="907"/>
      <c r="AA40" s="907"/>
      <c r="AB40" s="907"/>
      <c r="AC40" s="907"/>
      <c r="AD40" s="907"/>
      <c r="AE40" s="907"/>
      <c r="AF40" s="907"/>
      <c r="AG40" s="907"/>
      <c r="AH40" s="907"/>
      <c r="AI40" s="907"/>
      <c r="AJ40" s="907"/>
      <c r="AK40" s="907"/>
      <c r="AL40" s="907"/>
      <c r="AM40" s="907"/>
      <c r="AN40" s="907"/>
      <c r="AO40" s="907"/>
      <c r="AP40" s="907"/>
      <c r="AQ40" s="907"/>
      <c r="AR40" s="907"/>
      <c r="AS40" s="907"/>
      <c r="AT40" s="907"/>
      <c r="AU40" s="907"/>
      <c r="AV40" s="907"/>
    </row>
    <row r="41" spans="1:48" ht="14.25" customHeight="1" x14ac:dyDescent="0.2">
      <c r="A41" s="907"/>
      <c r="B41" s="182"/>
      <c r="C41" s="597"/>
      <c r="D41" s="184"/>
      <c r="E41" s="183"/>
      <c r="F41" s="598"/>
      <c r="G41" s="599"/>
      <c r="H41" s="600"/>
      <c r="I41" s="600"/>
      <c r="J41" s="600"/>
      <c r="K41" s="601"/>
      <c r="L41" s="602"/>
      <c r="M41" s="603"/>
      <c r="N41" s="603"/>
      <c r="O41" s="603"/>
      <c r="P41" s="603"/>
      <c r="Q41" s="603"/>
      <c r="R41" s="603"/>
      <c r="S41" s="183"/>
      <c r="T41" s="183"/>
      <c r="U41" s="907"/>
      <c r="V41" s="907"/>
      <c r="W41" s="907"/>
      <c r="X41" s="907"/>
      <c r="Y41" s="907"/>
      <c r="Z41" s="907"/>
      <c r="AA41" s="907"/>
      <c r="AB41" s="907"/>
      <c r="AC41" s="907"/>
      <c r="AD41" s="907"/>
      <c r="AE41" s="907"/>
      <c r="AF41" s="907"/>
      <c r="AG41" s="907"/>
      <c r="AH41" s="907"/>
      <c r="AI41" s="907"/>
      <c r="AJ41" s="907"/>
      <c r="AK41" s="907"/>
      <c r="AL41" s="907"/>
      <c r="AM41" s="907"/>
      <c r="AN41" s="907"/>
      <c r="AO41" s="907"/>
      <c r="AP41" s="907"/>
      <c r="AQ41" s="907"/>
      <c r="AR41" s="907"/>
      <c r="AS41" s="907"/>
      <c r="AT41" s="907"/>
      <c r="AU41" s="907"/>
      <c r="AV41" s="907"/>
    </row>
    <row r="42" spans="1:48" s="586" customFormat="1" ht="21" customHeight="1" x14ac:dyDescent="0.2">
      <c r="A42" s="581"/>
      <c r="B42" s="606" t="s">
        <v>44</v>
      </c>
      <c r="C42" s="2316" t="s">
        <v>1316</v>
      </c>
      <c r="D42" s="2316"/>
      <c r="E42" s="2316"/>
      <c r="F42" s="2316"/>
      <c r="G42" s="2316"/>
      <c r="H42" s="2316"/>
      <c r="I42" s="2314">
        <f>SUM(G24:G41)</f>
        <v>147934</v>
      </c>
      <c r="J42" s="2314"/>
      <c r="K42" s="2314"/>
      <c r="L42" s="2314"/>
      <c r="M42" s="2314"/>
      <c r="N42" s="2314"/>
      <c r="O42" s="2314"/>
      <c r="P42" s="2314"/>
      <c r="Q42" s="2314"/>
      <c r="R42" s="2314"/>
      <c r="S42" s="606"/>
      <c r="T42" s="606"/>
      <c r="U42" s="581"/>
      <c r="V42" s="581"/>
      <c r="W42" s="581"/>
      <c r="X42" s="581"/>
      <c r="Y42" s="581"/>
      <c r="Z42" s="581"/>
      <c r="AA42" s="581"/>
      <c r="AB42" s="581"/>
      <c r="AC42" s="581"/>
      <c r="AD42" s="581"/>
      <c r="AE42" s="581"/>
      <c r="AF42" s="581"/>
      <c r="AG42" s="581"/>
      <c r="AH42" s="581"/>
      <c r="AI42" s="581"/>
      <c r="AJ42" s="581"/>
      <c r="AK42" s="581"/>
      <c r="AL42" s="581"/>
      <c r="AM42" s="581"/>
      <c r="AN42" s="581"/>
      <c r="AO42" s="581"/>
      <c r="AP42" s="581"/>
      <c r="AQ42" s="581"/>
      <c r="AR42" s="581"/>
      <c r="AS42" s="581"/>
      <c r="AT42" s="581"/>
      <c r="AU42" s="581"/>
      <c r="AV42" s="581"/>
    </row>
    <row r="43" spans="1:48" s="586" customFormat="1" ht="21" customHeight="1" x14ac:dyDescent="0.2">
      <c r="A43" s="581"/>
      <c r="B43" s="606" t="s">
        <v>45</v>
      </c>
      <c r="C43" s="2317" t="s">
        <v>217</v>
      </c>
      <c r="D43" s="2317"/>
      <c r="E43" s="2317"/>
      <c r="F43" s="2317"/>
      <c r="G43" s="2317"/>
      <c r="H43" s="2317"/>
      <c r="I43" s="2315">
        <f>SUMIF(S24:S41,"Yes",G24:G41)</f>
        <v>96610</v>
      </c>
      <c r="J43" s="2315"/>
      <c r="K43" s="2315"/>
      <c r="L43" s="2315"/>
      <c r="M43" s="2315"/>
      <c r="N43" s="2315"/>
      <c r="O43" s="2315"/>
      <c r="P43" s="2315"/>
      <c r="Q43" s="2315"/>
      <c r="R43" s="2315"/>
      <c r="S43" s="606"/>
      <c r="T43" s="606"/>
      <c r="U43" s="581"/>
      <c r="V43" s="581"/>
      <c r="W43" s="581"/>
      <c r="X43" s="581"/>
      <c r="Y43" s="581"/>
      <c r="Z43" s="581"/>
      <c r="AA43" s="581"/>
      <c r="AB43" s="581"/>
      <c r="AC43" s="581"/>
      <c r="AD43" s="581"/>
      <c r="AE43" s="581"/>
      <c r="AF43" s="581"/>
      <c r="AG43" s="581"/>
      <c r="AH43" s="581"/>
      <c r="AI43" s="581"/>
      <c r="AJ43" s="581"/>
      <c r="AK43" s="581"/>
      <c r="AL43" s="581"/>
      <c r="AM43" s="581"/>
      <c r="AN43" s="581"/>
      <c r="AO43" s="581"/>
      <c r="AP43" s="581"/>
      <c r="AQ43" s="581"/>
      <c r="AR43" s="581"/>
      <c r="AS43" s="581"/>
      <c r="AT43" s="581"/>
      <c r="AU43" s="581"/>
      <c r="AV43" s="581"/>
    </row>
    <row r="44" spans="1:48" s="586" customFormat="1" ht="12.75" customHeight="1" x14ac:dyDescent="0.2">
      <c r="A44" s="581"/>
      <c r="B44" s="606"/>
      <c r="C44" s="606"/>
      <c r="D44" s="606"/>
      <c r="E44" s="606"/>
      <c r="F44" s="606"/>
      <c r="G44" s="607"/>
      <c r="H44" s="607"/>
      <c r="I44" s="607"/>
      <c r="J44" s="607"/>
      <c r="K44" s="606"/>
      <c r="L44" s="606"/>
      <c r="M44" s="606"/>
      <c r="N44" s="606"/>
      <c r="O44" s="606"/>
      <c r="P44" s="606"/>
      <c r="Q44" s="606"/>
      <c r="R44" s="606"/>
      <c r="S44" s="606"/>
      <c r="T44" s="606"/>
      <c r="U44" s="581"/>
      <c r="V44" s="581"/>
      <c r="W44" s="581"/>
      <c r="X44" s="581"/>
      <c r="Y44" s="581"/>
      <c r="Z44" s="581"/>
      <c r="AA44" s="581"/>
      <c r="AB44" s="581"/>
      <c r="AC44" s="581"/>
      <c r="AD44" s="581"/>
      <c r="AE44" s="581"/>
      <c r="AF44" s="581"/>
      <c r="AG44" s="581"/>
      <c r="AH44" s="581"/>
      <c r="AI44" s="581"/>
      <c r="AJ44" s="581"/>
      <c r="AK44" s="581"/>
      <c r="AL44" s="581"/>
      <c r="AM44" s="581"/>
      <c r="AN44" s="581"/>
      <c r="AO44" s="581"/>
      <c r="AP44" s="581"/>
      <c r="AQ44" s="581"/>
      <c r="AR44" s="581"/>
      <c r="AS44" s="581"/>
      <c r="AT44" s="581"/>
      <c r="AU44" s="581"/>
      <c r="AV44" s="581"/>
    </row>
    <row r="45" spans="1:48" s="586" customFormat="1" x14ac:dyDescent="0.2">
      <c r="A45" s="581"/>
      <c r="B45" s="907"/>
      <c r="C45" s="907"/>
      <c r="D45" s="907"/>
      <c r="E45" s="907"/>
      <c r="F45" s="907"/>
      <c r="G45" s="907"/>
      <c r="H45" s="907"/>
      <c r="I45" s="907"/>
      <c r="J45" s="907"/>
      <c r="K45" s="907"/>
      <c r="L45" s="907"/>
      <c r="M45" s="907"/>
      <c r="N45" s="907"/>
      <c r="O45" s="907"/>
      <c r="P45" s="907"/>
      <c r="Q45" s="907"/>
      <c r="R45" s="907"/>
      <c r="S45" s="907"/>
      <c r="T45" s="907"/>
      <c r="U45" s="581"/>
      <c r="V45" s="581"/>
      <c r="W45" s="581"/>
      <c r="X45" s="581"/>
      <c r="Y45" s="581"/>
      <c r="Z45" s="581"/>
      <c r="AA45" s="581"/>
      <c r="AB45" s="581"/>
      <c r="AC45" s="581"/>
      <c r="AD45" s="581"/>
      <c r="AE45" s="581"/>
      <c r="AF45" s="581"/>
      <c r="AG45" s="581"/>
      <c r="AH45" s="581"/>
      <c r="AI45" s="581"/>
      <c r="AJ45" s="581"/>
      <c r="AK45" s="581"/>
      <c r="AL45" s="581"/>
      <c r="AM45" s="581"/>
      <c r="AN45" s="581"/>
      <c r="AO45" s="581"/>
      <c r="AP45" s="581"/>
      <c r="AQ45" s="581"/>
      <c r="AR45" s="581"/>
      <c r="AS45" s="581"/>
      <c r="AT45" s="581"/>
      <c r="AU45" s="581"/>
      <c r="AV45" s="581"/>
    </row>
    <row r="46" spans="1:48" s="586" customFormat="1" x14ac:dyDescent="0.2">
      <c r="A46" s="581"/>
      <c r="B46" s="907"/>
      <c r="C46" s="2318" t="s">
        <v>1317</v>
      </c>
      <c r="D46" s="2318"/>
      <c r="E46" s="2318"/>
      <c r="F46" s="2318"/>
      <c r="G46" s="2319" t="s">
        <v>1318</v>
      </c>
      <c r="H46" s="2320"/>
      <c r="I46" s="2320"/>
      <c r="J46" s="2320"/>
      <c r="K46" s="2320"/>
      <c r="L46" s="2320"/>
      <c r="M46" s="2320"/>
      <c r="N46" s="2320"/>
      <c r="O46" s="2320"/>
      <c r="P46" s="2320"/>
      <c r="Q46" s="2320"/>
      <c r="R46" s="2320"/>
      <c r="S46" s="907"/>
      <c r="T46" s="907"/>
      <c r="U46" s="581"/>
      <c r="V46" s="581"/>
      <c r="W46" s="581"/>
      <c r="X46" s="581"/>
      <c r="Y46" s="581"/>
      <c r="Z46" s="581"/>
      <c r="AA46" s="581"/>
      <c r="AB46" s="581"/>
      <c r="AC46" s="581"/>
      <c r="AD46" s="581"/>
      <c r="AE46" s="581"/>
      <c r="AF46" s="581"/>
      <c r="AG46" s="581"/>
      <c r="AH46" s="581"/>
      <c r="AI46" s="581"/>
      <c r="AJ46" s="581"/>
      <c r="AK46" s="581"/>
      <c r="AL46" s="581"/>
      <c r="AM46" s="581"/>
      <c r="AN46" s="581"/>
      <c r="AO46" s="581"/>
      <c r="AP46" s="581"/>
      <c r="AQ46" s="581"/>
      <c r="AR46" s="581"/>
      <c r="AS46" s="581"/>
      <c r="AT46" s="581"/>
      <c r="AU46" s="581"/>
      <c r="AV46" s="581"/>
    </row>
    <row r="47" spans="1:48" s="586" customFormat="1" ht="12.75" customHeight="1" x14ac:dyDescent="0.2">
      <c r="A47" s="581"/>
      <c r="B47" s="907"/>
      <c r="C47" s="2311" t="s">
        <v>1319</v>
      </c>
      <c r="D47" s="2311"/>
      <c r="E47" s="2311"/>
      <c r="F47" s="2311"/>
      <c r="G47" s="2312"/>
      <c r="H47" s="2313"/>
      <c r="I47" s="2313"/>
      <c r="J47" s="2313"/>
      <c r="K47" s="2313"/>
      <c r="L47" s="2313"/>
      <c r="M47" s="2313"/>
      <c r="N47" s="2313"/>
      <c r="O47" s="2313"/>
      <c r="P47" s="2313"/>
      <c r="Q47" s="2313"/>
      <c r="R47" s="2313"/>
      <c r="S47" s="907"/>
      <c r="T47" s="907"/>
      <c r="U47" s="581"/>
      <c r="V47" s="581"/>
      <c r="W47" s="581"/>
      <c r="X47" s="581"/>
      <c r="Y47" s="581"/>
      <c r="Z47" s="581"/>
      <c r="AA47" s="581"/>
      <c r="AB47" s="581"/>
      <c r="AC47" s="581"/>
      <c r="AD47" s="581"/>
      <c r="AE47" s="581"/>
      <c r="AF47" s="581"/>
      <c r="AG47" s="581"/>
      <c r="AH47" s="581"/>
      <c r="AI47" s="581"/>
      <c r="AJ47" s="581"/>
      <c r="AK47" s="581"/>
      <c r="AL47" s="581"/>
      <c r="AM47" s="581"/>
      <c r="AN47" s="581"/>
      <c r="AO47" s="581"/>
      <c r="AP47" s="581"/>
      <c r="AQ47" s="581"/>
      <c r="AR47" s="581"/>
      <c r="AS47" s="581"/>
      <c r="AT47" s="581"/>
      <c r="AU47" s="581"/>
      <c r="AV47" s="581"/>
    </row>
    <row r="48" spans="1:48" s="586" customFormat="1" x14ac:dyDescent="0.2">
      <c r="A48" s="581"/>
      <c r="B48" s="907"/>
      <c r="C48" s="2311" t="s">
        <v>1320</v>
      </c>
      <c r="D48" s="2311"/>
      <c r="E48" s="2311"/>
      <c r="F48" s="2311"/>
      <c r="G48" s="2312"/>
      <c r="H48" s="2313"/>
      <c r="I48" s="2313"/>
      <c r="J48" s="2313"/>
      <c r="K48" s="2313"/>
      <c r="L48" s="2313"/>
      <c r="M48" s="2313"/>
      <c r="N48" s="2313"/>
      <c r="O48" s="2313"/>
      <c r="P48" s="2313"/>
      <c r="Q48" s="2313"/>
      <c r="R48" s="2313"/>
      <c r="S48" s="907"/>
      <c r="T48" s="907"/>
      <c r="U48" s="581"/>
      <c r="V48" s="581"/>
      <c r="W48" s="581"/>
      <c r="X48" s="581"/>
      <c r="Y48" s="581"/>
      <c r="Z48" s="581"/>
      <c r="AA48" s="581"/>
      <c r="AB48" s="581"/>
      <c r="AC48" s="581"/>
      <c r="AD48" s="581"/>
      <c r="AE48" s="581"/>
      <c r="AF48" s="581"/>
      <c r="AG48" s="581"/>
      <c r="AH48" s="581"/>
      <c r="AI48" s="581"/>
      <c r="AJ48" s="581"/>
      <c r="AK48" s="581"/>
      <c r="AL48" s="581"/>
      <c r="AM48" s="581"/>
      <c r="AN48" s="581"/>
      <c r="AO48" s="581"/>
      <c r="AP48" s="581"/>
      <c r="AQ48" s="581"/>
      <c r="AR48" s="581"/>
      <c r="AS48" s="581"/>
      <c r="AT48" s="581"/>
      <c r="AU48" s="581"/>
      <c r="AV48" s="581"/>
    </row>
    <row r="49" spans="1:48" ht="12.75" customHeight="1" x14ac:dyDescent="0.2">
      <c r="A49" s="907"/>
      <c r="B49" s="907"/>
      <c r="C49" s="2311" t="s">
        <v>1321</v>
      </c>
      <c r="D49" s="2311"/>
      <c r="E49" s="2311"/>
      <c r="F49" s="2311"/>
      <c r="G49" s="2321" t="s">
        <v>705</v>
      </c>
      <c r="H49" s="2322"/>
      <c r="I49" s="2322"/>
      <c r="J49" s="2322"/>
      <c r="K49" s="2322"/>
      <c r="L49" s="2322"/>
      <c r="M49" s="2322"/>
      <c r="N49" s="2322"/>
      <c r="O49" s="2322"/>
      <c r="P49" s="2322"/>
      <c r="Q49" s="2322"/>
      <c r="R49" s="2322"/>
      <c r="S49" s="907"/>
      <c r="T49" s="907"/>
      <c r="U49" s="907"/>
      <c r="V49" s="907"/>
      <c r="W49" s="907"/>
      <c r="X49" s="907"/>
      <c r="Y49" s="907"/>
      <c r="Z49" s="907"/>
      <c r="AA49" s="907"/>
      <c r="AB49" s="907"/>
      <c r="AC49" s="907"/>
      <c r="AD49" s="907"/>
      <c r="AE49" s="907"/>
      <c r="AF49" s="907"/>
      <c r="AG49" s="907"/>
      <c r="AH49" s="907"/>
      <c r="AI49" s="907"/>
      <c r="AJ49" s="907"/>
      <c r="AK49" s="907"/>
      <c r="AL49" s="907"/>
      <c r="AM49" s="907"/>
      <c r="AN49" s="907"/>
      <c r="AO49" s="907"/>
      <c r="AP49" s="907"/>
      <c r="AQ49" s="907"/>
      <c r="AR49" s="907"/>
      <c r="AS49" s="907"/>
      <c r="AT49" s="907"/>
      <c r="AU49" s="907"/>
      <c r="AV49" s="907"/>
    </row>
    <row r="50" spans="1:48" ht="12.75" customHeight="1" x14ac:dyDescent="0.2">
      <c r="A50" s="907"/>
      <c r="B50" s="907"/>
      <c r="C50" s="2311" t="s">
        <v>1322</v>
      </c>
      <c r="D50" s="2311"/>
      <c r="E50" s="2311"/>
      <c r="F50" s="2311"/>
      <c r="G50" s="2321" t="s">
        <v>705</v>
      </c>
      <c r="H50" s="2322"/>
      <c r="I50" s="2322"/>
      <c r="J50" s="2322"/>
      <c r="K50" s="2322"/>
      <c r="L50" s="2322"/>
      <c r="M50" s="2322"/>
      <c r="N50" s="2322"/>
      <c r="O50" s="2322"/>
      <c r="P50" s="2322"/>
      <c r="Q50" s="2322"/>
      <c r="R50" s="2322"/>
      <c r="S50" s="907"/>
      <c r="T50" s="907"/>
      <c r="U50" s="907"/>
      <c r="V50" s="907"/>
      <c r="W50" s="907"/>
      <c r="X50" s="907"/>
      <c r="Y50" s="907"/>
      <c r="Z50" s="907"/>
      <c r="AA50" s="907"/>
      <c r="AB50" s="907"/>
      <c r="AC50" s="907"/>
      <c r="AD50" s="907"/>
      <c r="AE50" s="907"/>
      <c r="AF50" s="907"/>
      <c r="AG50" s="907"/>
      <c r="AH50" s="907"/>
      <c r="AI50" s="907"/>
      <c r="AJ50" s="907"/>
      <c r="AK50" s="907"/>
      <c r="AL50" s="907"/>
      <c r="AM50" s="907"/>
      <c r="AN50" s="907"/>
      <c r="AO50" s="907"/>
      <c r="AP50" s="907"/>
      <c r="AQ50" s="907"/>
      <c r="AR50" s="907"/>
      <c r="AS50" s="907"/>
      <c r="AT50" s="907"/>
      <c r="AU50" s="907"/>
      <c r="AV50" s="907"/>
    </row>
    <row r="51" spans="1:48" x14ac:dyDescent="0.2">
      <c r="A51" s="907"/>
      <c r="B51" s="907"/>
      <c r="C51" s="907"/>
      <c r="D51" s="907"/>
      <c r="E51" s="907"/>
      <c r="F51" s="907"/>
      <c r="G51" s="907"/>
      <c r="H51" s="907"/>
      <c r="I51" s="907"/>
      <c r="J51" s="907"/>
      <c r="K51" s="907"/>
      <c r="L51" s="907"/>
      <c r="M51" s="907"/>
      <c r="N51" s="907"/>
      <c r="O51" s="907"/>
      <c r="P51" s="581"/>
      <c r="Q51" s="907"/>
      <c r="R51" s="907"/>
      <c r="S51" s="907"/>
      <c r="T51" s="907"/>
      <c r="U51" s="907"/>
      <c r="V51" s="907"/>
      <c r="W51" s="907"/>
      <c r="X51" s="907"/>
      <c r="Y51" s="907"/>
      <c r="Z51" s="907"/>
      <c r="AA51" s="907"/>
      <c r="AB51" s="907"/>
      <c r="AC51" s="907"/>
      <c r="AD51" s="907"/>
      <c r="AE51" s="907"/>
      <c r="AF51" s="907"/>
      <c r="AG51" s="907"/>
      <c r="AH51" s="907"/>
      <c r="AI51" s="907"/>
      <c r="AJ51" s="907"/>
      <c r="AK51" s="907"/>
      <c r="AL51" s="907"/>
      <c r="AM51" s="907"/>
      <c r="AN51" s="907"/>
      <c r="AO51" s="907"/>
      <c r="AP51" s="907"/>
      <c r="AQ51" s="907"/>
      <c r="AR51" s="907"/>
      <c r="AS51" s="907"/>
      <c r="AT51" s="907"/>
      <c r="AU51" s="907"/>
      <c r="AV51" s="907"/>
    </row>
    <row r="52" spans="1:48" x14ac:dyDescent="0.2"/>
    <row r="53" spans="1:48" x14ac:dyDescent="0.2"/>
    <row r="54" spans="1:48" x14ac:dyDescent="0.2"/>
  </sheetData>
  <sheetProtection algorithmName="SHA-512" hashValue="Y3YygK8iDdv9PZmLnzm6Tea2Tn8fdg+zqyrfkZsCM6HGVnCGsgkHdVgwwJGl0qmXrB0/yA4JmfAlE50uZAFkNA==" saltValue="POyA28N+65SbxJu6Mp2Gjg==" spinCount="100000" sheet="1" formatCells="0" formatColumns="0" formatRows="0" insertColumns="0" insertRows="0" insertHyperlinks="0" deleteColumns="0" deleteRows="0" autoFilter="0"/>
  <mergeCells count="135">
    <mergeCell ref="C50:D50"/>
    <mergeCell ref="E50:F50"/>
    <mergeCell ref="G50:R50"/>
    <mergeCell ref="C48:D48"/>
    <mergeCell ref="E48:F48"/>
    <mergeCell ref="G48:R48"/>
    <mergeCell ref="C49:D49"/>
    <mergeCell ref="E49:F49"/>
    <mergeCell ref="G49:R49"/>
    <mergeCell ref="C47:D47"/>
    <mergeCell ref="E47:F47"/>
    <mergeCell ref="G47:R47"/>
    <mergeCell ref="I42:R42"/>
    <mergeCell ref="I43:R43"/>
    <mergeCell ref="C42:H42"/>
    <mergeCell ref="C43:H43"/>
    <mergeCell ref="C46:D46"/>
    <mergeCell ref="E46:F46"/>
    <mergeCell ref="G46:R46"/>
    <mergeCell ref="H7:J7"/>
    <mergeCell ref="K7:N7"/>
    <mergeCell ref="R7:T7"/>
    <mergeCell ref="B6:D6"/>
    <mergeCell ref="E6:G6"/>
    <mergeCell ref="H6:J6"/>
    <mergeCell ref="K6:N6"/>
    <mergeCell ref="B3:D3"/>
    <mergeCell ref="E3:G3"/>
    <mergeCell ref="H3:J3"/>
    <mergeCell ref="K3:N3"/>
    <mergeCell ref="R3:T3"/>
    <mergeCell ref="R4:T4"/>
    <mergeCell ref="B5:D5"/>
    <mergeCell ref="E5:G5"/>
    <mergeCell ref="H5:J5"/>
    <mergeCell ref="K5:N5"/>
    <mergeCell ref="R5:T5"/>
    <mergeCell ref="B4:D4"/>
    <mergeCell ref="E4:G4"/>
    <mergeCell ref="R12:T12"/>
    <mergeCell ref="B13:D13"/>
    <mergeCell ref="E13:G13"/>
    <mergeCell ref="H13:J13"/>
    <mergeCell ref="K13:N13"/>
    <mergeCell ref="R13:T13"/>
    <mergeCell ref="O12:Q12"/>
    <mergeCell ref="O13:Q13"/>
    <mergeCell ref="R10:T10"/>
    <mergeCell ref="B11:D11"/>
    <mergeCell ref="E11:G11"/>
    <mergeCell ref="H11:J11"/>
    <mergeCell ref="K11:N11"/>
    <mergeCell ref="R11:T11"/>
    <mergeCell ref="B10:D10"/>
    <mergeCell ref="E10:G10"/>
    <mergeCell ref="H10:J10"/>
    <mergeCell ref="K10:N10"/>
    <mergeCell ref="H12:J12"/>
    <mergeCell ref="K12:N12"/>
    <mergeCell ref="B12:D12"/>
    <mergeCell ref="E12:G12"/>
    <mergeCell ref="O10:Q10"/>
    <mergeCell ref="O11:Q11"/>
    <mergeCell ref="R14:T14"/>
    <mergeCell ref="B15:D15"/>
    <mergeCell ref="E15:G15"/>
    <mergeCell ref="H15:J15"/>
    <mergeCell ref="K15:N15"/>
    <mergeCell ref="R15:T15"/>
    <mergeCell ref="H14:J14"/>
    <mergeCell ref="K14:N14"/>
    <mergeCell ref="B14:D14"/>
    <mergeCell ref="E14:G14"/>
    <mergeCell ref="O14:Q14"/>
    <mergeCell ref="O15:Q15"/>
    <mergeCell ref="O18:Q18"/>
    <mergeCell ref="O19:Q19"/>
    <mergeCell ref="R16:T16"/>
    <mergeCell ref="B17:D17"/>
    <mergeCell ref="E17:G17"/>
    <mergeCell ref="H17:J17"/>
    <mergeCell ref="K17:N17"/>
    <mergeCell ref="R17:T17"/>
    <mergeCell ref="B16:D16"/>
    <mergeCell ref="E16:G16"/>
    <mergeCell ref="H16:J16"/>
    <mergeCell ref="K16:N16"/>
    <mergeCell ref="O16:Q16"/>
    <mergeCell ref="O17:Q17"/>
    <mergeCell ref="R18:T18"/>
    <mergeCell ref="B19:D19"/>
    <mergeCell ref="E19:G19"/>
    <mergeCell ref="H19:J19"/>
    <mergeCell ref="K19:N19"/>
    <mergeCell ref="R19:T19"/>
    <mergeCell ref="B18:D18"/>
    <mergeCell ref="E18:G18"/>
    <mergeCell ref="H18:J18"/>
    <mergeCell ref="K18:N18"/>
    <mergeCell ref="R20:T20"/>
    <mergeCell ref="B21:D21"/>
    <mergeCell ref="E21:G21"/>
    <mergeCell ref="H21:J21"/>
    <mergeCell ref="K21:N21"/>
    <mergeCell ref="R21:T21"/>
    <mergeCell ref="B20:D20"/>
    <mergeCell ref="E20:G20"/>
    <mergeCell ref="H20:J20"/>
    <mergeCell ref="K20:N20"/>
    <mergeCell ref="O20:Q20"/>
    <mergeCell ref="O21:Q21"/>
    <mergeCell ref="B2:Q2"/>
    <mergeCell ref="R2:T2"/>
    <mergeCell ref="O3:Q3"/>
    <mergeCell ref="O4:Q4"/>
    <mergeCell ref="O5:Q5"/>
    <mergeCell ref="O6:Q6"/>
    <mergeCell ref="O7:Q7"/>
    <mergeCell ref="O8:Q8"/>
    <mergeCell ref="O9:Q9"/>
    <mergeCell ref="R8:T8"/>
    <mergeCell ref="B9:D9"/>
    <mergeCell ref="E9:G9"/>
    <mergeCell ref="H9:J9"/>
    <mergeCell ref="K9:N9"/>
    <mergeCell ref="R9:T9"/>
    <mergeCell ref="B8:D8"/>
    <mergeCell ref="E8:G8"/>
    <mergeCell ref="H8:J8"/>
    <mergeCell ref="K8:N8"/>
    <mergeCell ref="H4:J4"/>
    <mergeCell ref="K4:N4"/>
    <mergeCell ref="R6:T6"/>
    <mergeCell ref="B7:D7"/>
    <mergeCell ref="E7:G7"/>
  </mergeCells>
  <dataValidations count="1">
    <dataValidation type="list" allowBlank="1" showInputMessage="1" showErrorMessage="1" sqref="S24:S41" xr:uid="{00000000-0002-0000-2B00-000000000000}">
      <formula1>"Yes, No"</formula1>
    </dataValidation>
  </dataValidations>
  <pageMargins left="0.26" right="0.17" top="0.75" bottom="0.75" header="0.3" footer="0.3"/>
  <pageSetup paperSize="9" scale="55" orientation="landscape"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6"/>
  <dimension ref="A1:R127"/>
  <sheetViews>
    <sheetView zoomScale="80" zoomScaleNormal="80" workbookViewId="0">
      <selection activeCell="B26" sqref="B26:I26"/>
    </sheetView>
  </sheetViews>
  <sheetFormatPr defaultColWidth="0" defaultRowHeight="15" zeroHeight="1" x14ac:dyDescent="0.2"/>
  <cols>
    <col min="1" max="1" width="61.5703125" style="133" customWidth="1"/>
    <col min="2" max="2" width="26" style="133" customWidth="1"/>
    <col min="3" max="3" width="21.5703125" style="133" customWidth="1"/>
    <col min="4" max="4" width="15.7109375" style="133" customWidth="1"/>
    <col min="5" max="5" width="13.28515625" style="133" customWidth="1"/>
    <col min="6" max="6" width="16" style="133" customWidth="1"/>
    <col min="7" max="7" width="14.5703125" style="133" customWidth="1"/>
    <col min="8" max="8" width="13.85546875" style="133" customWidth="1"/>
    <col min="9" max="9" width="25.28515625" style="133" customWidth="1"/>
    <col min="10" max="10" width="9.140625" style="133" customWidth="1"/>
    <col min="11" max="18" width="0" style="133" hidden="1" customWidth="1"/>
    <col min="19" max="16384" width="9.140625" style="133" hidden="1"/>
  </cols>
  <sheetData>
    <row r="1" spans="1:17" x14ac:dyDescent="0.2"/>
    <row r="2" spans="1:17" ht="23.25" customHeight="1" x14ac:dyDescent="0.2">
      <c r="A2" s="134"/>
      <c r="B2" s="2447" t="s">
        <v>1086</v>
      </c>
      <c r="C2" s="2447"/>
      <c r="D2" s="2447"/>
      <c r="E2" s="2447"/>
      <c r="F2" s="2447"/>
      <c r="G2" s="2447"/>
      <c r="H2" s="2447"/>
      <c r="I2" s="2447"/>
      <c r="J2" s="135"/>
      <c r="K2" s="135"/>
      <c r="L2" s="135"/>
      <c r="M2" s="135"/>
      <c r="N2" s="135"/>
      <c r="O2" s="135"/>
      <c r="P2" s="135"/>
      <c r="Q2" s="135"/>
    </row>
    <row r="3" spans="1:17" x14ac:dyDescent="0.2">
      <c r="A3" s="2448"/>
      <c r="B3" s="2449"/>
      <c r="C3" s="2449"/>
      <c r="D3" s="2449"/>
      <c r="E3" s="2449"/>
      <c r="F3" s="2449"/>
      <c r="G3" s="2449"/>
      <c r="H3" s="2449"/>
      <c r="I3" s="2450"/>
      <c r="J3" s="135"/>
      <c r="K3" s="135"/>
      <c r="L3" s="135"/>
      <c r="M3" s="135"/>
      <c r="N3" s="135"/>
      <c r="O3" s="135"/>
      <c r="P3" s="135"/>
      <c r="Q3" s="135"/>
    </row>
    <row r="4" spans="1:17" ht="27.75" customHeight="1" x14ac:dyDescent="0.2">
      <c r="A4" s="136" t="s">
        <v>740</v>
      </c>
      <c r="B4" s="2451" t="str">
        <f>'Borrower Details'!B8</f>
        <v>AARBUR</v>
      </c>
      <c r="C4" s="2452"/>
      <c r="D4" s="2452"/>
      <c r="E4" s="2452"/>
      <c r="F4" s="2452"/>
      <c r="G4" s="2452"/>
      <c r="H4" s="2452"/>
      <c r="I4" s="2453"/>
      <c r="J4" s="135"/>
      <c r="K4" s="135"/>
      <c r="L4" s="135"/>
      <c r="M4" s="135"/>
      <c r="N4" s="135"/>
      <c r="O4" s="135"/>
      <c r="P4" s="135"/>
      <c r="Q4" s="135"/>
    </row>
    <row r="5" spans="1:17" x14ac:dyDescent="0.2">
      <c r="A5" s="136" t="s">
        <v>741</v>
      </c>
      <c r="B5" s="2435"/>
      <c r="C5" s="2436"/>
      <c r="D5" s="2436"/>
      <c r="E5" s="2436"/>
      <c r="F5" s="2436"/>
      <c r="G5" s="2436"/>
      <c r="H5" s="2436"/>
      <c r="I5" s="2437"/>
      <c r="J5" s="137"/>
      <c r="K5" s="137"/>
      <c r="L5" s="137"/>
      <c r="M5" s="137"/>
      <c r="N5" s="137"/>
      <c r="O5" s="137"/>
      <c r="P5" s="137"/>
      <c r="Q5" s="137"/>
    </row>
    <row r="6" spans="1:17" ht="15" customHeight="1" x14ac:dyDescent="0.2">
      <c r="A6" s="2454" t="s">
        <v>742</v>
      </c>
      <c r="B6" s="2456" t="str">
        <f>'Borrower Details'!B10</f>
        <v>327, DR B C ROY ROAD, D JAGADDAOL, DINGELPOTA, Kolkata, West Bengal, 700151</v>
      </c>
      <c r="C6" s="2457"/>
      <c r="D6" s="2457"/>
      <c r="E6" s="2457"/>
      <c r="F6" s="2457"/>
      <c r="G6" s="2457"/>
      <c r="H6" s="2457"/>
      <c r="I6" s="2458"/>
      <c r="J6" s="137"/>
      <c r="K6" s="137"/>
      <c r="L6" s="137"/>
      <c r="M6" s="137"/>
      <c r="N6" s="137"/>
      <c r="O6" s="137"/>
      <c r="P6" s="137"/>
      <c r="Q6" s="137"/>
    </row>
    <row r="7" spans="1:17" x14ac:dyDescent="0.2">
      <c r="A7" s="2455"/>
      <c r="B7" s="2459"/>
      <c r="C7" s="2460"/>
      <c r="D7" s="2460"/>
      <c r="E7" s="2460"/>
      <c r="F7" s="2460"/>
      <c r="G7" s="2460"/>
      <c r="H7" s="2460"/>
      <c r="I7" s="2461"/>
      <c r="J7" s="137"/>
      <c r="K7" s="137"/>
      <c r="L7" s="137"/>
      <c r="M7" s="137"/>
      <c r="N7" s="137"/>
      <c r="O7" s="137"/>
      <c r="P7" s="137"/>
      <c r="Q7" s="137"/>
    </row>
    <row r="8" spans="1:17" x14ac:dyDescent="0.2">
      <c r="A8" s="138" t="s">
        <v>743</v>
      </c>
      <c r="B8" s="2435"/>
      <c r="C8" s="2436"/>
      <c r="D8" s="2436"/>
      <c r="E8" s="2436"/>
      <c r="F8" s="2436"/>
      <c r="G8" s="2436"/>
      <c r="H8" s="2436"/>
      <c r="I8" s="2437"/>
      <c r="J8" s="137"/>
      <c r="K8" s="137"/>
      <c r="L8" s="137"/>
      <c r="M8" s="137"/>
      <c r="N8" s="137"/>
      <c r="O8" s="137"/>
      <c r="P8" s="137"/>
      <c r="Q8" s="137"/>
    </row>
    <row r="9" spans="1:17" x14ac:dyDescent="0.2">
      <c r="A9" s="136" t="s">
        <v>744</v>
      </c>
      <c r="B9" s="2438"/>
      <c r="C9" s="2439"/>
      <c r="D9" s="2439"/>
      <c r="E9" s="2439"/>
      <c r="F9" s="2439"/>
      <c r="G9" s="2439"/>
      <c r="H9" s="2439"/>
      <c r="I9" s="2440"/>
      <c r="J9" s="137"/>
      <c r="K9" s="137"/>
      <c r="L9" s="137"/>
      <c r="M9" s="137"/>
      <c r="N9" s="137"/>
      <c r="O9" s="137"/>
      <c r="P9" s="137"/>
      <c r="Q9" s="137"/>
    </row>
    <row r="10" spans="1:17" ht="15.75" thickBot="1" x14ac:dyDescent="0.25">
      <c r="A10" s="139" t="s">
        <v>745</v>
      </c>
      <c r="B10" s="2402"/>
      <c r="C10" s="2402"/>
      <c r="D10" s="2402"/>
      <c r="E10" s="2402"/>
      <c r="F10" s="2402"/>
      <c r="G10" s="2402"/>
      <c r="H10" s="2402"/>
      <c r="I10" s="2403"/>
      <c r="J10" s="137"/>
      <c r="K10" s="137"/>
      <c r="L10" s="137"/>
      <c r="M10" s="137"/>
      <c r="N10" s="137"/>
      <c r="O10" s="137"/>
      <c r="P10" s="137"/>
      <c r="Q10" s="137"/>
    </row>
    <row r="11" spans="1:17" ht="7.5" customHeight="1" thickBot="1" x14ac:dyDescent="0.25">
      <c r="A11" s="2441"/>
      <c r="B11" s="2442"/>
      <c r="C11" s="2442"/>
      <c r="D11" s="2442"/>
      <c r="E11" s="2442"/>
      <c r="F11" s="2442"/>
      <c r="G11" s="2442"/>
      <c r="H11" s="2442"/>
      <c r="I11" s="2443"/>
      <c r="J11" s="135"/>
      <c r="K11" s="135"/>
      <c r="L11" s="135"/>
      <c r="M11" s="135"/>
      <c r="N11" s="135"/>
      <c r="O11" s="135"/>
      <c r="P11" s="135"/>
      <c r="Q11" s="135"/>
    </row>
    <row r="12" spans="1:17" ht="15.75" thickBot="1" x14ac:dyDescent="0.25">
      <c r="A12" s="2326" t="s">
        <v>746</v>
      </c>
      <c r="B12" s="2327"/>
      <c r="C12" s="2327"/>
      <c r="D12" s="2327"/>
      <c r="E12" s="2327"/>
      <c r="F12" s="2327"/>
      <c r="G12" s="2327"/>
      <c r="H12" s="2327"/>
      <c r="I12" s="2328"/>
      <c r="J12" s="140"/>
      <c r="K12" s="140"/>
      <c r="L12" s="140"/>
      <c r="M12" s="140"/>
      <c r="N12" s="141"/>
      <c r="O12" s="141"/>
      <c r="P12" s="142"/>
      <c r="Q12" s="142"/>
    </row>
    <row r="13" spans="1:17" ht="21" customHeight="1" x14ac:dyDescent="0.2">
      <c r="A13" s="143" t="s">
        <v>747</v>
      </c>
      <c r="B13" s="2444" t="str">
        <f>'Borrower Details'!B16</f>
        <v>Jute</v>
      </c>
      <c r="C13" s="2445"/>
      <c r="D13" s="2445"/>
      <c r="E13" s="2445"/>
      <c r="F13" s="2445"/>
      <c r="G13" s="2445"/>
      <c r="H13" s="2445"/>
      <c r="I13" s="2446"/>
      <c r="J13" s="135"/>
      <c r="K13" s="135"/>
      <c r="L13" s="135"/>
      <c r="M13" s="135"/>
      <c r="N13" s="135"/>
      <c r="O13" s="135"/>
      <c r="P13" s="135"/>
      <c r="Q13" s="135"/>
    </row>
    <row r="14" spans="1:17" x14ac:dyDescent="0.2">
      <c r="A14" s="143" t="s">
        <v>748</v>
      </c>
      <c r="B14" s="2388"/>
      <c r="C14" s="2388"/>
      <c r="D14" s="2388"/>
      <c r="E14" s="2388"/>
      <c r="F14" s="2388"/>
      <c r="G14" s="2388"/>
      <c r="H14" s="2388"/>
      <c r="I14" s="2389"/>
      <c r="J14" s="135"/>
      <c r="K14" s="135"/>
      <c r="L14" s="135"/>
      <c r="M14" s="135"/>
      <c r="N14" s="135"/>
      <c r="O14" s="135"/>
      <c r="P14" s="135"/>
      <c r="Q14" s="135"/>
    </row>
    <row r="15" spans="1:17" x14ac:dyDescent="0.2">
      <c r="A15" s="143" t="s">
        <v>749</v>
      </c>
      <c r="B15" s="2432"/>
      <c r="C15" s="2433"/>
      <c r="D15" s="2433"/>
      <c r="E15" s="2433"/>
      <c r="F15" s="2433"/>
      <c r="G15" s="2433"/>
      <c r="H15" s="2433"/>
      <c r="I15" s="2434"/>
      <c r="J15" s="135"/>
      <c r="K15" s="135"/>
      <c r="L15" s="135"/>
      <c r="M15" s="135"/>
      <c r="N15" s="135"/>
      <c r="O15" s="135"/>
      <c r="P15" s="135"/>
      <c r="Q15" s="135"/>
    </row>
    <row r="16" spans="1:17" x14ac:dyDescent="0.2">
      <c r="A16" s="144" t="s">
        <v>750</v>
      </c>
      <c r="B16" s="2432"/>
      <c r="C16" s="2433"/>
      <c r="D16" s="2433"/>
      <c r="E16" s="2433"/>
      <c r="F16" s="2433"/>
      <c r="G16" s="2433"/>
      <c r="H16" s="2433"/>
      <c r="I16" s="2434"/>
      <c r="J16" s="135"/>
      <c r="K16" s="135"/>
      <c r="L16" s="135"/>
      <c r="M16" s="135"/>
      <c r="N16" s="135"/>
      <c r="O16" s="135"/>
      <c r="P16" s="135"/>
      <c r="Q16" s="135"/>
    </row>
    <row r="17" spans="1:17" x14ac:dyDescent="0.2">
      <c r="A17" s="143" t="s">
        <v>751</v>
      </c>
      <c r="B17" s="2432"/>
      <c r="C17" s="2433"/>
      <c r="D17" s="2433"/>
      <c r="E17" s="2433"/>
      <c r="F17" s="2433"/>
      <c r="G17" s="2433"/>
      <c r="H17" s="2433"/>
      <c r="I17" s="2434"/>
      <c r="J17" s="135"/>
      <c r="K17" s="135"/>
      <c r="L17" s="135"/>
      <c r="M17" s="135"/>
      <c r="N17" s="135"/>
      <c r="O17" s="135"/>
      <c r="P17" s="135"/>
      <c r="Q17" s="135"/>
    </row>
    <row r="18" spans="1:17" x14ac:dyDescent="0.2">
      <c r="A18" s="143" t="s">
        <v>36</v>
      </c>
      <c r="B18" s="2432"/>
      <c r="C18" s="2433"/>
      <c r="D18" s="2433"/>
      <c r="E18" s="2433"/>
      <c r="F18" s="2433"/>
      <c r="G18" s="2433"/>
      <c r="H18" s="2433"/>
      <c r="I18" s="2434"/>
    </row>
    <row r="19" spans="1:17" x14ac:dyDescent="0.2">
      <c r="A19" s="143" t="s">
        <v>37</v>
      </c>
      <c r="B19" s="2432"/>
      <c r="C19" s="2433"/>
      <c r="D19" s="2433"/>
      <c r="E19" s="2433"/>
      <c r="F19" s="2433"/>
      <c r="G19" s="2433"/>
      <c r="H19" s="2433"/>
      <c r="I19" s="2434"/>
    </row>
    <row r="20" spans="1:17" ht="30" x14ac:dyDescent="0.2">
      <c r="A20" s="145" t="s">
        <v>752</v>
      </c>
      <c r="B20" s="2422" t="str">
        <f>'Borrower Details'!F16</f>
        <v>Manufacturing</v>
      </c>
      <c r="C20" s="2422"/>
      <c r="D20" s="2422"/>
      <c r="E20" s="2422"/>
      <c r="F20" s="2422"/>
      <c r="G20" s="2422"/>
      <c r="H20" s="2422"/>
      <c r="I20" s="2423"/>
      <c r="J20" s="135"/>
      <c r="K20" s="135"/>
      <c r="L20" s="135"/>
      <c r="M20" s="135"/>
      <c r="N20" s="135"/>
      <c r="O20" s="135"/>
      <c r="P20" s="135"/>
      <c r="Q20" s="135"/>
    </row>
    <row r="21" spans="1:17" ht="30" x14ac:dyDescent="0.2">
      <c r="A21" s="146" t="s">
        <v>753</v>
      </c>
      <c r="B21" s="2424" t="str">
        <f>'Borrower Details'!C19</f>
        <v>It is involved in manufacturing of jute bags</v>
      </c>
      <c r="C21" s="2425"/>
      <c r="D21" s="2425"/>
      <c r="E21" s="2425"/>
      <c r="F21" s="2425"/>
      <c r="G21" s="2425"/>
      <c r="H21" s="2425"/>
      <c r="I21" s="2426"/>
      <c r="J21" s="135"/>
      <c r="K21" s="135"/>
      <c r="L21" s="135"/>
      <c r="M21" s="135"/>
      <c r="N21" s="135"/>
      <c r="O21" s="135"/>
      <c r="P21" s="135"/>
      <c r="Q21" s="135"/>
    </row>
    <row r="22" spans="1:17" x14ac:dyDescent="0.2">
      <c r="A22" s="145" t="s">
        <v>754</v>
      </c>
      <c r="B22" s="2424"/>
      <c r="C22" s="2425"/>
      <c r="D22" s="2425"/>
      <c r="E22" s="2425"/>
      <c r="F22" s="2425"/>
      <c r="G22" s="2425"/>
      <c r="H22" s="2425"/>
      <c r="I22" s="2426"/>
    </row>
    <row r="23" spans="1:17" ht="15.75" thickBot="1" x14ac:dyDescent="0.25">
      <c r="A23" s="147" t="s">
        <v>755</v>
      </c>
      <c r="B23" s="2427"/>
      <c r="C23" s="2427"/>
      <c r="D23" s="2427"/>
      <c r="E23" s="2427"/>
      <c r="F23" s="2427"/>
      <c r="G23" s="2427"/>
      <c r="H23" s="2427"/>
      <c r="I23" s="2428"/>
    </row>
    <row r="24" spans="1:17" ht="15.75" thickBot="1" x14ac:dyDescent="0.25">
      <c r="A24" s="2326" t="s">
        <v>756</v>
      </c>
      <c r="B24" s="2327"/>
      <c r="C24" s="2327"/>
      <c r="D24" s="2327"/>
      <c r="E24" s="2327"/>
      <c r="F24" s="2327"/>
      <c r="G24" s="2327"/>
      <c r="H24" s="2327"/>
      <c r="I24" s="2328"/>
    </row>
    <row r="25" spans="1:17" x14ac:dyDescent="0.2">
      <c r="A25" s="148" t="s">
        <v>757</v>
      </c>
      <c r="B25" s="2429">
        <f>'Facility &amp; Collateral Details'!D13</f>
        <v>0</v>
      </c>
      <c r="C25" s="2430"/>
      <c r="D25" s="2430"/>
      <c r="E25" s="2430"/>
      <c r="F25" s="2430"/>
      <c r="G25" s="2430"/>
      <c r="H25" s="2430"/>
      <c r="I25" s="2431"/>
    </row>
    <row r="26" spans="1:17" ht="15.75" thickBot="1" x14ac:dyDescent="0.25">
      <c r="A26" s="149" t="s">
        <v>758</v>
      </c>
      <c r="B26" s="2388"/>
      <c r="C26" s="2388"/>
      <c r="D26" s="2388"/>
      <c r="E26" s="2388"/>
      <c r="F26" s="2388"/>
      <c r="G26" s="2388"/>
      <c r="H26" s="2388"/>
      <c r="I26" s="2389"/>
    </row>
    <row r="27" spans="1:17" ht="15.75" thickBot="1" x14ac:dyDescent="0.25">
      <c r="A27" s="2326" t="s">
        <v>759</v>
      </c>
      <c r="B27" s="2327"/>
      <c r="C27" s="2327"/>
      <c r="D27" s="2327"/>
      <c r="E27" s="2327"/>
      <c r="F27" s="2327"/>
      <c r="G27" s="2327"/>
      <c r="H27" s="2327"/>
      <c r="I27" s="2328"/>
    </row>
    <row r="28" spans="1:17" ht="15.75" customHeight="1" thickBot="1" x14ac:dyDescent="0.25">
      <c r="A28" s="150" t="s">
        <v>760</v>
      </c>
      <c r="B28" s="2414" t="s">
        <v>761</v>
      </c>
      <c r="C28" s="2414"/>
      <c r="D28" s="2414"/>
      <c r="E28" s="2415" t="s">
        <v>685</v>
      </c>
      <c r="F28" s="2416"/>
      <c r="G28" s="2417"/>
      <c r="H28" s="2415" t="s">
        <v>762</v>
      </c>
      <c r="I28" s="2418"/>
    </row>
    <row r="29" spans="1:17" ht="21.75" customHeight="1" thickTop="1" x14ac:dyDescent="0.2">
      <c r="A29" s="151"/>
      <c r="B29" s="2419"/>
      <c r="C29" s="2419"/>
      <c r="D29" s="2419"/>
      <c r="E29" s="2419"/>
      <c r="F29" s="2419"/>
      <c r="G29" s="2419"/>
      <c r="H29" s="2420"/>
      <c r="I29" s="2421"/>
    </row>
    <row r="30" spans="1:17" ht="21.75" customHeight="1" x14ac:dyDescent="0.2">
      <c r="A30" s="145"/>
      <c r="B30" s="2388"/>
      <c r="C30" s="2388"/>
      <c r="D30" s="2388"/>
      <c r="E30" s="2370"/>
      <c r="F30" s="2370"/>
      <c r="G30" s="2370"/>
      <c r="H30" s="2388"/>
      <c r="I30" s="2389"/>
    </row>
    <row r="31" spans="1:17" ht="21.75" customHeight="1" x14ac:dyDescent="0.2">
      <c r="A31" s="146"/>
      <c r="B31" s="2412"/>
      <c r="C31" s="2412"/>
      <c r="D31" s="2412"/>
      <c r="E31" s="2412"/>
      <c r="F31" s="2412"/>
      <c r="G31" s="2412"/>
      <c r="H31" s="2412"/>
      <c r="I31" s="2413"/>
    </row>
    <row r="32" spans="1:17" ht="36.75" customHeight="1" thickBot="1" x14ac:dyDescent="0.25">
      <c r="A32" s="152" t="s">
        <v>763</v>
      </c>
      <c r="B32" s="2404"/>
      <c r="C32" s="2404"/>
      <c r="D32" s="2404"/>
      <c r="E32" s="2404"/>
      <c r="F32" s="2404"/>
      <c r="G32" s="2404"/>
      <c r="H32" s="2404"/>
      <c r="I32" s="2405"/>
    </row>
    <row r="33" spans="1:9" ht="21.75" customHeight="1" thickBot="1" x14ac:dyDescent="0.25">
      <c r="A33" s="2406" t="s">
        <v>764</v>
      </c>
      <c r="B33" s="2407"/>
      <c r="C33" s="2407"/>
      <c r="D33" s="2407"/>
      <c r="E33" s="2407"/>
      <c r="F33" s="2407"/>
      <c r="G33" s="2407"/>
      <c r="H33" s="2408"/>
      <c r="I33" s="2409"/>
    </row>
    <row r="34" spans="1:9" ht="17.25" customHeight="1" x14ac:dyDescent="0.2">
      <c r="A34" s="153" t="s">
        <v>765</v>
      </c>
      <c r="B34" s="2394" t="s">
        <v>766</v>
      </c>
      <c r="C34" s="2395"/>
      <c r="D34" s="2396"/>
      <c r="E34" s="2397" t="s">
        <v>767</v>
      </c>
      <c r="F34" s="2398"/>
      <c r="G34" s="2398"/>
      <c r="H34" s="2410" t="s">
        <v>768</v>
      </c>
      <c r="I34" s="2411"/>
    </row>
    <row r="35" spans="1:9" ht="23.25" customHeight="1" x14ac:dyDescent="0.2">
      <c r="A35" s="154"/>
      <c r="B35" s="2390"/>
      <c r="C35" s="2390"/>
      <c r="D35" s="2390"/>
      <c r="E35" s="2388"/>
      <c r="F35" s="2388"/>
      <c r="G35" s="2388"/>
      <c r="H35" s="2388"/>
      <c r="I35" s="2389"/>
    </row>
    <row r="36" spans="1:9" ht="23.25" customHeight="1" x14ac:dyDescent="0.2">
      <c r="A36" s="154"/>
      <c r="B36" s="2385"/>
      <c r="C36" s="2386"/>
      <c r="D36" s="2387"/>
      <c r="E36" s="2388"/>
      <c r="F36" s="2388"/>
      <c r="G36" s="2388"/>
      <c r="H36" s="2388"/>
      <c r="I36" s="2389"/>
    </row>
    <row r="37" spans="1:9" ht="20.25" customHeight="1" thickBot="1" x14ac:dyDescent="0.25">
      <c r="A37" s="155"/>
      <c r="B37" s="2401"/>
      <c r="C37" s="2401"/>
      <c r="D37" s="2401"/>
      <c r="E37" s="2402"/>
      <c r="F37" s="2402"/>
      <c r="G37" s="2402"/>
      <c r="H37" s="2402"/>
      <c r="I37" s="2403"/>
    </row>
    <row r="38" spans="1:9" ht="20.25" customHeight="1" thickBot="1" x14ac:dyDescent="0.25">
      <c r="A38" s="2391" t="s">
        <v>769</v>
      </c>
      <c r="B38" s="2392"/>
      <c r="C38" s="2392"/>
      <c r="D38" s="2392"/>
      <c r="E38" s="2392"/>
      <c r="F38" s="2392"/>
      <c r="G38" s="2392"/>
      <c r="H38" s="2392"/>
      <c r="I38" s="2393"/>
    </row>
    <row r="39" spans="1:9" ht="19.5" customHeight="1" x14ac:dyDescent="0.2">
      <c r="A39" s="156" t="s">
        <v>770</v>
      </c>
      <c r="B39" s="2394" t="s">
        <v>766</v>
      </c>
      <c r="C39" s="2395"/>
      <c r="D39" s="2396"/>
      <c r="E39" s="2397" t="s">
        <v>767</v>
      </c>
      <c r="F39" s="2398"/>
      <c r="G39" s="2398"/>
      <c r="H39" s="2399" t="s">
        <v>771</v>
      </c>
      <c r="I39" s="2400"/>
    </row>
    <row r="40" spans="1:9" ht="25.5" customHeight="1" x14ac:dyDescent="0.2">
      <c r="A40" s="154"/>
      <c r="B40" s="2390"/>
      <c r="C40" s="2390"/>
      <c r="D40" s="2390"/>
      <c r="E40" s="2388"/>
      <c r="F40" s="2388"/>
      <c r="G40" s="2388"/>
      <c r="H40" s="2388"/>
      <c r="I40" s="2389"/>
    </row>
    <row r="41" spans="1:9" ht="22.5" customHeight="1" x14ac:dyDescent="0.2">
      <c r="A41" s="154"/>
      <c r="B41" s="2385"/>
      <c r="C41" s="2386"/>
      <c r="D41" s="2387"/>
      <c r="E41" s="2388"/>
      <c r="F41" s="2388"/>
      <c r="G41" s="2388"/>
      <c r="H41" s="2388"/>
      <c r="I41" s="2389"/>
    </row>
    <row r="42" spans="1:9" ht="24.75" customHeight="1" x14ac:dyDescent="0.2">
      <c r="A42" s="154"/>
      <c r="B42" s="2390"/>
      <c r="C42" s="2390"/>
      <c r="D42" s="2390"/>
      <c r="E42" s="2388"/>
      <c r="F42" s="2388"/>
      <c r="G42" s="2388"/>
      <c r="H42" s="2388"/>
      <c r="I42" s="2389"/>
    </row>
    <row r="43" spans="1:9" ht="24.75" customHeight="1" thickBot="1" x14ac:dyDescent="0.25">
      <c r="A43" s="157" t="s">
        <v>772</v>
      </c>
      <c r="B43" s="2378"/>
      <c r="C43" s="2379"/>
      <c r="D43" s="2379"/>
      <c r="E43" s="2379"/>
      <c r="F43" s="2379"/>
      <c r="G43" s="2379"/>
      <c r="H43" s="2379"/>
      <c r="I43" s="2380"/>
    </row>
    <row r="44" spans="1:9" ht="24" customHeight="1" x14ac:dyDescent="0.2">
      <c r="A44" s="158" t="s">
        <v>773</v>
      </c>
      <c r="B44" s="2381" t="s">
        <v>774</v>
      </c>
      <c r="C44" s="2381"/>
      <c r="D44" s="2381"/>
      <c r="E44" s="2381"/>
      <c r="F44" s="2381"/>
      <c r="G44" s="2381"/>
      <c r="H44" s="2381"/>
      <c r="I44" s="2382"/>
    </row>
    <row r="45" spans="1:9" ht="22.5" customHeight="1" x14ac:dyDescent="0.2">
      <c r="A45" s="159" t="s">
        <v>775</v>
      </c>
      <c r="B45" s="2373" t="s">
        <v>196</v>
      </c>
      <c r="C45" s="2383"/>
      <c r="D45" s="2384" t="s">
        <v>776</v>
      </c>
      <c r="E45" s="2384"/>
      <c r="F45" s="2384"/>
      <c r="G45" s="2384"/>
      <c r="H45" s="2373"/>
      <c r="I45" s="2374"/>
    </row>
    <row r="46" spans="1:9" ht="19.5" customHeight="1" x14ac:dyDescent="0.2">
      <c r="A46" s="159" t="s">
        <v>777</v>
      </c>
      <c r="B46" s="2368" t="s">
        <v>778</v>
      </c>
      <c r="C46" s="2368"/>
      <c r="D46" s="2368"/>
      <c r="E46" s="2368"/>
      <c r="F46" s="2368"/>
      <c r="G46" s="2368"/>
      <c r="H46" s="2368"/>
      <c r="I46" s="2369"/>
    </row>
    <row r="47" spans="1:9" ht="21" customHeight="1" x14ac:dyDescent="0.2">
      <c r="A47" s="159" t="s">
        <v>779</v>
      </c>
      <c r="B47" s="2368" t="s">
        <v>780</v>
      </c>
      <c r="C47" s="2368"/>
      <c r="D47" s="2368"/>
      <c r="E47" s="2368"/>
      <c r="F47" s="2368"/>
      <c r="G47" s="2368"/>
      <c r="H47" s="2368"/>
      <c r="I47" s="2369"/>
    </row>
    <row r="48" spans="1:9" ht="22.5" customHeight="1" x14ac:dyDescent="0.2">
      <c r="A48" s="159" t="s">
        <v>781</v>
      </c>
      <c r="B48" s="2368" t="s">
        <v>782</v>
      </c>
      <c r="C48" s="2368"/>
      <c r="D48" s="2368"/>
      <c r="E48" s="2368"/>
      <c r="F48" s="2368"/>
      <c r="G48" s="2368"/>
      <c r="H48" s="2368"/>
      <c r="I48" s="2369"/>
    </row>
    <row r="49" spans="1:9" ht="23.25" customHeight="1" x14ac:dyDescent="0.2">
      <c r="A49" s="160" t="s">
        <v>783</v>
      </c>
      <c r="B49" s="2370" t="s">
        <v>196</v>
      </c>
      <c r="C49" s="2370"/>
      <c r="D49" s="2371" t="s">
        <v>784</v>
      </c>
      <c r="E49" s="2371"/>
      <c r="F49" s="2371"/>
      <c r="G49" s="2372"/>
      <c r="H49" s="2373" t="s">
        <v>196</v>
      </c>
      <c r="I49" s="2374"/>
    </row>
    <row r="50" spans="1:9" ht="15.75" thickBot="1" x14ac:dyDescent="0.25">
      <c r="A50" s="2375" t="s">
        <v>785</v>
      </c>
      <c r="B50" s="2376"/>
      <c r="C50" s="2376"/>
      <c r="D50" s="2376"/>
      <c r="E50" s="2376"/>
      <c r="F50" s="2376"/>
      <c r="G50" s="2376"/>
      <c r="H50" s="2376"/>
      <c r="I50" s="2377"/>
    </row>
    <row r="51" spans="1:9" x14ac:dyDescent="0.2">
      <c r="A51" s="2362" t="s">
        <v>786</v>
      </c>
      <c r="B51" s="2363"/>
      <c r="C51" s="2363"/>
      <c r="D51" s="2355"/>
      <c r="E51" s="2355"/>
      <c r="F51" s="2355"/>
      <c r="G51" s="2355"/>
      <c r="H51" s="2355"/>
      <c r="I51" s="2356"/>
    </row>
    <row r="52" spans="1:9" x14ac:dyDescent="0.2">
      <c r="A52" s="2364" t="s">
        <v>787</v>
      </c>
      <c r="B52" s="2365"/>
      <c r="C52" s="2365"/>
      <c r="D52" s="2366"/>
      <c r="E52" s="2366"/>
      <c r="F52" s="2366"/>
      <c r="G52" s="2366"/>
      <c r="H52" s="2366"/>
      <c r="I52" s="2367"/>
    </row>
    <row r="53" spans="1:9" x14ac:dyDescent="0.2">
      <c r="A53" s="2364" t="s">
        <v>788</v>
      </c>
      <c r="B53" s="2365"/>
      <c r="C53" s="2365"/>
      <c r="D53" s="2366"/>
      <c r="E53" s="2366"/>
      <c r="F53" s="2366"/>
      <c r="G53" s="2366"/>
      <c r="H53" s="2366"/>
      <c r="I53" s="2367"/>
    </row>
    <row r="54" spans="1:9" ht="15.75" thickBot="1" x14ac:dyDescent="0.25">
      <c r="A54" s="2346" t="s">
        <v>789</v>
      </c>
      <c r="B54" s="2347"/>
      <c r="C54" s="2347"/>
      <c r="D54" s="2348"/>
      <c r="E54" s="2348"/>
      <c r="F54" s="2348"/>
      <c r="G54" s="2348"/>
      <c r="H54" s="2348"/>
      <c r="I54" s="2349"/>
    </row>
    <row r="55" spans="1:9" ht="15.75" thickBot="1" x14ac:dyDescent="0.25">
      <c r="A55" s="2350" t="s">
        <v>790</v>
      </c>
      <c r="B55" s="2351"/>
      <c r="C55" s="2351"/>
      <c r="D55" s="2351"/>
      <c r="E55" s="2351"/>
      <c r="F55" s="2351"/>
      <c r="G55" s="2351"/>
      <c r="H55" s="2351"/>
      <c r="I55" s="2352"/>
    </row>
    <row r="56" spans="1:9" x14ac:dyDescent="0.2">
      <c r="A56" s="2353" t="s">
        <v>791</v>
      </c>
      <c r="B56" s="2354"/>
      <c r="C56" s="2354"/>
      <c r="D56" s="2355" t="s">
        <v>792</v>
      </c>
      <c r="E56" s="2355"/>
      <c r="F56" s="2355"/>
      <c r="G56" s="2355"/>
      <c r="H56" s="2355"/>
      <c r="I56" s="2356"/>
    </row>
    <row r="57" spans="1:9" x14ac:dyDescent="0.2">
      <c r="A57" s="2357" t="s">
        <v>793</v>
      </c>
      <c r="B57" s="2358"/>
      <c r="C57" s="2359"/>
      <c r="D57" s="2360"/>
      <c r="E57" s="2358"/>
      <c r="F57" s="2358"/>
      <c r="G57" s="2358"/>
      <c r="H57" s="2358"/>
      <c r="I57" s="2361"/>
    </row>
    <row r="58" spans="1:9" x14ac:dyDescent="0.2">
      <c r="A58" s="2323" t="s">
        <v>794</v>
      </c>
      <c r="B58" s="2324"/>
      <c r="C58" s="2324"/>
      <c r="D58" s="2324"/>
      <c r="E58" s="2324"/>
      <c r="F58" s="2324"/>
      <c r="G58" s="2324"/>
      <c r="H58" s="2324"/>
      <c r="I58" s="2325"/>
    </row>
    <row r="59" spans="1:9" x14ac:dyDescent="0.2">
      <c r="A59" s="2323" t="s">
        <v>795</v>
      </c>
      <c r="B59" s="2324"/>
      <c r="C59" s="2324"/>
      <c r="D59" s="2324"/>
      <c r="E59" s="2324"/>
      <c r="F59" s="2324"/>
      <c r="G59" s="2324"/>
      <c r="H59" s="2324"/>
      <c r="I59" s="2325"/>
    </row>
    <row r="60" spans="1:9" x14ac:dyDescent="0.2">
      <c r="A60" s="2323" t="s">
        <v>796</v>
      </c>
      <c r="B60" s="2324"/>
      <c r="C60" s="2324"/>
      <c r="D60" s="2324"/>
      <c r="E60" s="2324"/>
      <c r="F60" s="2324"/>
      <c r="G60" s="2324"/>
      <c r="H60" s="2324"/>
      <c r="I60" s="2325"/>
    </row>
    <row r="61" spans="1:9" ht="15.75" thickBot="1" x14ac:dyDescent="0.25">
      <c r="A61" s="2323" t="s">
        <v>797</v>
      </c>
      <c r="B61" s="2324"/>
      <c r="C61" s="2324"/>
      <c r="D61" s="2324"/>
      <c r="E61" s="2324"/>
      <c r="F61" s="2324"/>
      <c r="G61" s="2324"/>
      <c r="H61" s="2324"/>
      <c r="I61" s="2325"/>
    </row>
    <row r="62" spans="1:9" ht="15.75" thickBot="1" x14ac:dyDescent="0.25">
      <c r="A62" s="2326" t="s">
        <v>798</v>
      </c>
      <c r="B62" s="2327"/>
      <c r="C62" s="2327"/>
      <c r="D62" s="2327"/>
      <c r="E62" s="2327"/>
      <c r="F62" s="2327"/>
      <c r="G62" s="2327"/>
      <c r="H62" s="2327"/>
      <c r="I62" s="2328"/>
    </row>
    <row r="63" spans="1:9" x14ac:dyDescent="0.2">
      <c r="A63" s="2329" t="s">
        <v>799</v>
      </c>
      <c r="B63" s="2330"/>
      <c r="C63" s="2330"/>
      <c r="D63" s="2330"/>
      <c r="E63" s="2330"/>
      <c r="F63" s="2330"/>
      <c r="G63" s="2330"/>
      <c r="H63" s="2330"/>
      <c r="I63" s="2331"/>
    </row>
    <row r="64" spans="1:9" x14ac:dyDescent="0.2">
      <c r="A64" s="2332"/>
      <c r="B64" s="2333"/>
      <c r="C64" s="2333"/>
      <c r="D64" s="2333"/>
      <c r="E64" s="2333"/>
      <c r="F64" s="2333"/>
      <c r="G64" s="2333"/>
      <c r="H64" s="2333"/>
      <c r="I64" s="2334"/>
    </row>
    <row r="65" spans="1:9" x14ac:dyDescent="0.2">
      <c r="A65" s="2335"/>
      <c r="B65" s="2336"/>
      <c r="C65" s="2336"/>
      <c r="D65" s="2336"/>
      <c r="E65" s="2336"/>
      <c r="F65" s="2336"/>
      <c r="G65" s="2336"/>
      <c r="H65" s="2336"/>
      <c r="I65" s="2337"/>
    </row>
    <row r="66" spans="1:9" ht="13.5" customHeight="1" x14ac:dyDescent="0.2">
      <c r="A66" s="2335"/>
      <c r="B66" s="2336"/>
      <c r="C66" s="2336"/>
      <c r="D66" s="2336"/>
      <c r="E66" s="2336"/>
      <c r="F66" s="2336"/>
      <c r="G66" s="2336"/>
      <c r="H66" s="2336"/>
      <c r="I66" s="2337"/>
    </row>
    <row r="67" spans="1:9" x14ac:dyDescent="0.2">
      <c r="A67" s="2338"/>
      <c r="B67" s="2339"/>
      <c r="C67" s="2339"/>
      <c r="D67" s="2339"/>
      <c r="E67" s="2339"/>
      <c r="F67" s="2339"/>
      <c r="G67" s="2339"/>
      <c r="H67" s="2339"/>
      <c r="I67" s="2340"/>
    </row>
    <row r="68" spans="1:9" ht="24" customHeight="1" thickBot="1" x14ac:dyDescent="0.25">
      <c r="A68" s="2341" t="s">
        <v>800</v>
      </c>
      <c r="B68" s="2342"/>
      <c r="C68" s="2343"/>
      <c r="D68" s="2344" t="s">
        <v>801</v>
      </c>
      <c r="E68" s="2342"/>
      <c r="F68" s="2342"/>
      <c r="G68" s="2342"/>
      <c r="H68" s="2342"/>
      <c r="I68" s="2345"/>
    </row>
    <row r="69" spans="1:9" ht="12.75" customHeight="1" x14ac:dyDescent="0.2">
      <c r="A69" s="137"/>
      <c r="B69" s="137"/>
      <c r="C69" s="137"/>
      <c r="D69" s="137"/>
      <c r="E69" s="137"/>
      <c r="F69" s="137"/>
      <c r="G69" s="137"/>
      <c r="H69" s="137"/>
      <c r="I69" s="137"/>
    </row>
    <row r="70" spans="1:9" hidden="1" x14ac:dyDescent="0.2">
      <c r="A70" s="137"/>
      <c r="B70" s="161"/>
      <c r="C70" s="161"/>
      <c r="D70" s="161"/>
      <c r="E70" s="161"/>
      <c r="F70" s="161"/>
      <c r="G70" s="161"/>
      <c r="H70" s="161"/>
      <c r="I70" s="161"/>
    </row>
    <row r="73" spans="1:9" ht="12.75" hidden="1" customHeight="1" x14ac:dyDescent="0.2"/>
    <row r="74" spans="1:9" ht="25.5" hidden="1" customHeight="1" x14ac:dyDescent="0.2"/>
    <row r="84" ht="12.75" hidden="1" customHeight="1" x14ac:dyDescent="0.2"/>
    <row r="101" ht="39.75" hidden="1"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sheetData>
  <mergeCells count="103">
    <mergeCell ref="B8:I8"/>
    <mergeCell ref="B9:I9"/>
    <mergeCell ref="B10:I10"/>
    <mergeCell ref="A11:I11"/>
    <mergeCell ref="A12:I12"/>
    <mergeCell ref="B13:I13"/>
    <mergeCell ref="B2:I2"/>
    <mergeCell ref="A3:I3"/>
    <mergeCell ref="B4:I4"/>
    <mergeCell ref="B5:I5"/>
    <mergeCell ref="A6:A7"/>
    <mergeCell ref="B6:I7"/>
    <mergeCell ref="B20:I20"/>
    <mergeCell ref="B21:I21"/>
    <mergeCell ref="B22:I22"/>
    <mergeCell ref="B23:I23"/>
    <mergeCell ref="A24:I24"/>
    <mergeCell ref="B25:I25"/>
    <mergeCell ref="B14:I14"/>
    <mergeCell ref="B15:I15"/>
    <mergeCell ref="B16:I16"/>
    <mergeCell ref="B17:I17"/>
    <mergeCell ref="B18:I18"/>
    <mergeCell ref="B19:I19"/>
    <mergeCell ref="B30:D30"/>
    <mergeCell ref="E30:G30"/>
    <mergeCell ref="H30:I30"/>
    <mergeCell ref="B31:D31"/>
    <mergeCell ref="E31:G31"/>
    <mergeCell ref="H31:I31"/>
    <mergeCell ref="B26:I26"/>
    <mergeCell ref="A27:I27"/>
    <mergeCell ref="B28:D28"/>
    <mergeCell ref="E28:G28"/>
    <mergeCell ref="H28:I28"/>
    <mergeCell ref="B29:D29"/>
    <mergeCell ref="E29:G29"/>
    <mergeCell ref="H29:I29"/>
    <mergeCell ref="B36:D36"/>
    <mergeCell ref="E36:G36"/>
    <mergeCell ref="H36:I36"/>
    <mergeCell ref="B37:D37"/>
    <mergeCell ref="E37:G37"/>
    <mergeCell ref="H37:I37"/>
    <mergeCell ref="B32:I32"/>
    <mergeCell ref="A33:I33"/>
    <mergeCell ref="B34:D34"/>
    <mergeCell ref="E34:G34"/>
    <mergeCell ref="H34:I34"/>
    <mergeCell ref="B35:D35"/>
    <mergeCell ref="E35:G35"/>
    <mergeCell ref="H35:I35"/>
    <mergeCell ref="B41:D41"/>
    <mergeCell ref="E41:G41"/>
    <mergeCell ref="H41:I41"/>
    <mergeCell ref="B42:D42"/>
    <mergeCell ref="E42:G42"/>
    <mergeCell ref="H42:I42"/>
    <mergeCell ref="A38:I38"/>
    <mergeCell ref="B39:D39"/>
    <mergeCell ref="E39:G39"/>
    <mergeCell ref="H39:I39"/>
    <mergeCell ref="B40:D40"/>
    <mergeCell ref="E40:G40"/>
    <mergeCell ref="H40:I40"/>
    <mergeCell ref="B47:I47"/>
    <mergeCell ref="B48:I48"/>
    <mergeCell ref="B49:C49"/>
    <mergeCell ref="D49:G49"/>
    <mergeCell ref="H49:I49"/>
    <mergeCell ref="A50:I50"/>
    <mergeCell ref="B43:I43"/>
    <mergeCell ref="B44:I44"/>
    <mergeCell ref="B45:C45"/>
    <mergeCell ref="D45:G45"/>
    <mergeCell ref="H45:I45"/>
    <mergeCell ref="B46:I46"/>
    <mergeCell ref="A54:C54"/>
    <mergeCell ref="D54:I54"/>
    <mergeCell ref="A55:I55"/>
    <mergeCell ref="A56:C56"/>
    <mergeCell ref="D56:I56"/>
    <mergeCell ref="A57:C57"/>
    <mergeCell ref="D57:I57"/>
    <mergeCell ref="A51:C51"/>
    <mergeCell ref="D51:I51"/>
    <mergeCell ref="A52:C52"/>
    <mergeCell ref="D52:I52"/>
    <mergeCell ref="A53:C53"/>
    <mergeCell ref="D53:I53"/>
    <mergeCell ref="A61:C61"/>
    <mergeCell ref="D61:I61"/>
    <mergeCell ref="A62:I62"/>
    <mergeCell ref="A63:I63"/>
    <mergeCell ref="A64:I67"/>
    <mergeCell ref="A68:C68"/>
    <mergeCell ref="D68:I68"/>
    <mergeCell ref="A58:C58"/>
    <mergeCell ref="D58:I58"/>
    <mergeCell ref="A59:C59"/>
    <mergeCell ref="D59:I59"/>
    <mergeCell ref="A60:C60"/>
    <mergeCell ref="D60:I60"/>
  </mergeCells>
  <pageMargins left="0.7" right="0.7" top="0.75" bottom="0.75" header="0.3" footer="0.3"/>
  <pageSetup paperSize="9" orientation="portrait" horizontalDpi="4294967292" verticalDpi="4294967292"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B4:I7 B13:I19 B21:I21 C20:I20" unlockedFormula="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3"/>
  <dimension ref="A1:O183"/>
  <sheetViews>
    <sheetView workbookViewId="0">
      <selection activeCell="A20" sqref="A20:O20"/>
    </sheetView>
  </sheetViews>
  <sheetFormatPr defaultRowHeight="24.95" customHeight="1" x14ac:dyDescent="0.2"/>
  <cols>
    <col min="1" max="1" width="7.42578125" style="86" customWidth="1"/>
    <col min="2" max="2" width="9.140625" style="86"/>
    <col min="3" max="3" width="13.85546875" style="86" customWidth="1"/>
    <col min="4" max="4" width="16.7109375" style="86" customWidth="1"/>
    <col min="5" max="14" width="9.140625" style="87"/>
    <col min="15" max="15" width="8" style="87" customWidth="1"/>
    <col min="16" max="256" width="9.140625" style="81"/>
    <col min="257" max="257" width="7.42578125" style="81" customWidth="1"/>
    <col min="258" max="258" width="9.140625" style="81"/>
    <col min="259" max="259" width="13.85546875" style="81" customWidth="1"/>
    <col min="260" max="260" width="16.7109375" style="81" customWidth="1"/>
    <col min="261" max="270" width="9.140625" style="81"/>
    <col min="271" max="271" width="8" style="81" customWidth="1"/>
    <col min="272" max="512" width="9.140625" style="81"/>
    <col min="513" max="513" width="7.42578125" style="81" customWidth="1"/>
    <col min="514" max="514" width="9.140625" style="81"/>
    <col min="515" max="515" width="13.85546875" style="81" customWidth="1"/>
    <col min="516" max="516" width="16.7109375" style="81" customWidth="1"/>
    <col min="517" max="526" width="9.140625" style="81"/>
    <col min="527" max="527" width="8" style="81" customWidth="1"/>
    <col min="528" max="768" width="9.140625" style="81"/>
    <col min="769" max="769" width="7.42578125" style="81" customWidth="1"/>
    <col min="770" max="770" width="9.140625" style="81"/>
    <col min="771" max="771" width="13.85546875" style="81" customWidth="1"/>
    <col min="772" max="772" width="16.7109375" style="81" customWidth="1"/>
    <col min="773" max="782" width="9.140625" style="81"/>
    <col min="783" max="783" width="8" style="81" customWidth="1"/>
    <col min="784" max="1024" width="9.140625" style="81"/>
    <col min="1025" max="1025" width="7.42578125" style="81" customWidth="1"/>
    <col min="1026" max="1026" width="9.140625" style="81"/>
    <col min="1027" max="1027" width="13.85546875" style="81" customWidth="1"/>
    <col min="1028" max="1028" width="16.7109375" style="81" customWidth="1"/>
    <col min="1029" max="1038" width="9.140625" style="81"/>
    <col min="1039" max="1039" width="8" style="81" customWidth="1"/>
    <col min="1040" max="1280" width="9.140625" style="81"/>
    <col min="1281" max="1281" width="7.42578125" style="81" customWidth="1"/>
    <col min="1282" max="1282" width="9.140625" style="81"/>
    <col min="1283" max="1283" width="13.85546875" style="81" customWidth="1"/>
    <col min="1284" max="1284" width="16.7109375" style="81" customWidth="1"/>
    <col min="1285" max="1294" width="9.140625" style="81"/>
    <col min="1295" max="1295" width="8" style="81" customWidth="1"/>
    <col min="1296" max="1536" width="9.140625" style="81"/>
    <col min="1537" max="1537" width="7.42578125" style="81" customWidth="1"/>
    <col min="1538" max="1538" width="9.140625" style="81"/>
    <col min="1539" max="1539" width="13.85546875" style="81" customWidth="1"/>
    <col min="1540" max="1540" width="16.7109375" style="81" customWidth="1"/>
    <col min="1541" max="1550" width="9.140625" style="81"/>
    <col min="1551" max="1551" width="8" style="81" customWidth="1"/>
    <col min="1552" max="1792" width="9.140625" style="81"/>
    <col min="1793" max="1793" width="7.42578125" style="81" customWidth="1"/>
    <col min="1794" max="1794" width="9.140625" style="81"/>
    <col min="1795" max="1795" width="13.85546875" style="81" customWidth="1"/>
    <col min="1796" max="1796" width="16.7109375" style="81" customWidth="1"/>
    <col min="1797" max="1806" width="9.140625" style="81"/>
    <col min="1807" max="1807" width="8" style="81" customWidth="1"/>
    <col min="1808" max="2048" width="9.140625" style="81"/>
    <col min="2049" max="2049" width="7.42578125" style="81" customWidth="1"/>
    <col min="2050" max="2050" width="9.140625" style="81"/>
    <col min="2051" max="2051" width="13.85546875" style="81" customWidth="1"/>
    <col min="2052" max="2052" width="16.7109375" style="81" customWidth="1"/>
    <col min="2053" max="2062" width="9.140625" style="81"/>
    <col min="2063" max="2063" width="8" style="81" customWidth="1"/>
    <col min="2064" max="2304" width="9.140625" style="81"/>
    <col min="2305" max="2305" width="7.42578125" style="81" customWidth="1"/>
    <col min="2306" max="2306" width="9.140625" style="81"/>
    <col min="2307" max="2307" width="13.85546875" style="81" customWidth="1"/>
    <col min="2308" max="2308" width="16.7109375" style="81" customWidth="1"/>
    <col min="2309" max="2318" width="9.140625" style="81"/>
    <col min="2319" max="2319" width="8" style="81" customWidth="1"/>
    <col min="2320" max="2560" width="9.140625" style="81"/>
    <col min="2561" max="2561" width="7.42578125" style="81" customWidth="1"/>
    <col min="2562" max="2562" width="9.140625" style="81"/>
    <col min="2563" max="2563" width="13.85546875" style="81" customWidth="1"/>
    <col min="2564" max="2564" width="16.7109375" style="81" customWidth="1"/>
    <col min="2565" max="2574" width="9.140625" style="81"/>
    <col min="2575" max="2575" width="8" style="81" customWidth="1"/>
    <col min="2576" max="2816" width="9.140625" style="81"/>
    <col min="2817" max="2817" width="7.42578125" style="81" customWidth="1"/>
    <col min="2818" max="2818" width="9.140625" style="81"/>
    <col min="2819" max="2819" width="13.85546875" style="81" customWidth="1"/>
    <col min="2820" max="2820" width="16.7109375" style="81" customWidth="1"/>
    <col min="2821" max="2830" width="9.140625" style="81"/>
    <col min="2831" max="2831" width="8" style="81" customWidth="1"/>
    <col min="2832" max="3072" width="9.140625" style="81"/>
    <col min="3073" max="3073" width="7.42578125" style="81" customWidth="1"/>
    <col min="3074" max="3074" width="9.140625" style="81"/>
    <col min="3075" max="3075" width="13.85546875" style="81" customWidth="1"/>
    <col min="3076" max="3076" width="16.7109375" style="81" customWidth="1"/>
    <col min="3077" max="3086" width="9.140625" style="81"/>
    <col min="3087" max="3087" width="8" style="81" customWidth="1"/>
    <col min="3088" max="3328" width="9.140625" style="81"/>
    <col min="3329" max="3329" width="7.42578125" style="81" customWidth="1"/>
    <col min="3330" max="3330" width="9.140625" style="81"/>
    <col min="3331" max="3331" width="13.85546875" style="81" customWidth="1"/>
    <col min="3332" max="3332" width="16.7109375" style="81" customWidth="1"/>
    <col min="3333" max="3342" width="9.140625" style="81"/>
    <col min="3343" max="3343" width="8" style="81" customWidth="1"/>
    <col min="3344" max="3584" width="9.140625" style="81"/>
    <col min="3585" max="3585" width="7.42578125" style="81" customWidth="1"/>
    <col min="3586" max="3586" width="9.140625" style="81"/>
    <col min="3587" max="3587" width="13.85546875" style="81" customWidth="1"/>
    <col min="3588" max="3588" width="16.7109375" style="81" customWidth="1"/>
    <col min="3589" max="3598" width="9.140625" style="81"/>
    <col min="3599" max="3599" width="8" style="81" customWidth="1"/>
    <col min="3600" max="3840" width="9.140625" style="81"/>
    <col min="3841" max="3841" width="7.42578125" style="81" customWidth="1"/>
    <col min="3842" max="3842" width="9.140625" style="81"/>
    <col min="3843" max="3843" width="13.85546875" style="81" customWidth="1"/>
    <col min="3844" max="3844" width="16.7109375" style="81" customWidth="1"/>
    <col min="3845" max="3854" width="9.140625" style="81"/>
    <col min="3855" max="3855" width="8" style="81" customWidth="1"/>
    <col min="3856" max="4096" width="9.140625" style="81"/>
    <col min="4097" max="4097" width="7.42578125" style="81" customWidth="1"/>
    <col min="4098" max="4098" width="9.140625" style="81"/>
    <col min="4099" max="4099" width="13.85546875" style="81" customWidth="1"/>
    <col min="4100" max="4100" width="16.7109375" style="81" customWidth="1"/>
    <col min="4101" max="4110" width="9.140625" style="81"/>
    <col min="4111" max="4111" width="8" style="81" customWidth="1"/>
    <col min="4112" max="4352" width="9.140625" style="81"/>
    <col min="4353" max="4353" width="7.42578125" style="81" customWidth="1"/>
    <col min="4354" max="4354" width="9.140625" style="81"/>
    <col min="4355" max="4355" width="13.85546875" style="81" customWidth="1"/>
    <col min="4356" max="4356" width="16.7109375" style="81" customWidth="1"/>
    <col min="4357" max="4366" width="9.140625" style="81"/>
    <col min="4367" max="4367" width="8" style="81" customWidth="1"/>
    <col min="4368" max="4608" width="9.140625" style="81"/>
    <col min="4609" max="4609" width="7.42578125" style="81" customWidth="1"/>
    <col min="4610" max="4610" width="9.140625" style="81"/>
    <col min="4611" max="4611" width="13.85546875" style="81" customWidth="1"/>
    <col min="4612" max="4612" width="16.7109375" style="81" customWidth="1"/>
    <col min="4613" max="4622" width="9.140625" style="81"/>
    <col min="4623" max="4623" width="8" style="81" customWidth="1"/>
    <col min="4624" max="4864" width="9.140625" style="81"/>
    <col min="4865" max="4865" width="7.42578125" style="81" customWidth="1"/>
    <col min="4866" max="4866" width="9.140625" style="81"/>
    <col min="4867" max="4867" width="13.85546875" style="81" customWidth="1"/>
    <col min="4868" max="4868" width="16.7109375" style="81" customWidth="1"/>
    <col min="4869" max="4878" width="9.140625" style="81"/>
    <col min="4879" max="4879" width="8" style="81" customWidth="1"/>
    <col min="4880" max="5120" width="9.140625" style="81"/>
    <col min="5121" max="5121" width="7.42578125" style="81" customWidth="1"/>
    <col min="5122" max="5122" width="9.140625" style="81"/>
    <col min="5123" max="5123" width="13.85546875" style="81" customWidth="1"/>
    <col min="5124" max="5124" width="16.7109375" style="81" customWidth="1"/>
    <col min="5125" max="5134" width="9.140625" style="81"/>
    <col min="5135" max="5135" width="8" style="81" customWidth="1"/>
    <col min="5136" max="5376" width="9.140625" style="81"/>
    <col min="5377" max="5377" width="7.42578125" style="81" customWidth="1"/>
    <col min="5378" max="5378" width="9.140625" style="81"/>
    <col min="5379" max="5379" width="13.85546875" style="81" customWidth="1"/>
    <col min="5380" max="5380" width="16.7109375" style="81" customWidth="1"/>
    <col min="5381" max="5390" width="9.140625" style="81"/>
    <col min="5391" max="5391" width="8" style="81" customWidth="1"/>
    <col min="5392" max="5632" width="9.140625" style="81"/>
    <col min="5633" max="5633" width="7.42578125" style="81" customWidth="1"/>
    <col min="5634" max="5634" width="9.140625" style="81"/>
    <col min="5635" max="5635" width="13.85546875" style="81" customWidth="1"/>
    <col min="5636" max="5636" width="16.7109375" style="81" customWidth="1"/>
    <col min="5637" max="5646" width="9.140625" style="81"/>
    <col min="5647" max="5647" width="8" style="81" customWidth="1"/>
    <col min="5648" max="5888" width="9.140625" style="81"/>
    <col min="5889" max="5889" width="7.42578125" style="81" customWidth="1"/>
    <col min="5890" max="5890" width="9.140625" style="81"/>
    <col min="5891" max="5891" width="13.85546875" style="81" customWidth="1"/>
    <col min="5892" max="5892" width="16.7109375" style="81" customWidth="1"/>
    <col min="5893" max="5902" width="9.140625" style="81"/>
    <col min="5903" max="5903" width="8" style="81" customWidth="1"/>
    <col min="5904" max="6144" width="9.140625" style="81"/>
    <col min="6145" max="6145" width="7.42578125" style="81" customWidth="1"/>
    <col min="6146" max="6146" width="9.140625" style="81"/>
    <col min="6147" max="6147" width="13.85546875" style="81" customWidth="1"/>
    <col min="6148" max="6148" width="16.7109375" style="81" customWidth="1"/>
    <col min="6149" max="6158" width="9.140625" style="81"/>
    <col min="6159" max="6159" width="8" style="81" customWidth="1"/>
    <col min="6160" max="6400" width="9.140625" style="81"/>
    <col min="6401" max="6401" width="7.42578125" style="81" customWidth="1"/>
    <col min="6402" max="6402" width="9.140625" style="81"/>
    <col min="6403" max="6403" width="13.85546875" style="81" customWidth="1"/>
    <col min="6404" max="6404" width="16.7109375" style="81" customWidth="1"/>
    <col min="6405" max="6414" width="9.140625" style="81"/>
    <col min="6415" max="6415" width="8" style="81" customWidth="1"/>
    <col min="6416" max="6656" width="9.140625" style="81"/>
    <col min="6657" max="6657" width="7.42578125" style="81" customWidth="1"/>
    <col min="6658" max="6658" width="9.140625" style="81"/>
    <col min="6659" max="6659" width="13.85546875" style="81" customWidth="1"/>
    <col min="6660" max="6660" width="16.7109375" style="81" customWidth="1"/>
    <col min="6661" max="6670" width="9.140625" style="81"/>
    <col min="6671" max="6671" width="8" style="81" customWidth="1"/>
    <col min="6672" max="6912" width="9.140625" style="81"/>
    <col min="6913" max="6913" width="7.42578125" style="81" customWidth="1"/>
    <col min="6914" max="6914" width="9.140625" style="81"/>
    <col min="6915" max="6915" width="13.85546875" style="81" customWidth="1"/>
    <col min="6916" max="6916" width="16.7109375" style="81" customWidth="1"/>
    <col min="6917" max="6926" width="9.140625" style="81"/>
    <col min="6927" max="6927" width="8" style="81" customWidth="1"/>
    <col min="6928" max="7168" width="9.140625" style="81"/>
    <col min="7169" max="7169" width="7.42578125" style="81" customWidth="1"/>
    <col min="7170" max="7170" width="9.140625" style="81"/>
    <col min="7171" max="7171" width="13.85546875" style="81" customWidth="1"/>
    <col min="7172" max="7172" width="16.7109375" style="81" customWidth="1"/>
    <col min="7173" max="7182" width="9.140625" style="81"/>
    <col min="7183" max="7183" width="8" style="81" customWidth="1"/>
    <col min="7184" max="7424" width="9.140625" style="81"/>
    <col min="7425" max="7425" width="7.42578125" style="81" customWidth="1"/>
    <col min="7426" max="7426" width="9.140625" style="81"/>
    <col min="7427" max="7427" width="13.85546875" style="81" customWidth="1"/>
    <col min="7428" max="7428" width="16.7109375" style="81" customWidth="1"/>
    <col min="7429" max="7438" width="9.140625" style="81"/>
    <col min="7439" max="7439" width="8" style="81" customWidth="1"/>
    <col min="7440" max="7680" width="9.140625" style="81"/>
    <col min="7681" max="7681" width="7.42578125" style="81" customWidth="1"/>
    <col min="7682" max="7682" width="9.140625" style="81"/>
    <col min="7683" max="7683" width="13.85546875" style="81" customWidth="1"/>
    <col min="7684" max="7684" width="16.7109375" style="81" customWidth="1"/>
    <col min="7685" max="7694" width="9.140625" style="81"/>
    <col min="7695" max="7695" width="8" style="81" customWidth="1"/>
    <col min="7696" max="7936" width="9.140625" style="81"/>
    <col min="7937" max="7937" width="7.42578125" style="81" customWidth="1"/>
    <col min="7938" max="7938" width="9.140625" style="81"/>
    <col min="7939" max="7939" width="13.85546875" style="81" customWidth="1"/>
    <col min="7940" max="7940" width="16.7109375" style="81" customWidth="1"/>
    <col min="7941" max="7950" width="9.140625" style="81"/>
    <col min="7951" max="7951" width="8" style="81" customWidth="1"/>
    <col min="7952" max="8192" width="9.140625" style="81"/>
    <col min="8193" max="8193" width="7.42578125" style="81" customWidth="1"/>
    <col min="8194" max="8194" width="9.140625" style="81"/>
    <col min="8195" max="8195" width="13.85546875" style="81" customWidth="1"/>
    <col min="8196" max="8196" width="16.7109375" style="81" customWidth="1"/>
    <col min="8197" max="8206" width="9.140625" style="81"/>
    <col min="8207" max="8207" width="8" style="81" customWidth="1"/>
    <col min="8208" max="8448" width="9.140625" style="81"/>
    <col min="8449" max="8449" width="7.42578125" style="81" customWidth="1"/>
    <col min="8450" max="8450" width="9.140625" style="81"/>
    <col min="8451" max="8451" width="13.85546875" style="81" customWidth="1"/>
    <col min="8452" max="8452" width="16.7109375" style="81" customWidth="1"/>
    <col min="8453" max="8462" width="9.140625" style="81"/>
    <col min="8463" max="8463" width="8" style="81" customWidth="1"/>
    <col min="8464" max="8704" width="9.140625" style="81"/>
    <col min="8705" max="8705" width="7.42578125" style="81" customWidth="1"/>
    <col min="8706" max="8706" width="9.140625" style="81"/>
    <col min="8707" max="8707" width="13.85546875" style="81" customWidth="1"/>
    <col min="8708" max="8708" width="16.7109375" style="81" customWidth="1"/>
    <col min="8709" max="8718" width="9.140625" style="81"/>
    <col min="8719" max="8719" width="8" style="81" customWidth="1"/>
    <col min="8720" max="8960" width="9.140625" style="81"/>
    <col min="8961" max="8961" width="7.42578125" style="81" customWidth="1"/>
    <col min="8962" max="8962" width="9.140625" style="81"/>
    <col min="8963" max="8963" width="13.85546875" style="81" customWidth="1"/>
    <col min="8964" max="8964" width="16.7109375" style="81" customWidth="1"/>
    <col min="8965" max="8974" width="9.140625" style="81"/>
    <col min="8975" max="8975" width="8" style="81" customWidth="1"/>
    <col min="8976" max="9216" width="9.140625" style="81"/>
    <col min="9217" max="9217" width="7.42578125" style="81" customWidth="1"/>
    <col min="9218" max="9218" width="9.140625" style="81"/>
    <col min="9219" max="9219" width="13.85546875" style="81" customWidth="1"/>
    <col min="9220" max="9220" width="16.7109375" style="81" customWidth="1"/>
    <col min="9221" max="9230" width="9.140625" style="81"/>
    <col min="9231" max="9231" width="8" style="81" customWidth="1"/>
    <col min="9232" max="9472" width="9.140625" style="81"/>
    <col min="9473" max="9473" width="7.42578125" style="81" customWidth="1"/>
    <col min="9474" max="9474" width="9.140625" style="81"/>
    <col min="9475" max="9475" width="13.85546875" style="81" customWidth="1"/>
    <col min="9476" max="9476" width="16.7109375" style="81" customWidth="1"/>
    <col min="9477" max="9486" width="9.140625" style="81"/>
    <col min="9487" max="9487" width="8" style="81" customWidth="1"/>
    <col min="9488" max="9728" width="9.140625" style="81"/>
    <col min="9729" max="9729" width="7.42578125" style="81" customWidth="1"/>
    <col min="9730" max="9730" width="9.140625" style="81"/>
    <col min="9731" max="9731" width="13.85546875" style="81" customWidth="1"/>
    <col min="9732" max="9732" width="16.7109375" style="81" customWidth="1"/>
    <col min="9733" max="9742" width="9.140625" style="81"/>
    <col min="9743" max="9743" width="8" style="81" customWidth="1"/>
    <col min="9744" max="9984" width="9.140625" style="81"/>
    <col min="9985" max="9985" width="7.42578125" style="81" customWidth="1"/>
    <col min="9986" max="9986" width="9.140625" style="81"/>
    <col min="9987" max="9987" width="13.85546875" style="81" customWidth="1"/>
    <col min="9988" max="9988" width="16.7109375" style="81" customWidth="1"/>
    <col min="9989" max="9998" width="9.140625" style="81"/>
    <col min="9999" max="9999" width="8" style="81" customWidth="1"/>
    <col min="10000" max="10240" width="9.140625" style="81"/>
    <col min="10241" max="10241" width="7.42578125" style="81" customWidth="1"/>
    <col min="10242" max="10242" width="9.140625" style="81"/>
    <col min="10243" max="10243" width="13.85546875" style="81" customWidth="1"/>
    <col min="10244" max="10244" width="16.7109375" style="81" customWidth="1"/>
    <col min="10245" max="10254" width="9.140625" style="81"/>
    <col min="10255" max="10255" width="8" style="81" customWidth="1"/>
    <col min="10256" max="10496" width="9.140625" style="81"/>
    <col min="10497" max="10497" width="7.42578125" style="81" customWidth="1"/>
    <col min="10498" max="10498" width="9.140625" style="81"/>
    <col min="10499" max="10499" width="13.85546875" style="81" customWidth="1"/>
    <col min="10500" max="10500" width="16.7109375" style="81" customWidth="1"/>
    <col min="10501" max="10510" width="9.140625" style="81"/>
    <col min="10511" max="10511" width="8" style="81" customWidth="1"/>
    <col min="10512" max="10752" width="9.140625" style="81"/>
    <col min="10753" max="10753" width="7.42578125" style="81" customWidth="1"/>
    <col min="10754" max="10754" width="9.140625" style="81"/>
    <col min="10755" max="10755" width="13.85546875" style="81" customWidth="1"/>
    <col min="10756" max="10756" width="16.7109375" style="81" customWidth="1"/>
    <col min="10757" max="10766" width="9.140625" style="81"/>
    <col min="10767" max="10767" width="8" style="81" customWidth="1"/>
    <col min="10768" max="11008" width="9.140625" style="81"/>
    <col min="11009" max="11009" width="7.42578125" style="81" customWidth="1"/>
    <col min="11010" max="11010" width="9.140625" style="81"/>
    <col min="11011" max="11011" width="13.85546875" style="81" customWidth="1"/>
    <col min="11012" max="11012" width="16.7109375" style="81" customWidth="1"/>
    <col min="11013" max="11022" width="9.140625" style="81"/>
    <col min="11023" max="11023" width="8" style="81" customWidth="1"/>
    <col min="11024" max="11264" width="9.140625" style="81"/>
    <col min="11265" max="11265" width="7.42578125" style="81" customWidth="1"/>
    <col min="11266" max="11266" width="9.140625" style="81"/>
    <col min="11267" max="11267" width="13.85546875" style="81" customWidth="1"/>
    <col min="11268" max="11268" width="16.7109375" style="81" customWidth="1"/>
    <col min="11269" max="11278" width="9.140625" style="81"/>
    <col min="11279" max="11279" width="8" style="81" customWidth="1"/>
    <col min="11280" max="11520" width="9.140625" style="81"/>
    <col min="11521" max="11521" width="7.42578125" style="81" customWidth="1"/>
    <col min="11522" max="11522" width="9.140625" style="81"/>
    <col min="11523" max="11523" width="13.85546875" style="81" customWidth="1"/>
    <col min="11524" max="11524" width="16.7109375" style="81" customWidth="1"/>
    <col min="11525" max="11534" width="9.140625" style="81"/>
    <col min="11535" max="11535" width="8" style="81" customWidth="1"/>
    <col min="11536" max="11776" width="9.140625" style="81"/>
    <col min="11777" max="11777" width="7.42578125" style="81" customWidth="1"/>
    <col min="11778" max="11778" width="9.140625" style="81"/>
    <col min="11779" max="11779" width="13.85546875" style="81" customWidth="1"/>
    <col min="11780" max="11780" width="16.7109375" style="81" customWidth="1"/>
    <col min="11781" max="11790" width="9.140625" style="81"/>
    <col min="11791" max="11791" width="8" style="81" customWidth="1"/>
    <col min="11792" max="12032" width="9.140625" style="81"/>
    <col min="12033" max="12033" width="7.42578125" style="81" customWidth="1"/>
    <col min="12034" max="12034" width="9.140625" style="81"/>
    <col min="12035" max="12035" width="13.85546875" style="81" customWidth="1"/>
    <col min="12036" max="12036" width="16.7109375" style="81" customWidth="1"/>
    <col min="12037" max="12046" width="9.140625" style="81"/>
    <col min="12047" max="12047" width="8" style="81" customWidth="1"/>
    <col min="12048" max="12288" width="9.140625" style="81"/>
    <col min="12289" max="12289" width="7.42578125" style="81" customWidth="1"/>
    <col min="12290" max="12290" width="9.140625" style="81"/>
    <col min="12291" max="12291" width="13.85546875" style="81" customWidth="1"/>
    <col min="12292" max="12292" width="16.7109375" style="81" customWidth="1"/>
    <col min="12293" max="12302" width="9.140625" style="81"/>
    <col min="12303" max="12303" width="8" style="81" customWidth="1"/>
    <col min="12304" max="12544" width="9.140625" style="81"/>
    <col min="12545" max="12545" width="7.42578125" style="81" customWidth="1"/>
    <col min="12546" max="12546" width="9.140625" style="81"/>
    <col min="12547" max="12547" width="13.85546875" style="81" customWidth="1"/>
    <col min="12548" max="12548" width="16.7109375" style="81" customWidth="1"/>
    <col min="12549" max="12558" width="9.140625" style="81"/>
    <col min="12559" max="12559" width="8" style="81" customWidth="1"/>
    <col min="12560" max="12800" width="9.140625" style="81"/>
    <col min="12801" max="12801" width="7.42578125" style="81" customWidth="1"/>
    <col min="12802" max="12802" width="9.140625" style="81"/>
    <col min="12803" max="12803" width="13.85546875" style="81" customWidth="1"/>
    <col min="12804" max="12804" width="16.7109375" style="81" customWidth="1"/>
    <col min="12805" max="12814" width="9.140625" style="81"/>
    <col min="12815" max="12815" width="8" style="81" customWidth="1"/>
    <col min="12816" max="13056" width="9.140625" style="81"/>
    <col min="13057" max="13057" width="7.42578125" style="81" customWidth="1"/>
    <col min="13058" max="13058" width="9.140625" style="81"/>
    <col min="13059" max="13059" width="13.85546875" style="81" customWidth="1"/>
    <col min="13060" max="13060" width="16.7109375" style="81" customWidth="1"/>
    <col min="13061" max="13070" width="9.140625" style="81"/>
    <col min="13071" max="13071" width="8" style="81" customWidth="1"/>
    <col min="13072" max="13312" width="9.140625" style="81"/>
    <col min="13313" max="13313" width="7.42578125" style="81" customWidth="1"/>
    <col min="13314" max="13314" width="9.140625" style="81"/>
    <col min="13315" max="13315" width="13.85546875" style="81" customWidth="1"/>
    <col min="13316" max="13316" width="16.7109375" style="81" customWidth="1"/>
    <col min="13317" max="13326" width="9.140625" style="81"/>
    <col min="13327" max="13327" width="8" style="81" customWidth="1"/>
    <col min="13328" max="13568" width="9.140625" style="81"/>
    <col min="13569" max="13569" width="7.42578125" style="81" customWidth="1"/>
    <col min="13570" max="13570" width="9.140625" style="81"/>
    <col min="13571" max="13571" width="13.85546875" style="81" customWidth="1"/>
    <col min="13572" max="13572" width="16.7109375" style="81" customWidth="1"/>
    <col min="13573" max="13582" width="9.140625" style="81"/>
    <col min="13583" max="13583" width="8" style="81" customWidth="1"/>
    <col min="13584" max="13824" width="9.140625" style="81"/>
    <col min="13825" max="13825" width="7.42578125" style="81" customWidth="1"/>
    <col min="13826" max="13826" width="9.140625" style="81"/>
    <col min="13827" max="13827" width="13.85546875" style="81" customWidth="1"/>
    <col min="13828" max="13828" width="16.7109375" style="81" customWidth="1"/>
    <col min="13829" max="13838" width="9.140625" style="81"/>
    <col min="13839" max="13839" width="8" style="81" customWidth="1"/>
    <col min="13840" max="14080" width="9.140625" style="81"/>
    <col min="14081" max="14081" width="7.42578125" style="81" customWidth="1"/>
    <col min="14082" max="14082" width="9.140625" style="81"/>
    <col min="14083" max="14083" width="13.85546875" style="81" customWidth="1"/>
    <col min="14084" max="14084" width="16.7109375" style="81" customWidth="1"/>
    <col min="14085" max="14094" width="9.140625" style="81"/>
    <col min="14095" max="14095" width="8" style="81" customWidth="1"/>
    <col min="14096" max="14336" width="9.140625" style="81"/>
    <col min="14337" max="14337" width="7.42578125" style="81" customWidth="1"/>
    <col min="14338" max="14338" width="9.140625" style="81"/>
    <col min="14339" max="14339" width="13.85546875" style="81" customWidth="1"/>
    <col min="14340" max="14340" width="16.7109375" style="81" customWidth="1"/>
    <col min="14341" max="14350" width="9.140625" style="81"/>
    <col min="14351" max="14351" width="8" style="81" customWidth="1"/>
    <col min="14352" max="14592" width="9.140625" style="81"/>
    <col min="14593" max="14593" width="7.42578125" style="81" customWidth="1"/>
    <col min="14594" max="14594" width="9.140625" style="81"/>
    <col min="14595" max="14595" width="13.85546875" style="81" customWidth="1"/>
    <col min="14596" max="14596" width="16.7109375" style="81" customWidth="1"/>
    <col min="14597" max="14606" width="9.140625" style="81"/>
    <col min="14607" max="14607" width="8" style="81" customWidth="1"/>
    <col min="14608" max="14848" width="9.140625" style="81"/>
    <col min="14849" max="14849" width="7.42578125" style="81" customWidth="1"/>
    <col min="14850" max="14850" width="9.140625" style="81"/>
    <col min="14851" max="14851" width="13.85546875" style="81" customWidth="1"/>
    <col min="14852" max="14852" width="16.7109375" style="81" customWidth="1"/>
    <col min="14853" max="14862" width="9.140625" style="81"/>
    <col min="14863" max="14863" width="8" style="81" customWidth="1"/>
    <col min="14864" max="15104" width="9.140625" style="81"/>
    <col min="15105" max="15105" width="7.42578125" style="81" customWidth="1"/>
    <col min="15106" max="15106" width="9.140625" style="81"/>
    <col min="15107" max="15107" width="13.85546875" style="81" customWidth="1"/>
    <col min="15108" max="15108" width="16.7109375" style="81" customWidth="1"/>
    <col min="15109" max="15118" width="9.140625" style="81"/>
    <col min="15119" max="15119" width="8" style="81" customWidth="1"/>
    <col min="15120" max="15360" width="9.140625" style="81"/>
    <col min="15361" max="15361" width="7.42578125" style="81" customWidth="1"/>
    <col min="15362" max="15362" width="9.140625" style="81"/>
    <col min="15363" max="15363" width="13.85546875" style="81" customWidth="1"/>
    <col min="15364" max="15364" width="16.7109375" style="81" customWidth="1"/>
    <col min="15365" max="15374" width="9.140625" style="81"/>
    <col min="15375" max="15375" width="8" style="81" customWidth="1"/>
    <col min="15376" max="15616" width="9.140625" style="81"/>
    <col min="15617" max="15617" width="7.42578125" style="81" customWidth="1"/>
    <col min="15618" max="15618" width="9.140625" style="81"/>
    <col min="15619" max="15619" width="13.85546875" style="81" customWidth="1"/>
    <col min="15620" max="15620" width="16.7109375" style="81" customWidth="1"/>
    <col min="15621" max="15630" width="9.140625" style="81"/>
    <col min="15631" max="15631" width="8" style="81" customWidth="1"/>
    <col min="15632" max="15872" width="9.140625" style="81"/>
    <col min="15873" max="15873" width="7.42578125" style="81" customWidth="1"/>
    <col min="15874" max="15874" width="9.140625" style="81"/>
    <col min="15875" max="15875" width="13.85546875" style="81" customWidth="1"/>
    <col min="15876" max="15876" width="16.7109375" style="81" customWidth="1"/>
    <col min="15877" max="15886" width="9.140625" style="81"/>
    <col min="15887" max="15887" width="8" style="81" customWidth="1"/>
    <col min="15888" max="16128" width="9.140625" style="81"/>
    <col min="16129" max="16129" width="7.42578125" style="81" customWidth="1"/>
    <col min="16130" max="16130" width="9.140625" style="81"/>
    <col min="16131" max="16131" width="13.85546875" style="81" customWidth="1"/>
    <col min="16132" max="16132" width="16.7109375" style="81" customWidth="1"/>
    <col min="16133" max="16142" width="9.140625" style="81"/>
    <col min="16143" max="16143" width="8" style="81" customWidth="1"/>
    <col min="16144" max="16384" width="9.140625" style="81"/>
  </cols>
  <sheetData>
    <row r="1" spans="1:15" ht="24.95" customHeight="1" x14ac:dyDescent="0.2">
      <c r="A1" s="2598" t="s">
        <v>615</v>
      </c>
      <c r="B1" s="2599"/>
      <c r="C1" s="2599"/>
      <c r="D1" s="2599"/>
      <c r="E1" s="2599"/>
      <c r="F1" s="2599"/>
      <c r="G1" s="2599"/>
      <c r="H1" s="2599"/>
      <c r="I1" s="2599"/>
      <c r="J1" s="2599"/>
      <c r="K1" s="2599"/>
      <c r="L1" s="2599"/>
      <c r="M1" s="2599"/>
      <c r="N1" s="2599"/>
      <c r="O1" s="2600"/>
    </row>
    <row r="2" spans="1:15" ht="24.95" customHeight="1" thickBot="1" x14ac:dyDescent="0.25">
      <c r="A2" s="2601" t="s">
        <v>616</v>
      </c>
      <c r="B2" s="2601"/>
      <c r="C2" s="2601"/>
      <c r="D2" s="2601"/>
      <c r="E2" s="2601"/>
      <c r="F2" s="2601"/>
      <c r="G2" s="2601"/>
      <c r="H2" s="2601"/>
      <c r="I2" s="2601"/>
      <c r="J2" s="2601"/>
      <c r="K2" s="2601"/>
      <c r="L2" s="2601"/>
      <c r="M2" s="2601"/>
      <c r="N2" s="2601"/>
      <c r="O2" s="2601"/>
    </row>
    <row r="3" spans="1:15" ht="24.95" customHeight="1" thickBot="1" x14ac:dyDescent="0.25">
      <c r="A3" s="2465" t="s">
        <v>617</v>
      </c>
      <c r="B3" s="2466"/>
      <c r="C3" s="2466"/>
      <c r="D3" s="2466"/>
      <c r="E3" s="2466"/>
      <c r="F3" s="2466"/>
      <c r="G3" s="2466"/>
      <c r="H3" s="2466"/>
      <c r="I3" s="2466"/>
      <c r="J3" s="2466"/>
      <c r="K3" s="2466"/>
      <c r="L3" s="2466"/>
      <c r="M3" s="2466"/>
      <c r="N3" s="2466"/>
      <c r="O3" s="2467"/>
    </row>
    <row r="4" spans="1:15" ht="12.75" x14ac:dyDescent="0.2">
      <c r="A4" s="2587" t="s">
        <v>618</v>
      </c>
      <c r="B4" s="2588"/>
      <c r="C4" s="2588"/>
      <c r="D4" s="2589"/>
      <c r="E4" s="2492"/>
      <c r="F4" s="2493"/>
      <c r="G4" s="2493"/>
      <c r="H4" s="2493"/>
      <c r="I4" s="2493"/>
      <c r="J4" s="2493"/>
      <c r="K4" s="2493"/>
      <c r="L4" s="2493"/>
      <c r="M4" s="2493"/>
      <c r="N4" s="2493"/>
      <c r="O4" s="2494"/>
    </row>
    <row r="5" spans="1:15" ht="12.75" x14ac:dyDescent="0.2">
      <c r="A5" s="2468" t="s">
        <v>619</v>
      </c>
      <c r="B5" s="2469"/>
      <c r="C5" s="2469"/>
      <c r="D5" s="2470"/>
      <c r="E5" s="2495"/>
      <c r="F5" s="2496"/>
      <c r="G5" s="2496"/>
      <c r="H5" s="2496"/>
      <c r="I5" s="2496"/>
      <c r="J5" s="2496"/>
      <c r="K5" s="2496"/>
      <c r="L5" s="2496"/>
      <c r="M5" s="2496"/>
      <c r="N5" s="2496"/>
      <c r="O5" s="2497"/>
    </row>
    <row r="6" spans="1:15" ht="12.75" x14ac:dyDescent="0.2">
      <c r="A6" s="2468" t="s">
        <v>620</v>
      </c>
      <c r="B6" s="2469"/>
      <c r="C6" s="2469"/>
      <c r="D6" s="2470"/>
      <c r="E6" s="2495"/>
      <c r="F6" s="2496"/>
      <c r="G6" s="2496"/>
      <c r="H6" s="2496"/>
      <c r="I6" s="2496"/>
      <c r="J6" s="2496"/>
      <c r="K6" s="2496"/>
      <c r="L6" s="2496"/>
      <c r="M6" s="2496"/>
      <c r="N6" s="2496"/>
      <c r="O6" s="2497"/>
    </row>
    <row r="7" spans="1:15" ht="12.75" x14ac:dyDescent="0.2">
      <c r="A7" s="2468" t="s">
        <v>621</v>
      </c>
      <c r="B7" s="2469"/>
      <c r="C7" s="2469"/>
      <c r="D7" s="2470"/>
      <c r="E7" s="2495"/>
      <c r="F7" s="2496"/>
      <c r="G7" s="2496"/>
      <c r="H7" s="2496"/>
      <c r="I7" s="2496"/>
      <c r="J7" s="2496"/>
      <c r="K7" s="2496"/>
      <c r="L7" s="2496"/>
      <c r="M7" s="2496"/>
      <c r="N7" s="2496"/>
      <c r="O7" s="2497"/>
    </row>
    <row r="8" spans="1:15" ht="12.75" x14ac:dyDescent="0.2">
      <c r="A8" s="2468" t="s">
        <v>622</v>
      </c>
      <c r="B8" s="2469"/>
      <c r="C8" s="2469"/>
      <c r="D8" s="2470"/>
      <c r="E8" s="2495"/>
      <c r="F8" s="2496"/>
      <c r="G8" s="2496"/>
      <c r="H8" s="2496"/>
      <c r="I8" s="2496"/>
      <c r="J8" s="2496"/>
      <c r="K8" s="2496"/>
      <c r="L8" s="2496"/>
      <c r="M8" s="2496"/>
      <c r="N8" s="2496"/>
      <c r="O8" s="2497"/>
    </row>
    <row r="9" spans="1:15" ht="13.5" thickBot="1" x14ac:dyDescent="0.25">
      <c r="A9" s="2501"/>
      <c r="B9" s="2502"/>
      <c r="C9" s="2502"/>
      <c r="D9" s="2503"/>
      <c r="E9" s="2585"/>
      <c r="F9" s="2583"/>
      <c r="G9" s="2583"/>
      <c r="H9" s="2583"/>
      <c r="I9" s="2583"/>
      <c r="J9" s="2583"/>
      <c r="K9" s="2583"/>
      <c r="L9" s="2583"/>
      <c r="M9" s="2583"/>
      <c r="N9" s="2583"/>
      <c r="O9" s="2584"/>
    </row>
    <row r="10" spans="1:15" ht="13.5" thickBot="1" x14ac:dyDescent="0.25">
      <c r="A10" s="2465" t="s">
        <v>623</v>
      </c>
      <c r="B10" s="2466"/>
      <c r="C10" s="2466"/>
      <c r="D10" s="2466"/>
      <c r="E10" s="2466"/>
      <c r="F10" s="2466"/>
      <c r="G10" s="2466"/>
      <c r="H10" s="2466"/>
      <c r="I10" s="2466"/>
      <c r="J10" s="2466"/>
      <c r="K10" s="2466"/>
      <c r="L10" s="2466"/>
      <c r="M10" s="2466"/>
      <c r="N10" s="2466"/>
      <c r="O10" s="2467"/>
    </row>
    <row r="11" spans="1:15" ht="13.5" thickBot="1" x14ac:dyDescent="0.25">
      <c r="A11" s="2595"/>
      <c r="B11" s="2596"/>
      <c r="C11" s="2596"/>
      <c r="D11" s="2597"/>
      <c r="E11" s="2527" t="s">
        <v>624</v>
      </c>
      <c r="F11" s="2527"/>
      <c r="G11" s="2526"/>
      <c r="H11" s="2525" t="s">
        <v>625</v>
      </c>
      <c r="I11" s="2527"/>
      <c r="J11" s="2526"/>
      <c r="K11" s="2525" t="s">
        <v>626</v>
      </c>
      <c r="L11" s="2527"/>
      <c r="M11" s="2526"/>
      <c r="N11" s="2525" t="s">
        <v>627</v>
      </c>
      <c r="O11" s="2528"/>
    </row>
    <row r="12" spans="1:15" ht="12.75" x14ac:dyDescent="0.2">
      <c r="A12" s="2573" t="s">
        <v>302</v>
      </c>
      <c r="B12" s="2574"/>
      <c r="C12" s="2574"/>
      <c r="D12" s="2575"/>
      <c r="E12" s="2492"/>
      <c r="F12" s="2493"/>
      <c r="G12" s="2593"/>
      <c r="H12" s="2594"/>
      <c r="I12" s="2493"/>
      <c r="J12" s="2593"/>
      <c r="K12" s="2594"/>
      <c r="L12" s="2493"/>
      <c r="M12" s="2593"/>
      <c r="N12" s="2594"/>
      <c r="O12" s="2494"/>
    </row>
    <row r="13" spans="1:15" ht="12.75" x14ac:dyDescent="0.2">
      <c r="A13" s="2579" t="s">
        <v>628</v>
      </c>
      <c r="B13" s="2580"/>
      <c r="C13" s="2580"/>
      <c r="D13" s="2581"/>
      <c r="E13" s="2495"/>
      <c r="F13" s="2496"/>
      <c r="G13" s="2591"/>
      <c r="H13" s="2592"/>
      <c r="I13" s="2496"/>
      <c r="J13" s="2591"/>
      <c r="K13" s="2592"/>
      <c r="L13" s="2496"/>
      <c r="M13" s="2591"/>
      <c r="N13" s="2592"/>
      <c r="O13" s="2497"/>
    </row>
    <row r="14" spans="1:15" ht="12.75" x14ac:dyDescent="0.2">
      <c r="A14" s="2468" t="s">
        <v>629</v>
      </c>
      <c r="B14" s="2469"/>
      <c r="C14" s="2469"/>
      <c r="D14" s="2470"/>
      <c r="E14" s="2495"/>
      <c r="F14" s="2496"/>
      <c r="G14" s="2591"/>
      <c r="H14" s="2592"/>
      <c r="I14" s="2496"/>
      <c r="J14" s="2591"/>
      <c r="K14" s="2592"/>
      <c r="L14" s="2496"/>
      <c r="M14" s="2591"/>
      <c r="N14" s="2592"/>
      <c r="O14" s="2497"/>
    </row>
    <row r="15" spans="1:15" ht="12.75" x14ac:dyDescent="0.2">
      <c r="A15" s="2579" t="s">
        <v>630</v>
      </c>
      <c r="B15" s="2580"/>
      <c r="C15" s="2580"/>
      <c r="D15" s="2581"/>
      <c r="E15" s="2495"/>
      <c r="F15" s="2496"/>
      <c r="G15" s="2591"/>
      <c r="H15" s="2592"/>
      <c r="I15" s="2496"/>
      <c r="J15" s="2591"/>
      <c r="K15" s="2592"/>
      <c r="L15" s="2496"/>
      <c r="M15" s="2591"/>
      <c r="N15" s="2592"/>
      <c r="O15" s="2497"/>
    </row>
    <row r="16" spans="1:15" ht="12.75" x14ac:dyDescent="0.2">
      <c r="A16" s="2468" t="s">
        <v>631</v>
      </c>
      <c r="B16" s="2469"/>
      <c r="C16" s="2469"/>
      <c r="D16" s="2470"/>
      <c r="E16" s="2495"/>
      <c r="F16" s="2496"/>
      <c r="G16" s="2591"/>
      <c r="H16" s="2495"/>
      <c r="I16" s="2496"/>
      <c r="J16" s="2591"/>
      <c r="K16" s="2592"/>
      <c r="L16" s="2496"/>
      <c r="M16" s="2591"/>
      <c r="N16" s="2592"/>
      <c r="O16" s="2497"/>
    </row>
    <row r="17" spans="1:15" ht="12.75" x14ac:dyDescent="0.2">
      <c r="A17" s="2468" t="s">
        <v>632</v>
      </c>
      <c r="B17" s="2469"/>
      <c r="C17" s="2469"/>
      <c r="D17" s="2470"/>
      <c r="E17" s="2495"/>
      <c r="F17" s="2496"/>
      <c r="G17" s="2591"/>
      <c r="H17" s="2592"/>
      <c r="I17" s="2496"/>
      <c r="J17" s="2591"/>
      <c r="K17" s="2592"/>
      <c r="L17" s="2496"/>
      <c r="M17" s="2591"/>
      <c r="N17" s="2592"/>
      <c r="O17" s="2497"/>
    </row>
    <row r="18" spans="1:15" ht="12.75" x14ac:dyDescent="0.2">
      <c r="A18" s="2468" t="s">
        <v>633</v>
      </c>
      <c r="B18" s="2469"/>
      <c r="C18" s="2469"/>
      <c r="D18" s="2470"/>
      <c r="E18" s="2462"/>
      <c r="F18" s="2463"/>
      <c r="G18" s="2463"/>
      <c r="H18" s="2463"/>
      <c r="I18" s="2463"/>
      <c r="J18" s="2509"/>
      <c r="K18" s="82"/>
      <c r="L18" s="83"/>
      <c r="M18" s="84"/>
      <c r="N18" s="82"/>
      <c r="O18" s="85"/>
    </row>
    <row r="19" spans="1:15" ht="13.5" thickBot="1" x14ac:dyDescent="0.25">
      <c r="A19" s="2535" t="s">
        <v>634</v>
      </c>
      <c r="B19" s="2536"/>
      <c r="C19" s="2536"/>
      <c r="D19" s="2537"/>
      <c r="E19" s="2585"/>
      <c r="F19" s="2583"/>
      <c r="G19" s="2590"/>
      <c r="H19" s="2586"/>
      <c r="I19" s="2583"/>
      <c r="J19" s="2590"/>
      <c r="K19" s="2586"/>
      <c r="L19" s="2583"/>
      <c r="M19" s="2590"/>
      <c r="N19" s="2586"/>
      <c r="O19" s="2584"/>
    </row>
    <row r="20" spans="1:15" ht="13.5" thickBot="1" x14ac:dyDescent="0.25">
      <c r="A20" s="2489"/>
      <c r="B20" s="2490"/>
      <c r="C20" s="2490"/>
      <c r="D20" s="2490"/>
      <c r="E20" s="2490"/>
      <c r="F20" s="2490"/>
      <c r="G20" s="2490"/>
      <c r="H20" s="2490"/>
      <c r="I20" s="2490"/>
      <c r="J20" s="2490"/>
      <c r="K20" s="2490"/>
      <c r="L20" s="2490"/>
      <c r="M20" s="2490"/>
      <c r="N20" s="2490"/>
      <c r="O20" s="2491"/>
    </row>
    <row r="21" spans="1:15" ht="13.5" thickBot="1" x14ac:dyDescent="0.25">
      <c r="A21" s="2465" t="s">
        <v>635</v>
      </c>
      <c r="B21" s="2466"/>
      <c r="C21" s="2466"/>
      <c r="D21" s="2466"/>
      <c r="E21" s="2466"/>
      <c r="F21" s="2466"/>
      <c r="G21" s="2466"/>
      <c r="H21" s="2466"/>
      <c r="I21" s="2466"/>
      <c r="J21" s="2466"/>
      <c r="K21" s="2466"/>
      <c r="L21" s="2466"/>
      <c r="M21" s="2466"/>
      <c r="N21" s="2466"/>
      <c r="O21" s="2467"/>
    </row>
    <row r="22" spans="1:15" ht="13.5" thickBot="1" x14ac:dyDescent="0.25">
      <c r="A22" s="2587" t="s">
        <v>636</v>
      </c>
      <c r="B22" s="2588"/>
      <c r="C22" s="2588"/>
      <c r="D22" s="2589"/>
      <c r="E22" s="2492"/>
      <c r="F22" s="2493"/>
      <c r="G22" s="2493"/>
      <c r="H22" s="2493"/>
      <c r="I22" s="2493"/>
      <c r="J22" s="2493"/>
      <c r="K22" s="2493"/>
      <c r="L22" s="2493"/>
      <c r="M22" s="2493"/>
      <c r="N22" s="2493"/>
      <c r="O22" s="2494"/>
    </row>
    <row r="23" spans="1:15" ht="12.75" x14ac:dyDescent="0.2">
      <c r="A23" s="2468" t="s">
        <v>637</v>
      </c>
      <c r="B23" s="2469"/>
      <c r="C23" s="2469"/>
      <c r="D23" s="2470"/>
      <c r="E23" s="2492"/>
      <c r="F23" s="2493"/>
      <c r="G23" s="2493"/>
      <c r="H23" s="2493"/>
      <c r="I23" s="2493"/>
      <c r="J23" s="2493"/>
      <c r="K23" s="2493"/>
      <c r="L23" s="2493"/>
      <c r="M23" s="2493"/>
      <c r="N23" s="2493"/>
      <c r="O23" s="2494"/>
    </row>
    <row r="24" spans="1:15" ht="12.75" x14ac:dyDescent="0.2">
      <c r="A24" s="2468" t="s">
        <v>638</v>
      </c>
      <c r="B24" s="2469"/>
      <c r="C24" s="2469"/>
      <c r="D24" s="2470"/>
      <c r="E24" s="2495"/>
      <c r="F24" s="2496"/>
      <c r="G24" s="2496"/>
      <c r="H24" s="2496"/>
      <c r="I24" s="2496"/>
      <c r="J24" s="2496"/>
      <c r="K24" s="2496"/>
      <c r="L24" s="2496"/>
      <c r="M24" s="2496"/>
      <c r="N24" s="2496"/>
      <c r="O24" s="2497"/>
    </row>
    <row r="25" spans="1:15" ht="12.75" x14ac:dyDescent="0.2">
      <c r="A25" s="2468" t="s">
        <v>639</v>
      </c>
      <c r="B25" s="2469"/>
      <c r="C25" s="2469"/>
      <c r="D25" s="2470"/>
      <c r="E25" s="2495"/>
      <c r="F25" s="2496"/>
      <c r="G25" s="2496"/>
      <c r="H25" s="2496"/>
      <c r="I25" s="2496"/>
      <c r="J25" s="2496"/>
      <c r="K25" s="2496"/>
      <c r="L25" s="2496"/>
      <c r="M25" s="2496"/>
      <c r="N25" s="2496"/>
      <c r="O25" s="2497"/>
    </row>
    <row r="26" spans="1:15" ht="12.75" x14ac:dyDescent="0.2">
      <c r="A26" s="2468" t="s">
        <v>202</v>
      </c>
      <c r="B26" s="2469"/>
      <c r="C26" s="2469"/>
      <c r="D26" s="2470"/>
      <c r="E26" s="2495"/>
      <c r="F26" s="2496"/>
      <c r="G26" s="2496"/>
      <c r="H26" s="2496"/>
      <c r="I26" s="2496"/>
      <c r="J26" s="2496"/>
      <c r="K26" s="2496"/>
      <c r="L26" s="2496"/>
      <c r="M26" s="2496"/>
      <c r="N26" s="2496"/>
      <c r="O26" s="2497"/>
    </row>
    <row r="27" spans="1:15" ht="12.75" x14ac:dyDescent="0.2">
      <c r="A27" s="2468" t="s">
        <v>640</v>
      </c>
      <c r="B27" s="2469"/>
      <c r="C27" s="2469"/>
      <c r="D27" s="2470"/>
      <c r="E27" s="2495"/>
      <c r="F27" s="2496"/>
      <c r="G27" s="2496"/>
      <c r="H27" s="2496"/>
      <c r="I27" s="2496"/>
      <c r="J27" s="2496"/>
      <c r="K27" s="2496"/>
      <c r="L27" s="2496"/>
      <c r="M27" s="2496"/>
      <c r="N27" s="2496"/>
      <c r="O27" s="2497"/>
    </row>
    <row r="28" spans="1:15" ht="13.5" thickBot="1" x14ac:dyDescent="0.25">
      <c r="A28" s="2501" t="s">
        <v>641</v>
      </c>
      <c r="B28" s="2502"/>
      <c r="C28" s="2502"/>
      <c r="D28" s="2503"/>
      <c r="E28" s="2582"/>
      <c r="F28" s="2583"/>
      <c r="G28" s="2583"/>
      <c r="H28" s="2583"/>
      <c r="I28" s="2583"/>
      <c r="J28" s="2583"/>
      <c r="K28" s="2583"/>
      <c r="L28" s="2583"/>
      <c r="M28" s="2583"/>
      <c r="N28" s="2583"/>
      <c r="O28" s="2584"/>
    </row>
    <row r="29" spans="1:15" ht="13.5" thickBot="1" x14ac:dyDescent="0.25">
      <c r="A29" s="2501" t="s">
        <v>642</v>
      </c>
      <c r="B29" s="2502"/>
      <c r="C29" s="2502"/>
      <c r="D29" s="2503"/>
      <c r="E29" s="2585"/>
      <c r="F29" s="2583"/>
      <c r="G29" s="2583"/>
      <c r="H29" s="2583"/>
      <c r="I29" s="2583"/>
      <c r="J29" s="2583"/>
      <c r="K29" s="2583"/>
      <c r="L29" s="2583"/>
      <c r="M29" s="2583"/>
      <c r="N29" s="2583"/>
      <c r="O29" s="2584"/>
    </row>
    <row r="30" spans="1:15" ht="13.5" thickBot="1" x14ac:dyDescent="0.25">
      <c r="A30" s="2465" t="s">
        <v>643</v>
      </c>
      <c r="B30" s="2466"/>
      <c r="C30" s="2466"/>
      <c r="D30" s="2466"/>
      <c r="E30" s="2466"/>
      <c r="F30" s="2466"/>
      <c r="G30" s="2466"/>
      <c r="H30" s="2466"/>
      <c r="I30" s="2466"/>
      <c r="J30" s="2466"/>
      <c r="K30" s="2466"/>
      <c r="L30" s="2466"/>
      <c r="M30" s="2466"/>
      <c r="N30" s="2466"/>
      <c r="O30" s="2467"/>
    </row>
    <row r="31" spans="1:15" ht="13.5" thickBot="1" x14ac:dyDescent="0.25">
      <c r="A31" s="2541" t="s">
        <v>644</v>
      </c>
      <c r="B31" s="2542"/>
      <c r="C31" s="2542"/>
      <c r="D31" s="2542"/>
      <c r="E31" s="2542"/>
      <c r="F31" s="2542"/>
      <c r="G31" s="2542"/>
      <c r="H31" s="2542"/>
      <c r="I31" s="2542"/>
      <c r="J31" s="2542"/>
      <c r="K31" s="2542"/>
      <c r="L31" s="2542"/>
      <c r="M31" s="2542"/>
      <c r="N31" s="2542"/>
      <c r="O31" s="2543"/>
    </row>
    <row r="32" spans="1:15" ht="12.75" x14ac:dyDescent="0.2">
      <c r="A32" s="2573" t="s">
        <v>645</v>
      </c>
      <c r="B32" s="2574"/>
      <c r="C32" s="2574"/>
      <c r="D32" s="2575"/>
      <c r="E32" s="2576"/>
      <c r="F32" s="2577"/>
      <c r="G32" s="2577"/>
      <c r="H32" s="2577"/>
      <c r="I32" s="2577"/>
      <c r="J32" s="2577"/>
      <c r="K32" s="2577"/>
      <c r="L32" s="2577"/>
      <c r="M32" s="2577"/>
      <c r="N32" s="2577"/>
      <c r="O32" s="2578"/>
    </row>
    <row r="33" spans="1:15" ht="12.75" x14ac:dyDescent="0.2">
      <c r="A33" s="2579" t="s">
        <v>646</v>
      </c>
      <c r="B33" s="2580"/>
      <c r="C33" s="2580"/>
      <c r="D33" s="2581"/>
      <c r="E33" s="2559"/>
      <c r="F33" s="2560"/>
      <c r="G33" s="2560"/>
      <c r="H33" s="2560"/>
      <c r="I33" s="2560"/>
      <c r="J33" s="2560"/>
      <c r="K33" s="2560"/>
      <c r="L33" s="2560"/>
      <c r="M33" s="2560"/>
      <c r="N33" s="2560"/>
      <c r="O33" s="2561"/>
    </row>
    <row r="34" spans="1:15" ht="12.75" x14ac:dyDescent="0.2">
      <c r="A34" s="2468" t="s">
        <v>647</v>
      </c>
      <c r="B34" s="2469"/>
      <c r="C34" s="2469"/>
      <c r="D34" s="2470"/>
      <c r="E34" s="2495"/>
      <c r="F34" s="2496"/>
      <c r="G34" s="2496"/>
      <c r="H34" s="2496"/>
      <c r="I34" s="2496"/>
      <c r="J34" s="2496"/>
      <c r="K34" s="2496"/>
      <c r="L34" s="2496"/>
      <c r="M34" s="2496"/>
      <c r="N34" s="2496"/>
      <c r="O34" s="2497"/>
    </row>
    <row r="35" spans="1:15" ht="12.75" x14ac:dyDescent="0.2">
      <c r="A35" s="2468" t="s">
        <v>648</v>
      </c>
      <c r="B35" s="2469"/>
      <c r="C35" s="2469"/>
      <c r="D35" s="2470"/>
      <c r="E35" s="2559" t="s">
        <v>649</v>
      </c>
      <c r="F35" s="2560"/>
      <c r="G35" s="2560"/>
      <c r="H35" s="2560"/>
      <c r="I35" s="2560"/>
      <c r="J35" s="2560"/>
      <c r="K35" s="2560"/>
      <c r="L35" s="2560"/>
      <c r="M35" s="2560"/>
      <c r="N35" s="2560"/>
      <c r="O35" s="2561"/>
    </row>
    <row r="36" spans="1:15" ht="12.75" x14ac:dyDescent="0.2">
      <c r="A36" s="2468" t="s">
        <v>650</v>
      </c>
      <c r="B36" s="2469"/>
      <c r="C36" s="2469"/>
      <c r="D36" s="2470"/>
      <c r="E36" s="2559" t="s">
        <v>651</v>
      </c>
      <c r="F36" s="2560"/>
      <c r="G36" s="2560"/>
      <c r="H36" s="2560"/>
      <c r="I36" s="2560"/>
      <c r="J36" s="2560"/>
      <c r="K36" s="2560"/>
      <c r="L36" s="2560"/>
      <c r="M36" s="2560"/>
      <c r="N36" s="2560"/>
      <c r="O36" s="2561"/>
    </row>
    <row r="37" spans="1:15" ht="12.75" x14ac:dyDescent="0.2">
      <c r="A37" s="2544" t="s">
        <v>652</v>
      </c>
      <c r="B37" s="2545"/>
      <c r="C37" s="2545"/>
      <c r="D37" s="2562"/>
      <c r="E37" s="2559" t="s">
        <v>653</v>
      </c>
      <c r="F37" s="2560"/>
      <c r="G37" s="2560"/>
      <c r="H37" s="2560"/>
      <c r="I37" s="2560"/>
      <c r="J37" s="2560"/>
      <c r="K37" s="2560"/>
      <c r="L37" s="2560"/>
      <c r="M37" s="2560"/>
      <c r="N37" s="2560"/>
      <c r="O37" s="2561"/>
    </row>
    <row r="38" spans="1:15" ht="12.75" x14ac:dyDescent="0.2">
      <c r="A38" s="2468" t="s">
        <v>654</v>
      </c>
      <c r="B38" s="2469"/>
      <c r="C38" s="2469"/>
      <c r="D38" s="2470"/>
      <c r="E38" s="2559"/>
      <c r="F38" s="2560"/>
      <c r="G38" s="2560"/>
      <c r="H38" s="2560"/>
      <c r="I38" s="2560"/>
      <c r="J38" s="2560"/>
      <c r="K38" s="2560"/>
      <c r="L38" s="2560"/>
      <c r="M38" s="2560"/>
      <c r="N38" s="2560"/>
      <c r="O38" s="2561"/>
    </row>
    <row r="39" spans="1:15" ht="12.75" x14ac:dyDescent="0.2">
      <c r="A39" s="2563" t="s">
        <v>655</v>
      </c>
      <c r="B39" s="2564"/>
      <c r="C39" s="2564"/>
      <c r="D39" s="2565"/>
      <c r="E39" s="2566"/>
      <c r="F39" s="2567"/>
      <c r="G39" s="2567"/>
      <c r="H39" s="2567"/>
      <c r="I39" s="2567"/>
      <c r="J39" s="2567"/>
      <c r="K39" s="2567"/>
      <c r="L39" s="2567"/>
      <c r="M39" s="2567"/>
      <c r="N39" s="2567"/>
      <c r="O39" s="2568"/>
    </row>
    <row r="40" spans="1:15" ht="12.75" x14ac:dyDescent="0.2">
      <c r="A40" s="2569" t="s">
        <v>656</v>
      </c>
      <c r="B40" s="2570"/>
      <c r="C40" s="2570"/>
      <c r="D40" s="2571"/>
      <c r="E40" s="2566"/>
      <c r="F40" s="2567"/>
      <c r="G40" s="2567"/>
      <c r="H40" s="2567"/>
      <c r="I40" s="2567"/>
      <c r="J40" s="2567"/>
      <c r="K40" s="2567"/>
      <c r="L40" s="2567"/>
      <c r="M40" s="2567"/>
      <c r="N40" s="2567"/>
      <c r="O40" s="2568"/>
    </row>
    <row r="41" spans="1:15" ht="12.75" x14ac:dyDescent="0.2">
      <c r="A41" s="2555" t="s">
        <v>657</v>
      </c>
      <c r="B41" s="2556"/>
      <c r="C41" s="2556"/>
      <c r="D41" s="2572"/>
      <c r="E41" s="2566"/>
      <c r="F41" s="2567"/>
      <c r="G41" s="2567"/>
      <c r="H41" s="2567"/>
      <c r="I41" s="2567"/>
      <c r="J41" s="2567"/>
      <c r="K41" s="2567"/>
      <c r="L41" s="2567"/>
      <c r="M41" s="2567"/>
      <c r="N41" s="2567"/>
      <c r="O41" s="2568"/>
    </row>
    <row r="42" spans="1:15" ht="12.75" x14ac:dyDescent="0.2">
      <c r="A42" s="2569" t="s">
        <v>1077</v>
      </c>
      <c r="B42" s="2570"/>
      <c r="C42" s="2570"/>
      <c r="D42" s="2571"/>
      <c r="E42" s="2566"/>
      <c r="F42" s="2567"/>
      <c r="G42" s="2567"/>
      <c r="H42" s="2567"/>
      <c r="I42" s="2567"/>
      <c r="J42" s="2567"/>
      <c r="K42" s="2567"/>
      <c r="L42" s="2567"/>
      <c r="M42" s="2567"/>
      <c r="N42" s="2567"/>
      <c r="O42" s="2568"/>
    </row>
    <row r="43" spans="1:15" ht="12.75" x14ac:dyDescent="0.2">
      <c r="A43" s="2569" t="s">
        <v>1078</v>
      </c>
      <c r="B43" s="2570"/>
      <c r="C43" s="2570"/>
      <c r="D43" s="2571"/>
      <c r="E43" s="2566"/>
      <c r="F43" s="2567"/>
      <c r="G43" s="2567"/>
      <c r="H43" s="2567"/>
      <c r="I43" s="2567"/>
      <c r="J43" s="2567"/>
      <c r="K43" s="2567"/>
      <c r="L43" s="2567"/>
      <c r="M43" s="2567"/>
      <c r="N43" s="2567"/>
      <c r="O43" s="2568"/>
    </row>
    <row r="44" spans="1:15" ht="13.5" thickBot="1" x14ac:dyDescent="0.25">
      <c r="A44" s="2535" t="s">
        <v>658</v>
      </c>
      <c r="B44" s="2536"/>
      <c r="C44" s="2536"/>
      <c r="D44" s="2537"/>
      <c r="E44" s="2538"/>
      <c r="F44" s="2539"/>
      <c r="G44" s="2539"/>
      <c r="H44" s="2539"/>
      <c r="I44" s="2539"/>
      <c r="J44" s="2539"/>
      <c r="K44" s="2539"/>
      <c r="L44" s="2539"/>
      <c r="M44" s="2539"/>
      <c r="N44" s="2539"/>
      <c r="O44" s="2540"/>
    </row>
    <row r="45" spans="1:15" ht="13.5" thickBot="1" x14ac:dyDescent="0.25">
      <c r="A45" s="2511"/>
      <c r="B45" s="2512"/>
      <c r="C45" s="2512"/>
      <c r="D45" s="2512"/>
      <c r="E45" s="2512"/>
      <c r="F45" s="2512"/>
      <c r="G45" s="2512"/>
      <c r="H45" s="2512"/>
      <c r="I45" s="2512"/>
      <c r="J45" s="2512"/>
      <c r="K45" s="2512"/>
      <c r="L45" s="2512"/>
      <c r="M45" s="2512"/>
      <c r="N45" s="2512"/>
      <c r="O45" s="2513"/>
    </row>
    <row r="46" spans="1:15" ht="13.5" thickBot="1" x14ac:dyDescent="0.25">
      <c r="A46" s="2541" t="s">
        <v>659</v>
      </c>
      <c r="B46" s="2542"/>
      <c r="C46" s="2542"/>
      <c r="D46" s="2542"/>
      <c r="E46" s="2542"/>
      <c r="F46" s="2542"/>
      <c r="G46" s="2542"/>
      <c r="H46" s="2542"/>
      <c r="I46" s="2542"/>
      <c r="J46" s="2542"/>
      <c r="K46" s="2542"/>
      <c r="L46" s="2542"/>
      <c r="M46" s="2542"/>
      <c r="N46" s="2542"/>
      <c r="O46" s="2543"/>
    </row>
    <row r="47" spans="1:15" ht="12.75" x14ac:dyDescent="0.2">
      <c r="A47" s="2529" t="s">
        <v>660</v>
      </c>
      <c r="B47" s="2530"/>
      <c r="C47" s="2530"/>
      <c r="D47" s="2531"/>
      <c r="E47" s="2532"/>
      <c r="F47" s="2533"/>
      <c r="G47" s="2533"/>
      <c r="H47" s="2533"/>
      <c r="I47" s="2533"/>
      <c r="J47" s="2533"/>
      <c r="K47" s="2533"/>
      <c r="L47" s="2533"/>
      <c r="M47" s="2533"/>
      <c r="N47" s="2533"/>
      <c r="O47" s="2534"/>
    </row>
    <row r="48" spans="1:15" ht="12.75" x14ac:dyDescent="0.2">
      <c r="A48" s="2557" t="s">
        <v>661</v>
      </c>
      <c r="B48" s="2558"/>
      <c r="C48" s="2558"/>
      <c r="D48" s="2558"/>
      <c r="E48" s="2486"/>
      <c r="F48" s="2487"/>
      <c r="G48" s="2463"/>
      <c r="H48" s="2463"/>
      <c r="I48" s="2487"/>
      <c r="J48" s="2487"/>
      <c r="K48" s="2463"/>
      <c r="L48" s="2463"/>
      <c r="M48" s="2487"/>
      <c r="N48" s="2487"/>
      <c r="O48" s="2488"/>
    </row>
    <row r="49" spans="1:15" ht="12.75" x14ac:dyDescent="0.2">
      <c r="A49" s="2544" t="s">
        <v>662</v>
      </c>
      <c r="B49" s="2545"/>
      <c r="C49" s="2545"/>
      <c r="D49" s="2545"/>
      <c r="E49" s="2546"/>
      <c r="F49" s="2547"/>
      <c r="G49" s="2547"/>
      <c r="H49" s="2547"/>
      <c r="I49" s="2547"/>
      <c r="J49" s="2547"/>
      <c r="K49" s="2547"/>
      <c r="L49" s="2547"/>
      <c r="M49" s="2547"/>
      <c r="N49" s="2547"/>
      <c r="O49" s="2548"/>
    </row>
    <row r="50" spans="1:15" ht="12.75" x14ac:dyDescent="0.2">
      <c r="A50" s="2555" t="s">
        <v>663</v>
      </c>
      <c r="B50" s="2556"/>
      <c r="C50" s="2556"/>
      <c r="D50" s="2556"/>
      <c r="E50" s="2549"/>
      <c r="F50" s="2550"/>
      <c r="G50" s="2550"/>
      <c r="H50" s="2550"/>
      <c r="I50" s="2550"/>
      <c r="J50" s="2550"/>
      <c r="K50" s="2550"/>
      <c r="L50" s="2550"/>
      <c r="M50" s="2550"/>
      <c r="N50" s="2550"/>
      <c r="O50" s="2551"/>
    </row>
    <row r="51" spans="1:15" ht="13.5" thickBot="1" x14ac:dyDescent="0.25">
      <c r="A51" s="2555" t="s">
        <v>664</v>
      </c>
      <c r="B51" s="2556"/>
      <c r="C51" s="2556"/>
      <c r="D51" s="2556"/>
      <c r="E51" s="2552"/>
      <c r="F51" s="2553"/>
      <c r="G51" s="2553"/>
      <c r="H51" s="2553"/>
      <c r="I51" s="2553"/>
      <c r="J51" s="2553"/>
      <c r="K51" s="2553"/>
      <c r="L51" s="2553"/>
      <c r="M51" s="2553"/>
      <c r="N51" s="2553"/>
      <c r="O51" s="2554"/>
    </row>
    <row r="52" spans="1:15" ht="13.5" thickBot="1" x14ac:dyDescent="0.25">
      <c r="A52" s="2511"/>
      <c r="B52" s="2512"/>
      <c r="C52" s="2512"/>
      <c r="D52" s="2512"/>
      <c r="E52" s="2512"/>
      <c r="F52" s="2512"/>
      <c r="G52" s="2512"/>
      <c r="H52" s="2512"/>
      <c r="I52" s="2512"/>
      <c r="J52" s="2512"/>
      <c r="K52" s="2512"/>
      <c r="L52" s="2512"/>
      <c r="M52" s="2512"/>
      <c r="N52" s="2512"/>
      <c r="O52" s="2513"/>
    </row>
    <row r="53" spans="1:15" ht="13.5" thickBot="1" x14ac:dyDescent="0.25">
      <c r="A53" s="2465" t="s">
        <v>665</v>
      </c>
      <c r="B53" s="2466"/>
      <c r="C53" s="2466"/>
      <c r="D53" s="2466"/>
      <c r="E53" s="2466"/>
      <c r="F53" s="2466"/>
      <c r="G53" s="2466"/>
      <c r="H53" s="2466"/>
      <c r="I53" s="2466"/>
      <c r="J53" s="2466"/>
      <c r="K53" s="2466"/>
      <c r="L53" s="2466"/>
      <c r="M53" s="2466"/>
      <c r="N53" s="2466"/>
      <c r="O53" s="2467"/>
    </row>
    <row r="54" spans="1:15" ht="13.5" thickBot="1" x14ac:dyDescent="0.25">
      <c r="A54" s="2522"/>
      <c r="B54" s="2523"/>
      <c r="C54" s="2523"/>
      <c r="D54" s="2524"/>
      <c r="E54" s="2525" t="s">
        <v>532</v>
      </c>
      <c r="F54" s="2526"/>
      <c r="G54" s="2525" t="s">
        <v>666</v>
      </c>
      <c r="H54" s="2526"/>
      <c r="I54" s="2525" t="s">
        <v>567</v>
      </c>
      <c r="J54" s="2526"/>
      <c r="K54" s="2525" t="s">
        <v>576</v>
      </c>
      <c r="L54" s="2526"/>
      <c r="M54" s="2525" t="s">
        <v>592</v>
      </c>
      <c r="N54" s="2527"/>
      <c r="O54" s="2528"/>
    </row>
    <row r="55" spans="1:15" ht="12.75" x14ac:dyDescent="0.2">
      <c r="A55" s="2514" t="s">
        <v>667</v>
      </c>
      <c r="B55" s="2515"/>
      <c r="C55" s="2515"/>
      <c r="D55" s="2516"/>
      <c r="E55" s="2517"/>
      <c r="F55" s="2518"/>
      <c r="G55" s="2519"/>
      <c r="H55" s="2518"/>
      <c r="I55" s="2519"/>
      <c r="J55" s="2518"/>
      <c r="K55" s="2519"/>
      <c r="L55" s="2518"/>
      <c r="M55" s="2519"/>
      <c r="N55" s="2520"/>
      <c r="O55" s="2521"/>
    </row>
    <row r="56" spans="1:15" ht="12.75" x14ac:dyDescent="0.2">
      <c r="A56" s="2468" t="s">
        <v>668</v>
      </c>
      <c r="B56" s="2469"/>
      <c r="C56" s="2469"/>
      <c r="D56" s="2470"/>
      <c r="E56" s="2462"/>
      <c r="F56" s="2509"/>
      <c r="G56" s="2510"/>
      <c r="H56" s="2509"/>
      <c r="I56" s="2510"/>
      <c r="J56" s="2509"/>
      <c r="K56" s="2510"/>
      <c r="L56" s="2509"/>
      <c r="M56" s="2510"/>
      <c r="N56" s="2463"/>
      <c r="O56" s="2464"/>
    </row>
    <row r="57" spans="1:15" ht="12.75" x14ac:dyDescent="0.2">
      <c r="A57" s="2468" t="s">
        <v>669</v>
      </c>
      <c r="B57" s="2469"/>
      <c r="C57" s="2469"/>
      <c r="D57" s="2470"/>
      <c r="E57" s="2462"/>
      <c r="F57" s="2509"/>
      <c r="G57" s="2510"/>
      <c r="H57" s="2509"/>
      <c r="I57" s="2510"/>
      <c r="J57" s="2509"/>
      <c r="K57" s="2510"/>
      <c r="L57" s="2509"/>
      <c r="M57" s="2510"/>
      <c r="N57" s="2463"/>
      <c r="O57" s="2464"/>
    </row>
    <row r="58" spans="1:15" ht="12.75" x14ac:dyDescent="0.2">
      <c r="A58" s="2468" t="s">
        <v>670</v>
      </c>
      <c r="B58" s="2469"/>
      <c r="C58" s="2469"/>
      <c r="D58" s="2470"/>
      <c r="E58" s="2462"/>
      <c r="F58" s="2509"/>
      <c r="G58" s="2510"/>
      <c r="H58" s="2509"/>
      <c r="I58" s="2510"/>
      <c r="J58" s="2509"/>
      <c r="K58" s="2510"/>
      <c r="L58" s="2509"/>
      <c r="M58" s="2510"/>
      <c r="N58" s="2463"/>
      <c r="O58" s="2464"/>
    </row>
    <row r="59" spans="1:15" ht="13.5" thickBot="1" x14ac:dyDescent="0.25">
      <c r="A59" s="2501" t="s">
        <v>671</v>
      </c>
      <c r="B59" s="2502"/>
      <c r="C59" s="2502"/>
      <c r="D59" s="2503"/>
      <c r="E59" s="2504"/>
      <c r="F59" s="2505"/>
      <c r="G59" s="2506"/>
      <c r="H59" s="2505"/>
      <c r="I59" s="2506"/>
      <c r="J59" s="2505"/>
      <c r="K59" s="2506"/>
      <c r="L59" s="2505"/>
      <c r="M59" s="2506"/>
      <c r="N59" s="2507"/>
      <c r="O59" s="2508"/>
    </row>
    <row r="60" spans="1:15" ht="13.5" thickBot="1" x14ac:dyDescent="0.25">
      <c r="A60" s="2489"/>
      <c r="B60" s="2490"/>
      <c r="C60" s="2490"/>
      <c r="D60" s="2490"/>
      <c r="E60" s="2490"/>
      <c r="F60" s="2490"/>
      <c r="G60" s="2490"/>
      <c r="H60" s="2490"/>
      <c r="I60" s="2490"/>
      <c r="J60" s="2490"/>
      <c r="K60" s="2490"/>
      <c r="L60" s="2490"/>
      <c r="M60" s="2490"/>
      <c r="N60" s="2490"/>
      <c r="O60" s="2491"/>
    </row>
    <row r="61" spans="1:15" ht="13.5" thickBot="1" x14ac:dyDescent="0.25">
      <c r="A61" s="2465" t="s">
        <v>672</v>
      </c>
      <c r="B61" s="2466"/>
      <c r="C61" s="2466"/>
      <c r="D61" s="2466"/>
      <c r="E61" s="2466"/>
      <c r="F61" s="2466"/>
      <c r="G61" s="2466"/>
      <c r="H61" s="2466"/>
      <c r="I61" s="2466"/>
      <c r="J61" s="2466"/>
      <c r="K61" s="2466"/>
      <c r="L61" s="2466"/>
      <c r="M61" s="2466"/>
      <c r="N61" s="2466"/>
      <c r="O61" s="2467"/>
    </row>
    <row r="62" spans="1:15" ht="12.75" x14ac:dyDescent="0.2">
      <c r="A62" s="2492"/>
      <c r="B62" s="2493"/>
      <c r="C62" s="2493"/>
      <c r="D62" s="2493"/>
      <c r="E62" s="2493"/>
      <c r="F62" s="2493"/>
      <c r="G62" s="2493"/>
      <c r="H62" s="2493"/>
      <c r="I62" s="2493"/>
      <c r="J62" s="2493"/>
      <c r="K62" s="2493"/>
      <c r="L62" s="2493"/>
      <c r="M62" s="2493"/>
      <c r="N62" s="2493"/>
      <c r="O62" s="2494"/>
    </row>
    <row r="63" spans="1:15" ht="12.75" x14ac:dyDescent="0.2">
      <c r="A63" s="2495"/>
      <c r="B63" s="2496"/>
      <c r="C63" s="2496"/>
      <c r="D63" s="2496"/>
      <c r="E63" s="2496"/>
      <c r="F63" s="2496"/>
      <c r="G63" s="2496"/>
      <c r="H63" s="2496"/>
      <c r="I63" s="2496"/>
      <c r="J63" s="2496"/>
      <c r="K63" s="2496"/>
      <c r="L63" s="2496"/>
      <c r="M63" s="2496"/>
      <c r="N63" s="2496"/>
      <c r="O63" s="2497"/>
    </row>
    <row r="64" spans="1:15" ht="12.75" x14ac:dyDescent="0.2">
      <c r="A64" s="2495"/>
      <c r="B64" s="2496"/>
      <c r="C64" s="2496"/>
      <c r="D64" s="2496"/>
      <c r="E64" s="2496"/>
      <c r="F64" s="2496"/>
      <c r="G64" s="2496"/>
      <c r="H64" s="2496"/>
      <c r="I64" s="2496"/>
      <c r="J64" s="2496"/>
      <c r="K64" s="2496"/>
      <c r="L64" s="2496"/>
      <c r="M64" s="2496"/>
      <c r="N64" s="2496"/>
      <c r="O64" s="2497"/>
    </row>
    <row r="65" spans="1:15" ht="13.5" thickBot="1" x14ac:dyDescent="0.25">
      <c r="A65" s="2495"/>
      <c r="B65" s="2496"/>
      <c r="C65" s="2496"/>
      <c r="D65" s="2496"/>
      <c r="E65" s="2496"/>
      <c r="F65" s="2496"/>
      <c r="G65" s="2496"/>
      <c r="H65" s="2496"/>
      <c r="I65" s="2496"/>
      <c r="J65" s="2496"/>
      <c r="K65" s="2496"/>
      <c r="L65" s="2496"/>
      <c r="M65" s="2496"/>
      <c r="N65" s="2496"/>
      <c r="O65" s="2497"/>
    </row>
    <row r="66" spans="1:15" ht="13.5" thickBot="1" x14ac:dyDescent="0.25">
      <c r="A66" s="2465" t="s">
        <v>673</v>
      </c>
      <c r="B66" s="2466"/>
      <c r="C66" s="2466"/>
      <c r="D66" s="2466"/>
      <c r="E66" s="2466"/>
      <c r="F66" s="2466"/>
      <c r="G66" s="2466"/>
      <c r="H66" s="2466"/>
      <c r="I66" s="2466"/>
      <c r="J66" s="2466"/>
      <c r="K66" s="2466"/>
      <c r="L66" s="2466"/>
      <c r="M66" s="2466"/>
      <c r="N66" s="2466"/>
      <c r="O66" s="2467"/>
    </row>
    <row r="67" spans="1:15" ht="12.75" x14ac:dyDescent="0.2">
      <c r="A67" s="2498"/>
      <c r="B67" s="2499"/>
      <c r="C67" s="2499"/>
      <c r="D67" s="2499"/>
      <c r="E67" s="2499"/>
      <c r="F67" s="2499"/>
      <c r="G67" s="2499"/>
      <c r="H67" s="2499"/>
      <c r="I67" s="2499"/>
      <c r="J67" s="2499"/>
      <c r="K67" s="2499"/>
      <c r="L67" s="2499"/>
      <c r="M67" s="2499"/>
      <c r="N67" s="2499"/>
      <c r="O67" s="2500"/>
    </row>
    <row r="68" spans="1:15" ht="12.75" x14ac:dyDescent="0.2">
      <c r="A68" s="2462"/>
      <c r="B68" s="2463"/>
      <c r="C68" s="2463"/>
      <c r="D68" s="2463"/>
      <c r="E68" s="2463"/>
      <c r="F68" s="2463"/>
      <c r="G68" s="2463"/>
      <c r="H68" s="2463"/>
      <c r="I68" s="2463"/>
      <c r="J68" s="2463"/>
      <c r="K68" s="2463"/>
      <c r="L68" s="2463"/>
      <c r="M68" s="2463"/>
      <c r="N68" s="2463"/>
      <c r="O68" s="2464"/>
    </row>
    <row r="69" spans="1:15" ht="13.5" thickBot="1" x14ac:dyDescent="0.25">
      <c r="A69" s="2462"/>
      <c r="B69" s="2463"/>
      <c r="C69" s="2463"/>
      <c r="D69" s="2463"/>
      <c r="E69" s="2463"/>
      <c r="F69" s="2463"/>
      <c r="G69" s="2463"/>
      <c r="H69" s="2463"/>
      <c r="I69" s="2463"/>
      <c r="J69" s="2463"/>
      <c r="K69" s="2463"/>
      <c r="L69" s="2463"/>
      <c r="M69" s="2463"/>
      <c r="N69" s="2463"/>
      <c r="O69" s="2464"/>
    </row>
    <row r="70" spans="1:15" ht="13.5" thickBot="1" x14ac:dyDescent="0.25">
      <c r="A70" s="2465" t="s">
        <v>674</v>
      </c>
      <c r="B70" s="2466"/>
      <c r="C70" s="2466"/>
      <c r="D70" s="2466"/>
      <c r="E70" s="2466"/>
      <c r="F70" s="2466"/>
      <c r="G70" s="2466"/>
      <c r="H70" s="2466"/>
      <c r="I70" s="2466"/>
      <c r="J70" s="2466"/>
      <c r="K70" s="2466"/>
      <c r="L70" s="2466"/>
      <c r="M70" s="2466"/>
      <c r="N70" s="2466"/>
      <c r="O70" s="2467"/>
    </row>
    <row r="71" spans="1:15" ht="13.5" thickBot="1" x14ac:dyDescent="0.25">
      <c r="A71" s="2477" t="s">
        <v>493</v>
      </c>
      <c r="B71" s="2478"/>
      <c r="C71" s="2479"/>
      <c r="D71" s="2480"/>
      <c r="E71" s="2481"/>
      <c r="F71" s="2481"/>
      <c r="G71" s="2482"/>
      <c r="H71" s="2477" t="s">
        <v>493</v>
      </c>
      <c r="I71" s="2478"/>
      <c r="J71" s="2479"/>
      <c r="K71" s="2480"/>
      <c r="L71" s="2481"/>
      <c r="M71" s="2481"/>
      <c r="N71" s="2481"/>
      <c r="O71" s="2482"/>
    </row>
    <row r="72" spans="1:15" ht="12.75" x14ac:dyDescent="0.2">
      <c r="A72" s="2483" t="s">
        <v>675</v>
      </c>
      <c r="B72" s="2484"/>
      <c r="C72" s="2485"/>
      <c r="D72" s="2480"/>
      <c r="E72" s="2481"/>
      <c r="F72" s="2481"/>
      <c r="G72" s="2482"/>
      <c r="H72" s="2483" t="s">
        <v>676</v>
      </c>
      <c r="I72" s="2484"/>
      <c r="J72" s="2485"/>
      <c r="K72" s="2486"/>
      <c r="L72" s="2487"/>
      <c r="M72" s="2487"/>
      <c r="N72" s="2487"/>
      <c r="O72" s="2488"/>
    </row>
    <row r="73" spans="1:15" ht="12.75" x14ac:dyDescent="0.2">
      <c r="A73" s="2468" t="s">
        <v>484</v>
      </c>
      <c r="B73" s="2469"/>
      <c r="C73" s="2470"/>
      <c r="D73" s="2462"/>
      <c r="E73" s="2463"/>
      <c r="F73" s="2463"/>
      <c r="G73" s="2464"/>
      <c r="H73" s="2468" t="s">
        <v>484</v>
      </c>
      <c r="I73" s="2469"/>
      <c r="J73" s="2470"/>
      <c r="K73" s="2462"/>
      <c r="L73" s="2463"/>
      <c r="M73" s="2463"/>
      <c r="N73" s="2463"/>
      <c r="O73" s="2464"/>
    </row>
    <row r="74" spans="1:15" ht="13.5" thickBot="1" x14ac:dyDescent="0.25">
      <c r="A74" s="2471" t="s">
        <v>494</v>
      </c>
      <c r="B74" s="2472"/>
      <c r="C74" s="2473"/>
      <c r="D74" s="2474"/>
      <c r="E74" s="2475"/>
      <c r="F74" s="2475"/>
      <c r="G74" s="2476"/>
      <c r="H74" s="2471" t="s">
        <v>494</v>
      </c>
      <c r="I74" s="2472"/>
      <c r="J74" s="2473"/>
      <c r="K74" s="2474"/>
      <c r="L74" s="2475"/>
      <c r="M74" s="2475"/>
      <c r="N74" s="2475"/>
      <c r="O74" s="2476"/>
    </row>
    <row r="75" spans="1:15" ht="12.75" x14ac:dyDescent="0.2"/>
    <row r="76" spans="1:15" ht="12.75" x14ac:dyDescent="0.2"/>
    <row r="77" spans="1:15" ht="12.75" x14ac:dyDescent="0.2"/>
    <row r="78" spans="1:15" ht="12.75" x14ac:dyDescent="0.2"/>
    <row r="79" spans="1:15" ht="12.75" x14ac:dyDescent="0.2"/>
    <row r="80" spans="1:15" ht="12.75" x14ac:dyDescent="0.2"/>
    <row r="81" ht="12.75" x14ac:dyDescent="0.2"/>
    <row r="82" ht="12.75" x14ac:dyDescent="0.2"/>
    <row r="83" ht="12.75" x14ac:dyDescent="0.2"/>
    <row r="84" ht="12.75" x14ac:dyDescent="0.2"/>
    <row r="85" ht="12.75" x14ac:dyDescent="0.2"/>
    <row r="86" ht="12.75" x14ac:dyDescent="0.2"/>
    <row r="87" ht="12.75" x14ac:dyDescent="0.2"/>
    <row r="88" ht="12.75" x14ac:dyDescent="0.2"/>
    <row r="89" ht="12.75" x14ac:dyDescent="0.2"/>
    <row r="90" ht="12.75" x14ac:dyDescent="0.2"/>
    <row r="91" ht="12.75" x14ac:dyDescent="0.2"/>
    <row r="92" ht="12.75" x14ac:dyDescent="0.2"/>
    <row r="93" ht="12.75" x14ac:dyDescent="0.2"/>
    <row r="94" ht="12.75" x14ac:dyDescent="0.2"/>
    <row r="95" ht="12.75" x14ac:dyDescent="0.2"/>
    <row r="96"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sheetData>
  <mergeCells count="179">
    <mergeCell ref="A1:O1"/>
    <mergeCell ref="A2:O2"/>
    <mergeCell ref="A3:O3"/>
    <mergeCell ref="A4:D4"/>
    <mergeCell ref="E4:O4"/>
    <mergeCell ref="A5:D5"/>
    <mergeCell ref="E5:O5"/>
    <mergeCell ref="A9:D9"/>
    <mergeCell ref="E9:O9"/>
    <mergeCell ref="A10:O10"/>
    <mergeCell ref="A11:D11"/>
    <mergeCell ref="E11:G11"/>
    <mergeCell ref="H11:J11"/>
    <mergeCell ref="K11:M11"/>
    <mergeCell ref="N11:O11"/>
    <mergeCell ref="A6:D6"/>
    <mergeCell ref="E6:O6"/>
    <mergeCell ref="A7:D7"/>
    <mergeCell ref="E7:O7"/>
    <mergeCell ref="A8:D8"/>
    <mergeCell ref="E8:O8"/>
    <mergeCell ref="A12:D12"/>
    <mergeCell ref="E12:G12"/>
    <mergeCell ref="H12:J12"/>
    <mergeCell ref="K12:M12"/>
    <mergeCell ref="N12:O12"/>
    <mergeCell ref="A13:D13"/>
    <mergeCell ref="E13:G13"/>
    <mergeCell ref="H13:J13"/>
    <mergeCell ref="K13:M13"/>
    <mergeCell ref="N13:O13"/>
    <mergeCell ref="A14:D14"/>
    <mergeCell ref="E14:G14"/>
    <mergeCell ref="H14:J14"/>
    <mergeCell ref="K14:M14"/>
    <mergeCell ref="N14:O14"/>
    <mergeCell ref="A15:D15"/>
    <mergeCell ref="E15:G15"/>
    <mergeCell ref="H15:J15"/>
    <mergeCell ref="K15:M15"/>
    <mergeCell ref="N15:O15"/>
    <mergeCell ref="A16:D16"/>
    <mergeCell ref="E16:G16"/>
    <mergeCell ref="H16:J16"/>
    <mergeCell ref="K16:M16"/>
    <mergeCell ref="N16:O16"/>
    <mergeCell ref="A17:D17"/>
    <mergeCell ref="E17:G17"/>
    <mergeCell ref="H17:J17"/>
    <mergeCell ref="K17:M17"/>
    <mergeCell ref="N17:O17"/>
    <mergeCell ref="N19:O19"/>
    <mergeCell ref="A20:O20"/>
    <mergeCell ref="A21:O21"/>
    <mergeCell ref="A22:D22"/>
    <mergeCell ref="E22:O22"/>
    <mergeCell ref="A23:D23"/>
    <mergeCell ref="E23:O23"/>
    <mergeCell ref="A18:D18"/>
    <mergeCell ref="E18:J18"/>
    <mergeCell ref="A19:D19"/>
    <mergeCell ref="E19:G19"/>
    <mergeCell ref="H19:J19"/>
    <mergeCell ref="K19:M19"/>
    <mergeCell ref="A27:D27"/>
    <mergeCell ref="E27:O27"/>
    <mergeCell ref="A28:D28"/>
    <mergeCell ref="E28:O28"/>
    <mergeCell ref="A29:D29"/>
    <mergeCell ref="E29:O29"/>
    <mergeCell ref="A24:D24"/>
    <mergeCell ref="E24:O24"/>
    <mergeCell ref="A25:D25"/>
    <mergeCell ref="E25:O25"/>
    <mergeCell ref="A26:D26"/>
    <mergeCell ref="E26:O26"/>
    <mergeCell ref="A34:D34"/>
    <mergeCell ref="E34:O34"/>
    <mergeCell ref="A35:D35"/>
    <mergeCell ref="E35:O35"/>
    <mergeCell ref="A36:D36"/>
    <mergeCell ref="E36:O36"/>
    <mergeCell ref="A30:O30"/>
    <mergeCell ref="A31:O31"/>
    <mergeCell ref="A32:D32"/>
    <mergeCell ref="E32:O32"/>
    <mergeCell ref="A33:D33"/>
    <mergeCell ref="E33:O33"/>
    <mergeCell ref="A38:D38"/>
    <mergeCell ref="E38:O38"/>
    <mergeCell ref="A37:D37"/>
    <mergeCell ref="E37:O37"/>
    <mergeCell ref="A39:D39"/>
    <mergeCell ref="E39:O43"/>
    <mergeCell ref="A40:D40"/>
    <mergeCell ref="A41:D41"/>
    <mergeCell ref="A42:D42"/>
    <mergeCell ref="A43:D43"/>
    <mergeCell ref="A47:D47"/>
    <mergeCell ref="E47:O47"/>
    <mergeCell ref="A44:D44"/>
    <mergeCell ref="E44:O44"/>
    <mergeCell ref="A45:O45"/>
    <mergeCell ref="A46:O46"/>
    <mergeCell ref="A49:D49"/>
    <mergeCell ref="E49:O51"/>
    <mergeCell ref="A50:D50"/>
    <mergeCell ref="A51:D51"/>
    <mergeCell ref="A48:D48"/>
    <mergeCell ref="E48:F48"/>
    <mergeCell ref="G48:H48"/>
    <mergeCell ref="I48:J48"/>
    <mergeCell ref="K48:L48"/>
    <mergeCell ref="M48:O48"/>
    <mergeCell ref="A52:O52"/>
    <mergeCell ref="A55:D55"/>
    <mergeCell ref="E55:F55"/>
    <mergeCell ref="G55:H55"/>
    <mergeCell ref="I55:J55"/>
    <mergeCell ref="K55:L55"/>
    <mergeCell ref="M55:O55"/>
    <mergeCell ref="A53:O53"/>
    <mergeCell ref="A54:D54"/>
    <mergeCell ref="E54:F54"/>
    <mergeCell ref="G54:H54"/>
    <mergeCell ref="I54:J54"/>
    <mergeCell ref="K54:L54"/>
    <mergeCell ref="M54:O54"/>
    <mergeCell ref="A57:D57"/>
    <mergeCell ref="E57:F57"/>
    <mergeCell ref="G57:H57"/>
    <mergeCell ref="I57:J57"/>
    <mergeCell ref="K57:L57"/>
    <mergeCell ref="M57:O57"/>
    <mergeCell ref="A56:D56"/>
    <mergeCell ref="E56:F56"/>
    <mergeCell ref="G56:H56"/>
    <mergeCell ref="I56:J56"/>
    <mergeCell ref="K56:L56"/>
    <mergeCell ref="M56:O56"/>
    <mergeCell ref="A59:D59"/>
    <mergeCell ref="E59:F59"/>
    <mergeCell ref="G59:H59"/>
    <mergeCell ref="I59:J59"/>
    <mergeCell ref="K59:L59"/>
    <mergeCell ref="M59:O59"/>
    <mergeCell ref="A58:D58"/>
    <mergeCell ref="E58:F58"/>
    <mergeCell ref="G58:H58"/>
    <mergeCell ref="I58:J58"/>
    <mergeCell ref="K58:L58"/>
    <mergeCell ref="M58:O58"/>
    <mergeCell ref="A60:O60"/>
    <mergeCell ref="A61:O61"/>
    <mergeCell ref="A62:O62"/>
    <mergeCell ref="A63:O63"/>
    <mergeCell ref="A64:O64"/>
    <mergeCell ref="A65:O65"/>
    <mergeCell ref="A66:O66"/>
    <mergeCell ref="A67:O67"/>
    <mergeCell ref="A68:O68"/>
    <mergeCell ref="A69:O69"/>
    <mergeCell ref="A70:O70"/>
    <mergeCell ref="A73:C73"/>
    <mergeCell ref="D73:G73"/>
    <mergeCell ref="H73:J73"/>
    <mergeCell ref="K73:O73"/>
    <mergeCell ref="A74:C74"/>
    <mergeCell ref="D74:G74"/>
    <mergeCell ref="H74:J74"/>
    <mergeCell ref="K74:O74"/>
    <mergeCell ref="A71:C71"/>
    <mergeCell ref="D71:G71"/>
    <mergeCell ref="H71:J71"/>
    <mergeCell ref="K71:O71"/>
    <mergeCell ref="A72:C72"/>
    <mergeCell ref="D72:G72"/>
    <mergeCell ref="H72:J72"/>
    <mergeCell ref="K72:O72"/>
  </mergeCells>
  <pageMargins left="0.7" right="0.7" top="0.75" bottom="0.75" header="0.3" footer="0.3"/>
  <pageSetup paperSize="9" orientation="portrait" r:id="rId1"/>
  <headerFooter>
    <oddFooter>&amp;C&amp;"arial unicode ms,Regular"For internal use only</oddFooter>
    <evenFooter>&amp;C&amp;"arial unicode ms,Regular"For internal use only</evenFooter>
    <firstFooter>&amp;C&amp;"arial unicode ms,Regular"For internal use only</first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F90D0-77FB-4626-B72B-0B2CFC22C371}">
  <dimension ref="A1:C13"/>
  <sheetViews>
    <sheetView workbookViewId="0">
      <pane ySplit="1" topLeftCell="A2" activePane="bottomLeft" state="frozen"/>
      <selection sqref="A1:A13"/>
      <selection pane="bottomLeft" sqref="A1:A13"/>
    </sheetView>
  </sheetViews>
  <sheetFormatPr defaultColWidth="8.85546875" defaultRowHeight="15" x14ac:dyDescent="0.25"/>
  <cols>
    <col min="1" max="1" width="15.140625" style="1541" customWidth="1"/>
    <col min="2" max="2" width="63.7109375" style="1541" customWidth="1"/>
    <col min="3" max="3" width="18.7109375" style="1541" customWidth="1"/>
    <col min="4" max="16384" width="8.85546875" style="1541"/>
  </cols>
  <sheetData>
    <row r="1" spans="1:3" x14ac:dyDescent="0.25">
      <c r="A1" s="1539" t="s">
        <v>505</v>
      </c>
      <c r="B1" s="1540" t="s">
        <v>3586</v>
      </c>
      <c r="C1" s="1539" t="s">
        <v>1706</v>
      </c>
    </row>
    <row r="2" spans="1:3" x14ac:dyDescent="0.25">
      <c r="A2" s="1542">
        <v>44197</v>
      </c>
      <c r="B2" s="1543" t="s">
        <v>3587</v>
      </c>
      <c r="C2" s="1544">
        <v>-41760</v>
      </c>
    </row>
    <row r="3" spans="1:3" x14ac:dyDescent="0.25">
      <c r="A3" s="1542">
        <v>44228</v>
      </c>
      <c r="B3" s="1543" t="s">
        <v>3588</v>
      </c>
      <c r="C3" s="1544">
        <v>-41760</v>
      </c>
    </row>
    <row r="4" spans="1:3" x14ac:dyDescent="0.25">
      <c r="A4" s="1542">
        <v>44228</v>
      </c>
      <c r="B4" s="1543" t="s">
        <v>3589</v>
      </c>
      <c r="C4" s="1544">
        <v>-54850</v>
      </c>
    </row>
    <row r="5" spans="1:3" x14ac:dyDescent="0.25">
      <c r="A5" s="1542">
        <v>44253</v>
      </c>
      <c r="B5" s="1543" t="s">
        <v>3589</v>
      </c>
      <c r="C5" s="1544">
        <v>-49554</v>
      </c>
    </row>
    <row r="6" spans="1:3" x14ac:dyDescent="0.25">
      <c r="A6" s="1542">
        <v>44256</v>
      </c>
      <c r="B6" s="1543" t="s">
        <v>3590</v>
      </c>
      <c r="C6" s="1544">
        <v>-41760</v>
      </c>
    </row>
    <row r="7" spans="1:3" x14ac:dyDescent="0.25">
      <c r="A7" s="1542">
        <v>44286</v>
      </c>
      <c r="B7" s="1543" t="s">
        <v>3589</v>
      </c>
      <c r="C7" s="1544">
        <v>-54827</v>
      </c>
    </row>
    <row r="8" spans="1:3" x14ac:dyDescent="0.25">
      <c r="A8" s="1542">
        <v>44289</v>
      </c>
      <c r="B8" s="1543" t="s">
        <v>3591</v>
      </c>
      <c r="C8" s="1544">
        <v>-41760</v>
      </c>
    </row>
    <row r="9" spans="1:3" x14ac:dyDescent="0.25">
      <c r="A9" s="1542">
        <v>44316</v>
      </c>
      <c r="B9" s="1543" t="s">
        <v>3589</v>
      </c>
      <c r="C9" s="1544">
        <v>-53080</v>
      </c>
    </row>
    <row r="10" spans="1:3" x14ac:dyDescent="0.25">
      <c r="A10" s="1542">
        <v>44317</v>
      </c>
      <c r="B10" s="1543" t="s">
        <v>3592</v>
      </c>
      <c r="C10" s="1544">
        <v>-41760</v>
      </c>
    </row>
    <row r="11" spans="1:3" x14ac:dyDescent="0.25">
      <c r="A11" s="1542">
        <v>44347</v>
      </c>
      <c r="B11" s="1543" t="s">
        <v>3589</v>
      </c>
      <c r="C11" s="1544">
        <v>-54850</v>
      </c>
    </row>
    <row r="12" spans="1:3" x14ac:dyDescent="0.25">
      <c r="A12" s="1542">
        <v>44348</v>
      </c>
      <c r="B12" s="1543" t="s">
        <v>3593</v>
      </c>
      <c r="C12" s="1544">
        <v>-41760</v>
      </c>
    </row>
    <row r="13" spans="1:3" x14ac:dyDescent="0.25">
      <c r="A13" s="1542">
        <v>44377</v>
      </c>
      <c r="B13" s="1543" t="s">
        <v>3589</v>
      </c>
      <c r="C13" s="1544">
        <v>-53080</v>
      </c>
    </row>
  </sheetData>
  <sheetProtection password="D071" sheet="1" objects="1" scenarios="1"/>
  <pageMargins left="0.7" right="0.7" top="0.75" bottom="0.75" header="0.3" footer="0.3"/>
  <pageSetup paperSize="9" orientation="portrait" r:id="rId1"/>
  <headerFooter>
    <oddHeader>&amp;REMI Sheet</oddHeader>
    <oddFooter>&amp;LPerfios Insights&amp;RPage &amp;P of &amp;N&amp;C&amp;1#&amp;"Calibri"&amp;10&amp;K000000 For internal use only</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6">
    <pageSetUpPr fitToPage="1"/>
  </sheetPr>
  <dimension ref="A1:AW30"/>
  <sheetViews>
    <sheetView showGridLines="0" zoomScaleNormal="100" workbookViewId="0">
      <selection activeCell="J20" sqref="J20"/>
    </sheetView>
  </sheetViews>
  <sheetFormatPr defaultColWidth="9.140625" defaultRowHeight="11.25" x14ac:dyDescent="0.2"/>
  <cols>
    <col min="1" max="2" width="8.7109375" style="34" customWidth="1"/>
    <col min="3" max="3" width="4.5703125" style="34" customWidth="1"/>
    <col min="4" max="4" width="4.85546875" style="34" customWidth="1"/>
    <col min="5" max="5" width="6.85546875" style="34" customWidth="1"/>
    <col min="6" max="6" width="15.42578125" style="34" customWidth="1"/>
    <col min="7" max="7" width="8.28515625" style="34" customWidth="1"/>
    <col min="8" max="8" width="10.85546875" style="34" customWidth="1"/>
    <col min="9" max="9" width="4" style="34" customWidth="1"/>
    <col min="10" max="10" width="3.5703125" style="34" customWidth="1"/>
    <col min="11" max="11" width="7.140625" style="34" customWidth="1"/>
    <col min="12" max="12" width="10" style="34" customWidth="1"/>
    <col min="13" max="13" width="10.140625" style="34" customWidth="1"/>
    <col min="14" max="14" width="10.5703125" style="34" customWidth="1"/>
    <col min="15" max="15" width="5" style="34" customWidth="1"/>
    <col min="16" max="16" width="3.5703125" style="34" customWidth="1"/>
    <col min="17" max="17" width="8.28515625" style="34" customWidth="1"/>
    <col min="18" max="18" width="10" style="34" customWidth="1"/>
    <col min="19" max="19" width="6.85546875" style="34" customWidth="1"/>
    <col min="20" max="20" width="12" style="34" customWidth="1"/>
    <col min="21" max="21" width="3.85546875" style="34" customWidth="1"/>
    <col min="22" max="22" width="3.5703125" style="34" customWidth="1"/>
    <col min="23" max="23" width="7.5703125" style="34" customWidth="1"/>
    <col min="24" max="24" width="10" style="34" customWidth="1"/>
    <col min="25" max="25" width="6.85546875" style="34" customWidth="1"/>
    <col min="26" max="26" width="12.42578125" style="34" customWidth="1"/>
    <col min="27" max="27" width="4.7109375" style="34" customWidth="1"/>
    <col min="28" max="28" width="3.5703125" style="34" customWidth="1"/>
    <col min="29" max="29" width="7.7109375" style="34" customWidth="1"/>
    <col min="30" max="30" width="10.140625" style="34" customWidth="1"/>
    <col min="31" max="31" width="6.85546875" style="34" customWidth="1"/>
    <col min="32" max="32" width="12" style="34" customWidth="1"/>
    <col min="33" max="33" width="4.140625" style="34" customWidth="1"/>
    <col min="34" max="34" width="3.5703125" style="34" customWidth="1"/>
    <col min="35" max="35" width="8.5703125" style="34" customWidth="1"/>
    <col min="36" max="36" width="9.7109375" style="34" customWidth="1"/>
    <col min="37" max="37" width="6.85546875" style="34" customWidth="1"/>
    <col min="38" max="38" width="11.140625" style="34" customWidth="1"/>
    <col min="39" max="39" width="1.28515625" style="34" customWidth="1"/>
    <col min="40" max="40" width="10.5703125" style="1164" customWidth="1"/>
    <col min="41" max="47" width="9.140625" style="1164" customWidth="1"/>
    <col min="48" max="48" width="21.42578125" style="1164" customWidth="1"/>
    <col min="49" max="49" width="9.140625" style="1164"/>
    <col min="50" max="16384" width="9.140625" style="34"/>
  </cols>
  <sheetData>
    <row r="1" spans="1:49" ht="12" thickBot="1" x14ac:dyDescent="0.25">
      <c r="A1" s="1164"/>
      <c r="B1" s="1164"/>
      <c r="C1" s="1165"/>
      <c r="D1" s="1165"/>
      <c r="E1" s="1165"/>
      <c r="F1" s="1165"/>
      <c r="G1" s="1165"/>
      <c r="H1" s="1165"/>
      <c r="I1" s="1165"/>
      <c r="J1" s="1165"/>
      <c r="K1" s="1165"/>
      <c r="L1" s="1165"/>
      <c r="M1" s="1165"/>
      <c r="N1" s="1165"/>
      <c r="O1" s="1165"/>
      <c r="P1" s="1165"/>
      <c r="Q1" s="1165"/>
      <c r="R1" s="1165"/>
      <c r="S1" s="1165"/>
      <c r="T1" s="1165"/>
      <c r="U1" s="1165"/>
      <c r="V1" s="1165"/>
      <c r="W1" s="1165"/>
      <c r="X1" s="1165"/>
      <c r="Y1" s="1165"/>
      <c r="Z1" s="1165"/>
      <c r="AA1" s="1165"/>
      <c r="AB1" s="1165"/>
      <c r="AC1" s="1165"/>
      <c r="AD1" s="1165"/>
      <c r="AE1" s="1165"/>
      <c r="AF1" s="1165"/>
      <c r="AG1" s="1165"/>
      <c r="AH1" s="1165"/>
      <c r="AI1" s="1165"/>
      <c r="AJ1" s="1165"/>
      <c r="AK1" s="1165"/>
      <c r="AL1" s="1165"/>
      <c r="AM1" s="1164"/>
    </row>
    <row r="2" spans="1:49" ht="19.5" customHeight="1" thickBot="1" x14ac:dyDescent="0.3">
      <c r="A2" s="2634" t="str">
        <f>'Borrower Details'!A2 &amp; " - Banking"</f>
        <v>Mortgage-Magnus-Unsecured - Banking</v>
      </c>
      <c r="B2" s="2635"/>
      <c r="C2" s="2635"/>
      <c r="D2" s="2635"/>
      <c r="E2" s="2635"/>
      <c r="F2" s="2635"/>
      <c r="G2" s="2635"/>
      <c r="H2" s="2635"/>
      <c r="I2" s="2635"/>
      <c r="J2" s="2635"/>
      <c r="K2" s="2635"/>
      <c r="L2" s="2635"/>
      <c r="M2" s="2635"/>
      <c r="N2" s="2635"/>
      <c r="O2" s="2635"/>
      <c r="P2" s="2635"/>
      <c r="Q2" s="2635"/>
      <c r="R2" s="2635"/>
      <c r="S2" s="2635"/>
      <c r="T2" s="2635"/>
      <c r="U2" s="2635"/>
      <c r="V2" s="2635"/>
      <c r="W2" s="2635"/>
      <c r="X2" s="2635"/>
      <c r="Y2" s="2635"/>
      <c r="Z2" s="2635"/>
      <c r="AA2" s="2635"/>
      <c r="AB2" s="2635"/>
      <c r="AC2" s="2635"/>
      <c r="AD2" s="2635"/>
      <c r="AE2" s="2635"/>
      <c r="AF2" s="2635"/>
      <c r="AG2" s="2635"/>
      <c r="AH2" s="2635"/>
      <c r="AI2" s="2635"/>
      <c r="AJ2" s="2635"/>
      <c r="AK2" s="2635"/>
      <c r="AL2" s="2636"/>
      <c r="AM2" s="1164"/>
      <c r="AN2" s="2615" t="s">
        <v>420</v>
      </c>
      <c r="AO2" s="2616"/>
      <c r="AP2" s="2616"/>
      <c r="AQ2" s="2616"/>
      <c r="AR2" s="2616"/>
      <c r="AS2" s="2616"/>
      <c r="AT2" s="2616"/>
      <c r="AU2" s="2616"/>
      <c r="AV2" s="2616"/>
      <c r="AW2" s="2616"/>
    </row>
    <row r="3" spans="1:49" ht="12.75" customHeight="1" thickBot="1" x14ac:dyDescent="0.25">
      <c r="A3" s="1385" t="s">
        <v>705</v>
      </c>
      <c r="B3" s="2628" t="s">
        <v>478</v>
      </c>
      <c r="C3" s="2621">
        <v>44348</v>
      </c>
      <c r="D3" s="2622"/>
      <c r="E3" s="2622"/>
      <c r="F3" s="2622"/>
      <c r="G3" s="2622"/>
      <c r="H3" s="2623"/>
      <c r="I3" s="2626">
        <f>EDATE(C3,-1)</f>
        <v>44317</v>
      </c>
      <c r="J3" s="2627"/>
      <c r="K3" s="2627"/>
      <c r="L3" s="2627"/>
      <c r="M3" s="2627"/>
      <c r="N3" s="2627"/>
      <c r="O3" s="2626">
        <f>EDATE(I3,-1)</f>
        <v>44287</v>
      </c>
      <c r="P3" s="2627"/>
      <c r="Q3" s="2627"/>
      <c r="R3" s="2627"/>
      <c r="S3" s="2627"/>
      <c r="T3" s="2627"/>
      <c r="U3" s="2626">
        <f>EDATE(O3,-1)</f>
        <v>44256</v>
      </c>
      <c r="V3" s="2627"/>
      <c r="W3" s="2627"/>
      <c r="X3" s="2627"/>
      <c r="Y3" s="2627"/>
      <c r="Z3" s="2627"/>
      <c r="AA3" s="2626">
        <f>EDATE(U3,-1)</f>
        <v>44228</v>
      </c>
      <c r="AB3" s="2627"/>
      <c r="AC3" s="2627"/>
      <c r="AD3" s="2627"/>
      <c r="AE3" s="2627"/>
      <c r="AF3" s="2627"/>
      <c r="AG3" s="2626">
        <f>EDATE(AA3,-1)</f>
        <v>44197</v>
      </c>
      <c r="AH3" s="2627"/>
      <c r="AI3" s="2627"/>
      <c r="AJ3" s="2627"/>
      <c r="AK3" s="2627"/>
      <c r="AL3" s="2627"/>
      <c r="AM3" s="1164"/>
      <c r="AN3" s="2617"/>
      <c r="AO3" s="2618"/>
      <c r="AP3" s="2618"/>
      <c r="AQ3" s="2618"/>
      <c r="AR3" s="2618"/>
      <c r="AS3" s="2618"/>
      <c r="AT3" s="2618"/>
      <c r="AU3" s="2618"/>
      <c r="AV3" s="2618"/>
      <c r="AW3" s="2618"/>
    </row>
    <row r="4" spans="1:49" ht="34.5" thickBot="1" x14ac:dyDescent="0.25">
      <c r="A4" s="1386" t="s">
        <v>704</v>
      </c>
      <c r="B4" s="2629"/>
      <c r="C4" s="1166" t="s">
        <v>421</v>
      </c>
      <c r="D4" s="1167" t="s">
        <v>423</v>
      </c>
      <c r="E4" s="1167" t="s">
        <v>1088</v>
      </c>
      <c r="F4" s="1167" t="s">
        <v>694</v>
      </c>
      <c r="G4" s="1167" t="s">
        <v>679</v>
      </c>
      <c r="H4" s="1168" t="s">
        <v>477</v>
      </c>
      <c r="I4" s="1166" t="s">
        <v>422</v>
      </c>
      <c r="J4" s="1167" t="s">
        <v>423</v>
      </c>
      <c r="K4" s="1167" t="s">
        <v>1088</v>
      </c>
      <c r="L4" s="1167" t="s">
        <v>695</v>
      </c>
      <c r="M4" s="1167" t="s">
        <v>679</v>
      </c>
      <c r="N4" s="1168" t="s">
        <v>477</v>
      </c>
      <c r="O4" s="1166" t="s">
        <v>422</v>
      </c>
      <c r="P4" s="1167" t="s">
        <v>423</v>
      </c>
      <c r="Q4" s="1167" t="s">
        <v>1088</v>
      </c>
      <c r="R4" s="1167" t="s">
        <v>695</v>
      </c>
      <c r="S4" s="1167" t="s">
        <v>680</v>
      </c>
      <c r="T4" s="1168" t="s">
        <v>477</v>
      </c>
      <c r="U4" s="1166" t="s">
        <v>422</v>
      </c>
      <c r="V4" s="1167" t="s">
        <v>423</v>
      </c>
      <c r="W4" s="1167" t="s">
        <v>1088</v>
      </c>
      <c r="X4" s="1167" t="s">
        <v>696</v>
      </c>
      <c r="Y4" s="1167" t="s">
        <v>680</v>
      </c>
      <c r="Z4" s="1168" t="s">
        <v>477</v>
      </c>
      <c r="AA4" s="1166" t="s">
        <v>422</v>
      </c>
      <c r="AB4" s="1167" t="s">
        <v>423</v>
      </c>
      <c r="AC4" s="1167" t="s">
        <v>1088</v>
      </c>
      <c r="AD4" s="1167" t="s">
        <v>696</v>
      </c>
      <c r="AE4" s="1167" t="s">
        <v>680</v>
      </c>
      <c r="AF4" s="1168" t="s">
        <v>477</v>
      </c>
      <c r="AG4" s="1166" t="s">
        <v>422</v>
      </c>
      <c r="AH4" s="1167" t="s">
        <v>423</v>
      </c>
      <c r="AI4" s="1167" t="s">
        <v>1088</v>
      </c>
      <c r="AJ4" s="1167" t="s">
        <v>696</v>
      </c>
      <c r="AK4" s="1167" t="s">
        <v>680</v>
      </c>
      <c r="AL4" s="1168" t="s">
        <v>477</v>
      </c>
      <c r="AM4" s="1164"/>
      <c r="AN4" s="1169" t="s">
        <v>424</v>
      </c>
      <c r="AO4" s="1170" t="s">
        <v>425</v>
      </c>
      <c r="AP4" s="1222">
        <f>C3</f>
        <v>44348</v>
      </c>
      <c r="AQ4" s="1222">
        <f>I3</f>
        <v>44317</v>
      </c>
      <c r="AR4" s="1222">
        <f>O3</f>
        <v>44287</v>
      </c>
      <c r="AS4" s="1222">
        <f>U3</f>
        <v>44256</v>
      </c>
      <c r="AT4" s="1222">
        <f>AA3</f>
        <v>44228</v>
      </c>
      <c r="AU4" s="1222">
        <f>AG3</f>
        <v>44197</v>
      </c>
      <c r="AV4" s="1170" t="s">
        <v>426</v>
      </c>
      <c r="AW4" s="1171" t="s">
        <v>504</v>
      </c>
    </row>
    <row r="5" spans="1:49" x14ac:dyDescent="0.2">
      <c r="A5" s="1172" t="s">
        <v>3585</v>
      </c>
      <c r="B5" s="1173"/>
      <c r="C5" s="1174">
        <v>0</v>
      </c>
      <c r="D5" s="1175">
        <v>0</v>
      </c>
      <c r="E5" s="1175">
        <v>9</v>
      </c>
      <c r="F5" s="1176">
        <v>118.9799</v>
      </c>
      <c r="G5" s="1177">
        <v>205</v>
      </c>
      <c r="H5" s="1178"/>
      <c r="I5" s="1174">
        <v>0</v>
      </c>
      <c r="J5" s="1175">
        <v>0</v>
      </c>
      <c r="K5" s="1175">
        <v>14</v>
      </c>
      <c r="L5" s="1176">
        <v>88.336465000000004</v>
      </c>
      <c r="M5" s="1177">
        <v>169</v>
      </c>
      <c r="N5" s="1178"/>
      <c r="O5" s="1174">
        <v>0</v>
      </c>
      <c r="P5" s="1175">
        <v>0</v>
      </c>
      <c r="Q5" s="1175">
        <v>19</v>
      </c>
      <c r="R5" s="1176">
        <v>136.56187560000001</v>
      </c>
      <c r="S5" s="1177">
        <v>156</v>
      </c>
      <c r="T5" s="1178"/>
      <c r="U5" s="1174">
        <v>0</v>
      </c>
      <c r="V5" s="1175">
        <v>0</v>
      </c>
      <c r="W5" s="1175">
        <v>25</v>
      </c>
      <c r="X5" s="1176">
        <v>293.44487649999996</v>
      </c>
      <c r="Y5" s="1177">
        <v>231</v>
      </c>
      <c r="Z5" s="1178"/>
      <c r="AA5" s="1174">
        <v>0</v>
      </c>
      <c r="AB5" s="1175">
        <v>0</v>
      </c>
      <c r="AC5" s="1175">
        <v>21</v>
      </c>
      <c r="AD5" s="1176">
        <v>156.58275</v>
      </c>
      <c r="AE5" s="1177">
        <v>153</v>
      </c>
      <c r="AF5" s="1178"/>
      <c r="AG5" s="1174">
        <v>0</v>
      </c>
      <c r="AH5" s="1175">
        <v>0</v>
      </c>
      <c r="AI5" s="1175">
        <v>9</v>
      </c>
      <c r="AJ5" s="1176">
        <v>31.276197700000001</v>
      </c>
      <c r="AK5" s="1177">
        <v>134</v>
      </c>
      <c r="AL5" s="1178"/>
      <c r="AM5" s="1164"/>
      <c r="AN5" s="1179" t="s">
        <v>3594</v>
      </c>
      <c r="AO5" s="1180">
        <v>54850</v>
      </c>
      <c r="AP5" s="1180"/>
      <c r="AQ5" s="1180">
        <v>31</v>
      </c>
      <c r="AR5" s="1180"/>
      <c r="AS5" s="1180"/>
      <c r="AT5" s="1180">
        <v>1</v>
      </c>
      <c r="AU5" s="1180"/>
      <c r="AV5" s="1180" t="s">
        <v>3585</v>
      </c>
      <c r="AW5" s="1181"/>
    </row>
    <row r="6" spans="1:49" x14ac:dyDescent="0.2">
      <c r="A6" s="1182" t="s">
        <v>3595</v>
      </c>
      <c r="B6" s="1183"/>
      <c r="C6" s="1184">
        <v>0</v>
      </c>
      <c r="D6" s="1185">
        <v>0</v>
      </c>
      <c r="E6" s="1185">
        <v>3</v>
      </c>
      <c r="F6" s="1186">
        <v>0.43008949999999996</v>
      </c>
      <c r="G6" s="1187">
        <v>17</v>
      </c>
      <c r="H6" s="1188"/>
      <c r="I6" s="1184">
        <v>0</v>
      </c>
      <c r="J6" s="1185">
        <v>0</v>
      </c>
      <c r="K6" s="1185">
        <v>15</v>
      </c>
      <c r="L6" s="1186">
        <v>0.80338850000000006</v>
      </c>
      <c r="M6" s="1187">
        <v>13</v>
      </c>
      <c r="N6" s="1188"/>
      <c r="O6" s="1184">
        <v>0</v>
      </c>
      <c r="P6" s="1185">
        <v>0</v>
      </c>
      <c r="Q6" s="1185">
        <v>19</v>
      </c>
      <c r="R6" s="1186">
        <v>1.9729129000000001</v>
      </c>
      <c r="S6" s="1187">
        <v>25</v>
      </c>
      <c r="T6" s="1188"/>
      <c r="U6" s="1184">
        <v>0</v>
      </c>
      <c r="V6" s="1185">
        <v>0</v>
      </c>
      <c r="W6" s="1185">
        <v>29</v>
      </c>
      <c r="X6" s="1186">
        <v>2.0251201000000001</v>
      </c>
      <c r="Y6" s="1187">
        <v>31</v>
      </c>
      <c r="Z6" s="1188"/>
      <c r="AA6" s="1184">
        <v>0</v>
      </c>
      <c r="AB6" s="1185">
        <v>0</v>
      </c>
      <c r="AC6" s="1185">
        <v>24</v>
      </c>
      <c r="AD6" s="1186">
        <v>1.24214</v>
      </c>
      <c r="AE6" s="1187">
        <v>15</v>
      </c>
      <c r="AF6" s="1188"/>
      <c r="AG6" s="1184">
        <v>0</v>
      </c>
      <c r="AH6" s="1185">
        <v>0</v>
      </c>
      <c r="AI6" s="1185">
        <v>20</v>
      </c>
      <c r="AJ6" s="1186">
        <v>2.0768226000000003</v>
      </c>
      <c r="AK6" s="1187">
        <v>28</v>
      </c>
      <c r="AL6" s="1188"/>
      <c r="AM6" s="1164"/>
      <c r="AN6" s="1189" t="s">
        <v>3594</v>
      </c>
      <c r="AO6" s="1190">
        <v>49554</v>
      </c>
      <c r="AP6" s="1190"/>
      <c r="AQ6" s="1190"/>
      <c r="AR6" s="1190"/>
      <c r="AS6" s="1190"/>
      <c r="AT6" s="1190">
        <v>26</v>
      </c>
      <c r="AU6" s="1190"/>
      <c r="AV6" s="1190" t="s">
        <v>3585</v>
      </c>
      <c r="AW6" s="1191"/>
    </row>
    <row r="7" spans="1:49" x14ac:dyDescent="0.2">
      <c r="A7" s="1192" t="s">
        <v>3596</v>
      </c>
      <c r="B7" s="1193"/>
      <c r="C7" s="1184">
        <v>0</v>
      </c>
      <c r="D7" s="1185">
        <v>0</v>
      </c>
      <c r="E7" s="1185">
        <v>1</v>
      </c>
      <c r="F7" s="1186">
        <v>2.1239999999999998E-2</v>
      </c>
      <c r="G7" s="1185">
        <v>9</v>
      </c>
      <c r="H7" s="1188"/>
      <c r="I7" s="1184">
        <v>0</v>
      </c>
      <c r="J7" s="1185">
        <v>0</v>
      </c>
      <c r="K7" s="1185">
        <v>5</v>
      </c>
      <c r="L7" s="1186">
        <v>3.6105967999999997</v>
      </c>
      <c r="M7" s="1185">
        <v>12</v>
      </c>
      <c r="N7" s="1188"/>
      <c r="O7" s="1184">
        <v>0</v>
      </c>
      <c r="P7" s="1185">
        <v>0</v>
      </c>
      <c r="Q7" s="1185">
        <v>4</v>
      </c>
      <c r="R7" s="1186">
        <v>3.4217300000000002</v>
      </c>
      <c r="S7" s="1185">
        <v>13</v>
      </c>
      <c r="T7" s="1188"/>
      <c r="U7" s="1184">
        <v>0</v>
      </c>
      <c r="V7" s="1185">
        <v>0</v>
      </c>
      <c r="W7" s="1185">
        <v>7</v>
      </c>
      <c r="X7" s="1186">
        <v>9.8076650000000001</v>
      </c>
      <c r="Y7" s="1185">
        <v>21</v>
      </c>
      <c r="Z7" s="1188"/>
      <c r="AA7" s="1184">
        <v>0</v>
      </c>
      <c r="AB7" s="1185">
        <v>0</v>
      </c>
      <c r="AC7" s="1185">
        <v>9</v>
      </c>
      <c r="AD7" s="1186">
        <v>35.667769999999997</v>
      </c>
      <c r="AE7" s="1185">
        <v>19</v>
      </c>
      <c r="AF7" s="1188"/>
      <c r="AG7" s="1184">
        <v>0</v>
      </c>
      <c r="AH7" s="1185">
        <v>0</v>
      </c>
      <c r="AI7" s="1185">
        <v>3</v>
      </c>
      <c r="AJ7" s="1186">
        <v>21.771489199999998</v>
      </c>
      <c r="AK7" s="1185">
        <v>19</v>
      </c>
      <c r="AL7" s="1188"/>
      <c r="AM7" s="1164"/>
      <c r="AN7" s="1189" t="s">
        <v>3594</v>
      </c>
      <c r="AO7" s="1190">
        <v>54827</v>
      </c>
      <c r="AP7" s="1190"/>
      <c r="AQ7" s="1190"/>
      <c r="AR7" s="1190"/>
      <c r="AS7" s="1190">
        <v>31</v>
      </c>
      <c r="AT7" s="1190"/>
      <c r="AU7" s="1190"/>
      <c r="AV7" s="1190" t="s">
        <v>3585</v>
      </c>
      <c r="AW7" s="1191"/>
    </row>
    <row r="8" spans="1:49" x14ac:dyDescent="0.2">
      <c r="A8" s="1182"/>
      <c r="B8" s="1183"/>
      <c r="C8" s="1184"/>
      <c r="D8" s="1185"/>
      <c r="E8" s="1185"/>
      <c r="F8" s="1186"/>
      <c r="G8" s="1185"/>
      <c r="H8" s="1188"/>
      <c r="I8" s="1184"/>
      <c r="J8" s="1185"/>
      <c r="K8" s="1185"/>
      <c r="L8" s="1186"/>
      <c r="M8" s="1185"/>
      <c r="N8" s="1188"/>
      <c r="O8" s="1184"/>
      <c r="P8" s="1185"/>
      <c r="Q8" s="1185"/>
      <c r="R8" s="1186"/>
      <c r="S8" s="1185"/>
      <c r="T8" s="1188"/>
      <c r="U8" s="1184"/>
      <c r="V8" s="1185"/>
      <c r="W8" s="1185"/>
      <c r="X8" s="1186"/>
      <c r="Y8" s="1185"/>
      <c r="Z8" s="1188"/>
      <c r="AA8" s="1184"/>
      <c r="AB8" s="1185"/>
      <c r="AC8" s="1185"/>
      <c r="AD8" s="1186"/>
      <c r="AE8" s="1185"/>
      <c r="AF8" s="1188"/>
      <c r="AG8" s="1184"/>
      <c r="AH8" s="1185"/>
      <c r="AI8" s="1185"/>
      <c r="AJ8" s="1186"/>
      <c r="AK8" s="1185"/>
      <c r="AL8" s="1188"/>
      <c r="AM8" s="1164"/>
      <c r="AN8" s="1189" t="s">
        <v>3594</v>
      </c>
      <c r="AO8" s="1190">
        <v>53080</v>
      </c>
      <c r="AP8" s="1190">
        <v>30</v>
      </c>
      <c r="AQ8" s="1190"/>
      <c r="AR8" s="1190">
        <v>30</v>
      </c>
      <c r="AS8" s="1190"/>
      <c r="AT8" s="1190"/>
      <c r="AU8" s="1190"/>
      <c r="AV8" s="1190" t="s">
        <v>3585</v>
      </c>
      <c r="AW8" s="1191"/>
    </row>
    <row r="9" spans="1:49" x14ac:dyDescent="0.2">
      <c r="A9" s="1192"/>
      <c r="B9" s="1193"/>
      <c r="C9" s="1184"/>
      <c r="D9" s="1185"/>
      <c r="E9" s="1185"/>
      <c r="F9" s="1186"/>
      <c r="G9" s="1185"/>
      <c r="H9" s="1188"/>
      <c r="I9" s="1184"/>
      <c r="J9" s="1185"/>
      <c r="K9" s="1185"/>
      <c r="L9" s="1186"/>
      <c r="M9" s="1185"/>
      <c r="N9" s="1188"/>
      <c r="O9" s="1184"/>
      <c r="P9" s="1185"/>
      <c r="Q9" s="1185"/>
      <c r="R9" s="1186"/>
      <c r="S9" s="1185"/>
      <c r="T9" s="1188"/>
      <c r="U9" s="1184"/>
      <c r="V9" s="1185"/>
      <c r="W9" s="1185"/>
      <c r="X9" s="1186"/>
      <c r="Y9" s="1185"/>
      <c r="Z9" s="1188"/>
      <c r="AA9" s="1184"/>
      <c r="AB9" s="1185"/>
      <c r="AC9" s="1185"/>
      <c r="AD9" s="1186"/>
      <c r="AE9" s="1185"/>
      <c r="AF9" s="1188"/>
      <c r="AG9" s="1184"/>
      <c r="AH9" s="1185"/>
      <c r="AI9" s="1185"/>
      <c r="AJ9" s="1186"/>
      <c r="AK9" s="1185"/>
      <c r="AL9" s="1188"/>
      <c r="AM9" s="1164"/>
      <c r="AN9" s="1189"/>
      <c r="AO9" s="1190"/>
      <c r="AP9" s="1190"/>
      <c r="AQ9" s="1190"/>
      <c r="AR9" s="1190"/>
      <c r="AS9" s="1190"/>
      <c r="AT9" s="1190"/>
      <c r="AU9" s="1190"/>
      <c r="AV9" s="1190"/>
      <c r="AW9" s="1191"/>
    </row>
    <row r="10" spans="1:49" x14ac:dyDescent="0.2">
      <c r="A10" s="1182"/>
      <c r="B10" s="1183"/>
      <c r="C10" s="1184"/>
      <c r="D10" s="1185"/>
      <c r="E10" s="1185"/>
      <c r="F10" s="1186"/>
      <c r="G10" s="1185"/>
      <c r="H10" s="1188"/>
      <c r="I10" s="1184"/>
      <c r="J10" s="1185"/>
      <c r="K10" s="1185"/>
      <c r="L10" s="1186"/>
      <c r="M10" s="1185"/>
      <c r="N10" s="1188"/>
      <c r="O10" s="1184"/>
      <c r="P10" s="1185"/>
      <c r="Q10" s="1185"/>
      <c r="R10" s="1186"/>
      <c r="S10" s="1185"/>
      <c r="T10" s="1188"/>
      <c r="U10" s="1184"/>
      <c r="V10" s="1185"/>
      <c r="W10" s="1185"/>
      <c r="X10" s="1186"/>
      <c r="Y10" s="1185"/>
      <c r="Z10" s="1188"/>
      <c r="AA10" s="1184"/>
      <c r="AB10" s="1185"/>
      <c r="AC10" s="1185"/>
      <c r="AD10" s="1186"/>
      <c r="AE10" s="1185"/>
      <c r="AF10" s="1188"/>
      <c r="AG10" s="1184"/>
      <c r="AH10" s="1185"/>
      <c r="AI10" s="1185"/>
      <c r="AJ10" s="1186"/>
      <c r="AK10" s="1185"/>
      <c r="AL10" s="1188"/>
      <c r="AM10" s="1164"/>
      <c r="AN10" s="1189"/>
      <c r="AO10" s="1190"/>
      <c r="AP10" s="1190"/>
      <c r="AQ10" s="1190"/>
      <c r="AR10" s="1190"/>
      <c r="AS10" s="1190"/>
      <c r="AT10" s="1190"/>
      <c r="AU10" s="1190"/>
      <c r="AV10" s="1190"/>
      <c r="AW10" s="1191"/>
    </row>
    <row r="11" spans="1:49" x14ac:dyDescent="0.2">
      <c r="A11" s="1192"/>
      <c r="B11" s="1193"/>
      <c r="C11" s="1184"/>
      <c r="D11" s="1185"/>
      <c r="E11" s="1185"/>
      <c r="F11" s="1186"/>
      <c r="G11" s="1185"/>
      <c r="H11" s="1188"/>
      <c r="I11" s="1184"/>
      <c r="J11" s="1185"/>
      <c r="K11" s="1185"/>
      <c r="L11" s="1186"/>
      <c r="M11" s="1185"/>
      <c r="N11" s="1188"/>
      <c r="O11" s="1184"/>
      <c r="P11" s="1185"/>
      <c r="Q11" s="1185"/>
      <c r="R11" s="1186"/>
      <c r="S11" s="1185"/>
      <c r="T11" s="1188"/>
      <c r="U11" s="1184"/>
      <c r="V11" s="1185"/>
      <c r="W11" s="1185"/>
      <c r="X11" s="1186"/>
      <c r="Y11" s="1185"/>
      <c r="Z11" s="1188"/>
      <c r="AA11" s="1184"/>
      <c r="AB11" s="1185"/>
      <c r="AC11" s="1185"/>
      <c r="AD11" s="1186"/>
      <c r="AE11" s="1185"/>
      <c r="AF11" s="1188"/>
      <c r="AG11" s="1184"/>
      <c r="AH11" s="1185"/>
      <c r="AI11" s="1185"/>
      <c r="AJ11" s="1186"/>
      <c r="AK11" s="1185"/>
      <c r="AL11" s="1188"/>
      <c r="AM11" s="1164"/>
      <c r="AN11" s="1189"/>
      <c r="AO11" s="1190"/>
      <c r="AP11" s="1190"/>
      <c r="AQ11" s="1190"/>
      <c r="AR11" s="1190"/>
      <c r="AS11" s="1190"/>
      <c r="AT11" s="1190"/>
      <c r="AU11" s="1190"/>
      <c r="AV11" s="1190"/>
      <c r="AW11" s="1191"/>
    </row>
    <row r="12" spans="1:49" x14ac:dyDescent="0.2">
      <c r="A12" s="1182"/>
      <c r="B12" s="1183"/>
      <c r="C12" s="1184"/>
      <c r="D12" s="1185"/>
      <c r="E12" s="1185"/>
      <c r="F12" s="1186"/>
      <c r="G12" s="1185"/>
      <c r="H12" s="1188"/>
      <c r="I12" s="1184"/>
      <c r="J12" s="1185"/>
      <c r="K12" s="1185"/>
      <c r="L12" s="1186"/>
      <c r="M12" s="1185"/>
      <c r="N12" s="1188"/>
      <c r="O12" s="1184"/>
      <c r="P12" s="1185"/>
      <c r="Q12" s="1185"/>
      <c r="R12" s="1186"/>
      <c r="S12" s="1185"/>
      <c r="T12" s="1188"/>
      <c r="U12" s="1184"/>
      <c r="V12" s="1185"/>
      <c r="W12" s="1185"/>
      <c r="X12" s="1186"/>
      <c r="Y12" s="1185"/>
      <c r="Z12" s="1188"/>
      <c r="AA12" s="1184"/>
      <c r="AB12" s="1185"/>
      <c r="AC12" s="1185"/>
      <c r="AD12" s="1186"/>
      <c r="AE12" s="1185"/>
      <c r="AF12" s="1188"/>
      <c r="AG12" s="1184"/>
      <c r="AH12" s="1185"/>
      <c r="AI12" s="1185"/>
      <c r="AJ12" s="1186"/>
      <c r="AK12" s="1185"/>
      <c r="AL12" s="1188"/>
      <c r="AM12" s="1164"/>
      <c r="AN12" s="1189"/>
      <c r="AO12" s="1190"/>
      <c r="AP12" s="1190"/>
      <c r="AQ12" s="1190"/>
      <c r="AR12" s="1190"/>
      <c r="AS12" s="1190"/>
      <c r="AT12" s="1190"/>
      <c r="AU12" s="1190"/>
      <c r="AV12" s="1190"/>
      <c r="AW12" s="1191"/>
    </row>
    <row r="13" spans="1:49" ht="12" thickBot="1" x14ac:dyDescent="0.25">
      <c r="A13" s="1194"/>
      <c r="B13" s="1195"/>
      <c r="C13" s="1196"/>
      <c r="D13" s="1197"/>
      <c r="E13" s="1197"/>
      <c r="F13" s="1198"/>
      <c r="G13" s="1197"/>
      <c r="H13" s="1199"/>
      <c r="I13" s="1196"/>
      <c r="J13" s="1197"/>
      <c r="K13" s="1197"/>
      <c r="L13" s="1198"/>
      <c r="M13" s="1197"/>
      <c r="N13" s="1199"/>
      <c r="O13" s="1196"/>
      <c r="P13" s="1197"/>
      <c r="Q13" s="1197"/>
      <c r="R13" s="1198"/>
      <c r="S13" s="1197"/>
      <c r="T13" s="1199"/>
      <c r="U13" s="1196"/>
      <c r="V13" s="1197"/>
      <c r="W13" s="1197"/>
      <c r="X13" s="1198"/>
      <c r="Y13" s="1197"/>
      <c r="Z13" s="1199"/>
      <c r="AA13" s="1196"/>
      <c r="AB13" s="1197"/>
      <c r="AC13" s="1197"/>
      <c r="AD13" s="1198"/>
      <c r="AE13" s="1197"/>
      <c r="AF13" s="1199"/>
      <c r="AG13" s="1196"/>
      <c r="AH13" s="1197"/>
      <c r="AI13" s="1197"/>
      <c r="AJ13" s="1198"/>
      <c r="AK13" s="1197"/>
      <c r="AL13" s="1199"/>
      <c r="AM13" s="1164"/>
      <c r="AN13" s="1200"/>
      <c r="AO13" s="1201"/>
      <c r="AP13" s="1201"/>
      <c r="AQ13" s="1201"/>
      <c r="AR13" s="1201"/>
      <c r="AS13" s="1201"/>
      <c r="AT13" s="1201"/>
      <c r="AU13" s="1201"/>
      <c r="AV13" s="1201"/>
      <c r="AW13" s="1202"/>
    </row>
    <row r="14" spans="1:49" ht="12" thickBot="1" x14ac:dyDescent="0.25">
      <c r="A14" s="1203" t="s">
        <v>26</v>
      </c>
      <c r="B14" s="1204"/>
      <c r="C14" s="1223">
        <f>SUM(C5:C13)</f>
        <v>0</v>
      </c>
      <c r="D14" s="1223">
        <f t="shared" ref="D14:AL14" si="0">SUM(D5:D13)</f>
        <v>0</v>
      </c>
      <c r="E14" s="1223">
        <f t="shared" si="0"/>
        <v>13</v>
      </c>
      <c r="F14" s="1223">
        <f t="shared" si="0"/>
        <v>119.4312295</v>
      </c>
      <c r="G14" s="1223">
        <f t="shared" si="0"/>
        <v>231</v>
      </c>
      <c r="H14" s="1223">
        <f t="shared" si="0"/>
        <v>0</v>
      </c>
      <c r="I14" s="1223">
        <f t="shared" si="0"/>
        <v>0</v>
      </c>
      <c r="J14" s="1223">
        <f t="shared" si="0"/>
        <v>0</v>
      </c>
      <c r="K14" s="1223">
        <f t="shared" si="0"/>
        <v>34</v>
      </c>
      <c r="L14" s="1223">
        <f t="shared" si="0"/>
        <v>92.750450299999997</v>
      </c>
      <c r="M14" s="1223">
        <f t="shared" si="0"/>
        <v>194</v>
      </c>
      <c r="N14" s="1223">
        <f t="shared" si="0"/>
        <v>0</v>
      </c>
      <c r="O14" s="1223">
        <f t="shared" si="0"/>
        <v>0</v>
      </c>
      <c r="P14" s="1223">
        <f t="shared" si="0"/>
        <v>0</v>
      </c>
      <c r="Q14" s="1223">
        <f t="shared" si="0"/>
        <v>42</v>
      </c>
      <c r="R14" s="1223">
        <f t="shared" si="0"/>
        <v>141.95651850000002</v>
      </c>
      <c r="S14" s="1223">
        <f t="shared" si="0"/>
        <v>194</v>
      </c>
      <c r="T14" s="1223">
        <f t="shared" si="0"/>
        <v>0</v>
      </c>
      <c r="U14" s="1223">
        <f t="shared" si="0"/>
        <v>0</v>
      </c>
      <c r="V14" s="1223">
        <f t="shared" si="0"/>
        <v>0</v>
      </c>
      <c r="W14" s="1223">
        <f t="shared" si="0"/>
        <v>61</v>
      </c>
      <c r="X14" s="1223">
        <f t="shared" si="0"/>
        <v>305.27766159999993</v>
      </c>
      <c r="Y14" s="1223">
        <f t="shared" si="0"/>
        <v>283</v>
      </c>
      <c r="Z14" s="1223">
        <f t="shared" si="0"/>
        <v>0</v>
      </c>
      <c r="AA14" s="1223">
        <f t="shared" si="0"/>
        <v>0</v>
      </c>
      <c r="AB14" s="1223">
        <f t="shared" si="0"/>
        <v>0</v>
      </c>
      <c r="AC14" s="1223">
        <f t="shared" si="0"/>
        <v>54</v>
      </c>
      <c r="AD14" s="1223">
        <f t="shared" si="0"/>
        <v>193.49266</v>
      </c>
      <c r="AE14" s="1223">
        <f t="shared" si="0"/>
        <v>187</v>
      </c>
      <c r="AF14" s="1223">
        <f t="shared" si="0"/>
        <v>0</v>
      </c>
      <c r="AG14" s="1223">
        <f t="shared" si="0"/>
        <v>0</v>
      </c>
      <c r="AH14" s="1223">
        <f t="shared" si="0"/>
        <v>0</v>
      </c>
      <c r="AI14" s="1223">
        <f t="shared" si="0"/>
        <v>32</v>
      </c>
      <c r="AJ14" s="1223">
        <f t="shared" si="0"/>
        <v>55.124509500000002</v>
      </c>
      <c r="AK14" s="1223">
        <f t="shared" si="0"/>
        <v>181</v>
      </c>
      <c r="AL14" s="1223">
        <f t="shared" si="0"/>
        <v>0</v>
      </c>
      <c r="AM14" s="1164"/>
      <c r="AN14" s="1205"/>
      <c r="AO14" s="1206"/>
      <c r="AP14" s="1206"/>
      <c r="AQ14" s="1206"/>
      <c r="AR14" s="1206"/>
      <c r="AS14" s="1206"/>
      <c r="AT14" s="1206"/>
      <c r="AU14" s="1206"/>
      <c r="AV14" s="1206"/>
      <c r="AW14" s="1207"/>
    </row>
    <row r="15" spans="1:49" s="36" customFormat="1" ht="12" x14ac:dyDescent="0.2">
      <c r="A15" s="1208"/>
      <c r="B15" s="1208"/>
      <c r="C15" s="1209"/>
      <c r="D15" s="1209"/>
      <c r="E15" s="1209"/>
      <c r="F15" s="1209" t="s">
        <v>180</v>
      </c>
      <c r="G15" s="1209"/>
      <c r="H15" s="1209"/>
      <c r="I15" s="1209"/>
      <c r="J15" s="1209"/>
      <c r="K15" s="1209"/>
      <c r="L15" s="1209" t="s">
        <v>180</v>
      </c>
      <c r="M15" s="1209"/>
      <c r="N15" s="1209"/>
      <c r="O15" s="1209"/>
      <c r="P15" s="1209"/>
      <c r="Q15" s="1209"/>
      <c r="R15" s="1209" t="s">
        <v>180</v>
      </c>
      <c r="S15" s="1209"/>
      <c r="T15" s="1209"/>
      <c r="U15" s="1209"/>
      <c r="V15" s="1209"/>
      <c r="W15" s="1209"/>
      <c r="X15" s="1209" t="s">
        <v>180</v>
      </c>
      <c r="Y15" s="1209"/>
      <c r="Z15" s="1209"/>
      <c r="AA15" s="1209"/>
      <c r="AB15" s="1209"/>
      <c r="AC15" s="1209"/>
      <c r="AD15" s="1209" t="s">
        <v>180</v>
      </c>
      <c r="AE15" s="1209"/>
      <c r="AF15" s="1209"/>
      <c r="AG15" s="1209"/>
      <c r="AH15" s="1209"/>
      <c r="AI15" s="1209"/>
      <c r="AJ15" s="1209" t="s">
        <v>180</v>
      </c>
      <c r="AK15" s="1210"/>
      <c r="AL15" s="1210"/>
      <c r="AM15" s="1211"/>
      <c r="AN15" s="1212"/>
      <c r="AO15" s="1212"/>
      <c r="AP15" s="1212"/>
      <c r="AQ15" s="1212"/>
      <c r="AR15" s="1212"/>
      <c r="AS15" s="1212"/>
      <c r="AT15" s="1212"/>
      <c r="AU15" s="1212"/>
      <c r="AV15" s="1212"/>
      <c r="AW15" s="1211"/>
    </row>
    <row r="16" spans="1:49" s="35" customFormat="1" ht="12.75" thickBot="1" x14ac:dyDescent="0.25">
      <c r="A16" s="1212"/>
      <c r="B16" s="1212"/>
      <c r="C16" s="1213"/>
      <c r="D16" s="1213"/>
      <c r="E16" s="1213"/>
      <c r="F16" s="1213"/>
      <c r="G16" s="1213"/>
      <c r="H16" s="1213"/>
      <c r="I16" s="121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2"/>
      <c r="AJ16" s="1212"/>
      <c r="AK16" s="1212"/>
      <c r="AL16" s="1212"/>
      <c r="AM16" s="1212"/>
      <c r="AN16" s="1212"/>
      <c r="AO16" s="1212"/>
      <c r="AP16" s="1212"/>
      <c r="AQ16" s="1212"/>
      <c r="AR16" s="1212"/>
      <c r="AS16" s="1212"/>
      <c r="AT16" s="1212"/>
      <c r="AU16" s="1212"/>
      <c r="AV16" s="1212"/>
      <c r="AW16" s="1212"/>
    </row>
    <row r="17" spans="1:49" s="35" customFormat="1" ht="16.5" thickBot="1" x14ac:dyDescent="0.3">
      <c r="A17" s="1212"/>
      <c r="B17" s="2637" t="s">
        <v>204</v>
      </c>
      <c r="C17" s="2638"/>
      <c r="D17" s="2638"/>
      <c r="E17" s="2638"/>
      <c r="F17" s="2638"/>
      <c r="G17" s="2638"/>
      <c r="H17" s="2639"/>
      <c r="I17" s="1213"/>
      <c r="J17" s="1213"/>
      <c r="K17" s="1213"/>
      <c r="L17" s="1213"/>
      <c r="M17" s="1213"/>
      <c r="N17" s="1213"/>
      <c r="O17" s="1213"/>
      <c r="P17" s="1213"/>
      <c r="Q17" s="1213"/>
      <c r="R17" s="1213"/>
      <c r="S17" s="1213"/>
      <c r="T17" s="1213"/>
      <c r="U17" s="1213"/>
      <c r="V17" s="1213"/>
      <c r="W17" s="1213"/>
      <c r="X17" s="1213"/>
      <c r="Y17" s="1213"/>
      <c r="Z17" s="1213"/>
      <c r="AA17" s="1213"/>
      <c r="AB17" s="1213"/>
      <c r="AC17" s="1213"/>
      <c r="AD17" s="1213"/>
      <c r="AE17" s="1213"/>
      <c r="AF17" s="1213"/>
      <c r="AG17" s="1213"/>
      <c r="AH17" s="1213"/>
      <c r="AI17" s="1212"/>
      <c r="AJ17" s="1212"/>
      <c r="AK17" s="1212"/>
      <c r="AL17" s="1212"/>
      <c r="AM17" s="1212"/>
      <c r="AN17" s="1212"/>
      <c r="AO17" s="1212"/>
      <c r="AP17" s="1212"/>
      <c r="AQ17" s="1212"/>
      <c r="AR17" s="1212"/>
      <c r="AS17" s="1212"/>
      <c r="AT17" s="1212"/>
      <c r="AU17" s="1212"/>
      <c r="AV17" s="1212"/>
      <c r="AW17" s="1212"/>
    </row>
    <row r="18" spans="1:49" s="35" customFormat="1" ht="12" customHeight="1" x14ac:dyDescent="0.2">
      <c r="A18" s="1212"/>
      <c r="B18" s="2619" t="s">
        <v>612</v>
      </c>
      <c r="C18" s="2624" t="s">
        <v>1838</v>
      </c>
      <c r="D18" s="2624" t="s">
        <v>300</v>
      </c>
      <c r="E18" s="2624" t="s">
        <v>681</v>
      </c>
      <c r="F18" s="2624" t="s">
        <v>1088</v>
      </c>
      <c r="G18" s="2630" t="s">
        <v>299</v>
      </c>
      <c r="H18" s="2631"/>
      <c r="I18" s="1214"/>
      <c r="J18" s="1212"/>
      <c r="K18" s="1213"/>
      <c r="L18" s="1213"/>
      <c r="M18" s="1213"/>
      <c r="N18" s="1213"/>
      <c r="O18" s="1213"/>
      <c r="P18" s="1213"/>
      <c r="Q18" s="1212"/>
      <c r="R18" s="1212"/>
      <c r="S18" s="1212"/>
      <c r="T18" s="1212"/>
      <c r="U18" s="1212"/>
      <c r="V18" s="1212"/>
      <c r="W18" s="1212"/>
      <c r="X18" s="1212"/>
      <c r="Y18" s="1212"/>
      <c r="Z18" s="1213"/>
      <c r="AA18" s="1213"/>
      <c r="AB18" s="1213"/>
      <c r="AC18" s="1213"/>
      <c r="AD18" s="1213"/>
      <c r="AE18" s="1213"/>
      <c r="AF18" s="1213"/>
      <c r="AG18" s="1213"/>
      <c r="AH18" s="1212"/>
      <c r="AI18" s="1212"/>
      <c r="AJ18" s="1212"/>
      <c r="AK18" s="1212"/>
      <c r="AL18" s="1212"/>
      <c r="AM18" s="1212"/>
      <c r="AN18" s="1212"/>
      <c r="AO18" s="1212"/>
      <c r="AP18" s="1212"/>
      <c r="AQ18" s="1212"/>
      <c r="AR18" s="1212"/>
      <c r="AS18" s="1212"/>
      <c r="AT18" s="1212"/>
      <c r="AU18" s="1212"/>
      <c r="AV18" s="1212"/>
      <c r="AW18" s="1212"/>
    </row>
    <row r="19" spans="1:49" ht="11.25" customHeight="1" thickBot="1" x14ac:dyDescent="0.25">
      <c r="A19" s="1164"/>
      <c r="B19" s="2620"/>
      <c r="C19" s="2625"/>
      <c r="D19" s="2625"/>
      <c r="E19" s="2625"/>
      <c r="F19" s="2625"/>
      <c r="G19" s="2632"/>
      <c r="H19" s="2633"/>
      <c r="I19" s="1214"/>
      <c r="J19" s="1164"/>
      <c r="K19" s="1213"/>
      <c r="L19" s="1213"/>
      <c r="M19" s="1164"/>
      <c r="N19" s="1164"/>
      <c r="O19" s="1164"/>
      <c r="P19" s="1164"/>
      <c r="Q19" s="1164"/>
      <c r="R19" s="1164"/>
      <c r="S19" s="1164"/>
      <c r="T19" s="1164"/>
      <c r="U19" s="1164"/>
      <c r="V19" s="1164"/>
      <c r="W19" s="1164"/>
      <c r="X19" s="1164"/>
      <c r="Y19" s="1164"/>
      <c r="Z19" s="1164"/>
      <c r="AA19" s="1164"/>
      <c r="AB19" s="1164"/>
      <c r="AC19" s="1164"/>
      <c r="AD19" s="1164"/>
      <c r="AE19" s="1164"/>
      <c r="AF19" s="1164"/>
      <c r="AG19" s="1164"/>
      <c r="AH19" s="1164"/>
      <c r="AI19" s="1212"/>
      <c r="AJ19" s="1212"/>
      <c r="AK19" s="1212"/>
      <c r="AL19" s="1212"/>
      <c r="AM19" s="1212"/>
      <c r="AN19" s="1212"/>
      <c r="AO19" s="1212"/>
      <c r="AP19" s="1212"/>
      <c r="AQ19" s="1212"/>
      <c r="AR19" s="1212"/>
      <c r="AS19" s="1212"/>
      <c r="AT19" s="1212"/>
      <c r="AU19" s="1212"/>
      <c r="AV19" s="1212"/>
      <c r="AW19" s="1212"/>
    </row>
    <row r="20" spans="1:49" s="35" customFormat="1" ht="12.75" customHeight="1" x14ac:dyDescent="0.2">
      <c r="A20" s="1212"/>
      <c r="B20" s="1228">
        <f>+C3</f>
        <v>44348</v>
      </c>
      <c r="C20" s="1224">
        <f>D14</f>
        <v>0</v>
      </c>
      <c r="D20" s="1224">
        <f>C14</f>
        <v>0</v>
      </c>
      <c r="E20" s="507">
        <f>G14</f>
        <v>231</v>
      </c>
      <c r="F20" s="507">
        <f>E14</f>
        <v>13</v>
      </c>
      <c r="G20" s="2605">
        <f>+F14</f>
        <v>119.4312295</v>
      </c>
      <c r="H20" s="2606"/>
      <c r="I20" s="1215"/>
      <c r="J20" s="1213"/>
      <c r="K20" s="1213"/>
      <c r="L20" s="1213"/>
      <c r="M20" s="1213"/>
      <c r="N20" s="1213"/>
      <c r="O20" s="1213"/>
      <c r="P20" s="1213"/>
      <c r="Q20" s="1212"/>
      <c r="R20" s="1212"/>
      <c r="S20" s="1212"/>
      <c r="T20" s="1212"/>
      <c r="U20" s="1212"/>
      <c r="V20" s="1212"/>
      <c r="W20" s="1212"/>
      <c r="X20" s="1212"/>
      <c r="Y20" s="1212"/>
      <c r="Z20" s="1213"/>
      <c r="AA20" s="1213"/>
      <c r="AB20" s="1213"/>
      <c r="AC20" s="1213"/>
      <c r="AD20" s="1213"/>
      <c r="AE20" s="1213"/>
      <c r="AF20" s="1213"/>
      <c r="AG20" s="1213"/>
      <c r="AH20" s="1212"/>
      <c r="AI20" s="1164"/>
      <c r="AJ20" s="1164"/>
      <c r="AK20" s="1164"/>
      <c r="AL20" s="1164"/>
      <c r="AM20" s="1164"/>
      <c r="AN20" s="1164"/>
      <c r="AO20" s="1164"/>
      <c r="AP20" s="1164"/>
      <c r="AQ20" s="1164"/>
      <c r="AR20" s="1164"/>
      <c r="AS20" s="1164"/>
      <c r="AT20" s="1164"/>
      <c r="AU20" s="1164"/>
      <c r="AV20" s="1164"/>
      <c r="AW20" s="1164"/>
    </row>
    <row r="21" spans="1:49" s="35" customFormat="1" ht="12.75" customHeight="1" x14ac:dyDescent="0.2">
      <c r="A21" s="1212"/>
      <c r="B21" s="1229">
        <f>+I3</f>
        <v>44317</v>
      </c>
      <c r="C21" s="1225">
        <f>J14</f>
        <v>0</v>
      </c>
      <c r="D21" s="1225">
        <f>I14</f>
        <v>0</v>
      </c>
      <c r="E21" s="508">
        <f>M14</f>
        <v>194</v>
      </c>
      <c r="F21" s="508">
        <f>K14</f>
        <v>34</v>
      </c>
      <c r="G21" s="2607">
        <f>+L14</f>
        <v>92.750450299999997</v>
      </c>
      <c r="H21" s="2608"/>
      <c r="I21" s="1215"/>
      <c r="J21" s="1213"/>
      <c r="K21" s="1213"/>
      <c r="L21" s="1213"/>
      <c r="M21" s="1213"/>
      <c r="N21" s="1213"/>
      <c r="O21" s="1213"/>
      <c r="P21" s="1213"/>
      <c r="Q21" s="1212"/>
      <c r="R21" s="1212"/>
      <c r="S21" s="1212"/>
      <c r="T21" s="1212"/>
      <c r="U21" s="1212"/>
      <c r="V21" s="1212"/>
      <c r="W21" s="1212"/>
      <c r="X21" s="1212"/>
      <c r="Y21" s="1212"/>
      <c r="Z21" s="1213"/>
      <c r="AA21" s="1213"/>
      <c r="AB21" s="1213"/>
      <c r="AC21" s="1213"/>
      <c r="AD21" s="1213"/>
      <c r="AE21" s="1213"/>
      <c r="AF21" s="1213"/>
      <c r="AG21" s="1213"/>
      <c r="AH21" s="1212"/>
      <c r="AI21" s="1164"/>
      <c r="AJ21" s="1164"/>
      <c r="AK21" s="1164"/>
      <c r="AL21" s="1164"/>
      <c r="AM21" s="1164"/>
      <c r="AN21" s="1164"/>
      <c r="AO21" s="1164"/>
      <c r="AP21" s="1164"/>
      <c r="AQ21" s="1164"/>
      <c r="AR21" s="1164"/>
      <c r="AS21" s="1164"/>
      <c r="AT21" s="1164"/>
      <c r="AU21" s="1164"/>
      <c r="AV21" s="1164"/>
      <c r="AW21" s="1164"/>
    </row>
    <row r="22" spans="1:49" s="35" customFormat="1" ht="12.75" customHeight="1" x14ac:dyDescent="0.2">
      <c r="A22" s="1212"/>
      <c r="B22" s="1229">
        <f>+O3</f>
        <v>44287</v>
      </c>
      <c r="C22" s="1225">
        <f>P14</f>
        <v>0</v>
      </c>
      <c r="D22" s="1225">
        <f>O14</f>
        <v>0</v>
      </c>
      <c r="E22" s="508">
        <f>S14</f>
        <v>194</v>
      </c>
      <c r="F22" s="508">
        <f>Q14</f>
        <v>42</v>
      </c>
      <c r="G22" s="2607">
        <f>+R14</f>
        <v>141.95651850000002</v>
      </c>
      <c r="H22" s="2608"/>
      <c r="I22" s="1215"/>
      <c r="J22" s="1213"/>
      <c r="K22" s="1213"/>
      <c r="L22" s="1213"/>
      <c r="M22" s="1213"/>
      <c r="N22" s="1213"/>
      <c r="O22" s="1213"/>
      <c r="P22" s="1213"/>
      <c r="Q22" s="1212"/>
      <c r="R22" s="1212"/>
      <c r="S22" s="1212"/>
      <c r="T22" s="1212"/>
      <c r="U22" s="1212"/>
      <c r="V22" s="1212"/>
      <c r="W22" s="1212"/>
      <c r="X22" s="1212"/>
      <c r="Y22" s="1212"/>
      <c r="Z22" s="1213"/>
      <c r="AA22" s="1213"/>
      <c r="AB22" s="1213"/>
      <c r="AC22" s="1213"/>
      <c r="AD22" s="1213"/>
      <c r="AE22" s="1213"/>
      <c r="AF22" s="1213"/>
      <c r="AG22" s="1213"/>
      <c r="AH22" s="1212"/>
      <c r="AI22" s="1164"/>
      <c r="AJ22" s="1164"/>
      <c r="AK22" s="1164"/>
      <c r="AL22" s="1164"/>
      <c r="AM22" s="1164"/>
      <c r="AN22" s="1164"/>
      <c r="AO22" s="1164"/>
      <c r="AP22" s="1164"/>
      <c r="AQ22" s="1164"/>
      <c r="AR22" s="1164"/>
      <c r="AS22" s="1164"/>
      <c r="AT22" s="1164"/>
      <c r="AU22" s="1164"/>
      <c r="AV22" s="1164"/>
      <c r="AW22" s="1164"/>
    </row>
    <row r="23" spans="1:49" s="35" customFormat="1" ht="12.75" customHeight="1" x14ac:dyDescent="0.2">
      <c r="A23" s="1212"/>
      <c r="B23" s="1229">
        <f>+U3</f>
        <v>44256</v>
      </c>
      <c r="C23" s="1225">
        <f>V14</f>
        <v>0</v>
      </c>
      <c r="D23" s="1225">
        <f>U14</f>
        <v>0</v>
      </c>
      <c r="E23" s="508">
        <f>Y14</f>
        <v>283</v>
      </c>
      <c r="F23" s="508">
        <f>W14</f>
        <v>61</v>
      </c>
      <c r="G23" s="2607">
        <f>+X14</f>
        <v>305.27766159999993</v>
      </c>
      <c r="H23" s="2608"/>
      <c r="I23" s="1215"/>
      <c r="J23" s="1213"/>
      <c r="K23" s="1213"/>
      <c r="L23" s="1213"/>
      <c r="M23" s="1213"/>
      <c r="N23" s="1213"/>
      <c r="O23" s="1213"/>
      <c r="P23" s="1213"/>
      <c r="Q23" s="1212"/>
      <c r="R23" s="1212"/>
      <c r="S23" s="1212"/>
      <c r="T23" s="1212"/>
      <c r="U23" s="1212"/>
      <c r="V23" s="1212"/>
      <c r="W23" s="1212"/>
      <c r="X23" s="1212"/>
      <c r="Y23" s="1212"/>
      <c r="Z23" s="1213"/>
      <c r="AA23" s="1213"/>
      <c r="AB23" s="1213"/>
      <c r="AC23" s="1213"/>
      <c r="AD23" s="1213"/>
      <c r="AE23" s="1213"/>
      <c r="AF23" s="1213"/>
      <c r="AG23" s="1213"/>
      <c r="AH23" s="1212"/>
      <c r="AI23" s="1164"/>
      <c r="AJ23" s="1164"/>
      <c r="AK23" s="1164"/>
      <c r="AL23" s="1164"/>
      <c r="AM23" s="1164"/>
      <c r="AN23" s="1164"/>
      <c r="AO23" s="1164"/>
      <c r="AP23" s="1164"/>
      <c r="AQ23" s="1164"/>
      <c r="AR23" s="1164"/>
      <c r="AS23" s="1164"/>
      <c r="AT23" s="1164"/>
      <c r="AU23" s="1164"/>
      <c r="AV23" s="1164"/>
      <c r="AW23" s="1164"/>
    </row>
    <row r="24" spans="1:49" s="35" customFormat="1" ht="12.75" customHeight="1" x14ac:dyDescent="0.2">
      <c r="A24" s="1212"/>
      <c r="B24" s="1229">
        <f>+AA3</f>
        <v>44228</v>
      </c>
      <c r="C24" s="1225">
        <f>AB14</f>
        <v>0</v>
      </c>
      <c r="D24" s="1225">
        <f>AA14</f>
        <v>0</v>
      </c>
      <c r="E24" s="508">
        <f>AE14</f>
        <v>187</v>
      </c>
      <c r="F24" s="508">
        <f>AC14</f>
        <v>54</v>
      </c>
      <c r="G24" s="2607">
        <f>+AD14</f>
        <v>193.49266</v>
      </c>
      <c r="H24" s="2608"/>
      <c r="I24" s="1215"/>
      <c r="J24" s="1213"/>
      <c r="K24" s="1213"/>
      <c r="L24" s="1213"/>
      <c r="M24" s="1213"/>
      <c r="N24" s="1213"/>
      <c r="O24" s="1213"/>
      <c r="P24" s="1213"/>
      <c r="Q24" s="1212"/>
      <c r="R24" s="1212"/>
      <c r="S24" s="1212"/>
      <c r="T24" s="1212"/>
      <c r="U24" s="1212"/>
      <c r="V24" s="1212"/>
      <c r="W24" s="1212"/>
      <c r="X24" s="1212"/>
      <c r="Y24" s="1212"/>
      <c r="Z24" s="1213"/>
      <c r="AA24" s="1213"/>
      <c r="AB24" s="1213"/>
      <c r="AC24" s="1213"/>
      <c r="AD24" s="1213"/>
      <c r="AE24" s="1213"/>
      <c r="AF24" s="1213"/>
      <c r="AG24" s="1213"/>
      <c r="AH24" s="1212"/>
      <c r="AI24" s="1164"/>
      <c r="AJ24" s="1164"/>
      <c r="AK24" s="1164"/>
      <c r="AL24" s="1164"/>
      <c r="AM24" s="1164"/>
      <c r="AN24" s="1164"/>
      <c r="AO24" s="1164"/>
      <c r="AP24" s="1164"/>
      <c r="AQ24" s="1164"/>
      <c r="AR24" s="1164"/>
      <c r="AS24" s="1164"/>
      <c r="AT24" s="1164"/>
      <c r="AU24" s="1164"/>
      <c r="AV24" s="1164"/>
      <c r="AW24" s="1164"/>
    </row>
    <row r="25" spans="1:49" s="35" customFormat="1" ht="12.75" customHeight="1" x14ac:dyDescent="0.2">
      <c r="A25" s="1212"/>
      <c r="B25" s="1229">
        <f>+AG3</f>
        <v>44197</v>
      </c>
      <c r="C25" s="1225">
        <f>AH14</f>
        <v>0</v>
      </c>
      <c r="D25" s="1225">
        <f>AG14</f>
        <v>0</v>
      </c>
      <c r="E25" s="508">
        <f>AK14</f>
        <v>181</v>
      </c>
      <c r="F25" s="508">
        <f>AI14</f>
        <v>32</v>
      </c>
      <c r="G25" s="2607">
        <f>+AJ14</f>
        <v>55.124509500000002</v>
      </c>
      <c r="H25" s="2608"/>
      <c r="I25" s="1215"/>
      <c r="J25" s="1213"/>
      <c r="K25" s="1213"/>
      <c r="L25" s="1213"/>
      <c r="M25" s="1213"/>
      <c r="N25" s="1213"/>
      <c r="O25" s="1213"/>
      <c r="P25" s="1213"/>
      <c r="Q25" s="1212"/>
      <c r="R25" s="1212"/>
      <c r="S25" s="1212"/>
      <c r="T25" s="1212"/>
      <c r="U25" s="1212"/>
      <c r="V25" s="1212"/>
      <c r="W25" s="1212"/>
      <c r="X25" s="1212"/>
      <c r="Y25" s="1212"/>
      <c r="Z25" s="1213"/>
      <c r="AA25" s="1213"/>
      <c r="AB25" s="1213"/>
      <c r="AC25" s="1213"/>
      <c r="AD25" s="1213"/>
      <c r="AE25" s="1213"/>
      <c r="AF25" s="1213"/>
      <c r="AG25" s="1213"/>
      <c r="AH25" s="1212"/>
      <c r="AI25" s="1164"/>
      <c r="AJ25" s="1164"/>
      <c r="AK25" s="1164"/>
      <c r="AL25" s="1164"/>
      <c r="AM25" s="1164"/>
      <c r="AN25" s="1164"/>
      <c r="AO25" s="1164"/>
      <c r="AP25" s="1164"/>
      <c r="AQ25" s="1164"/>
      <c r="AR25" s="1164"/>
      <c r="AS25" s="1164"/>
      <c r="AT25" s="1164"/>
      <c r="AU25" s="1164"/>
      <c r="AV25" s="1164"/>
      <c r="AW25" s="1164"/>
    </row>
    <row r="26" spans="1:49" ht="12.75" customHeight="1" x14ac:dyDescent="0.2">
      <c r="A26" s="1164"/>
      <c r="B26" s="1216" t="s">
        <v>26</v>
      </c>
      <c r="C26" s="1226">
        <f>SUM(C20:C25)</f>
        <v>0</v>
      </c>
      <c r="D26" s="1226">
        <f>SUM(D20:D25)</f>
        <v>0</v>
      </c>
      <c r="E26" s="1227">
        <f>SUM(E20:E25)</f>
        <v>1270</v>
      </c>
      <c r="F26" s="1227">
        <f>SUM(F20:F25)</f>
        <v>236</v>
      </c>
      <c r="G26" s="2609">
        <f>SUM(G20:G25)</f>
        <v>908.03302940000003</v>
      </c>
      <c r="H26" s="2610"/>
      <c r="I26" s="1217"/>
      <c r="J26" s="1164"/>
      <c r="K26" s="1164"/>
      <c r="L26" s="1164"/>
      <c r="M26" s="1164"/>
      <c r="N26" s="1218"/>
      <c r="O26" s="1164"/>
      <c r="P26" s="1164"/>
      <c r="Q26" s="1164"/>
      <c r="R26" s="1164"/>
      <c r="S26" s="1164"/>
      <c r="T26" s="1164"/>
      <c r="U26" s="1164"/>
      <c r="V26" s="1164"/>
      <c r="W26" s="1164"/>
      <c r="X26" s="1164"/>
      <c r="Y26" s="1164"/>
      <c r="Z26" s="1164"/>
      <c r="AA26" s="1164"/>
      <c r="AB26" s="1164"/>
      <c r="AC26" s="1164"/>
      <c r="AD26" s="1164"/>
      <c r="AE26" s="1164"/>
      <c r="AF26" s="1164"/>
      <c r="AG26" s="1164"/>
      <c r="AH26" s="1164"/>
      <c r="AI26" s="1164"/>
      <c r="AJ26" s="1164"/>
      <c r="AK26" s="1164"/>
      <c r="AL26" s="1164"/>
      <c r="AM26" s="1164"/>
    </row>
    <row r="27" spans="1:49" ht="33.75" customHeight="1" x14ac:dyDescent="0.2">
      <c r="A27" s="1164"/>
      <c r="B27" s="1219" t="s">
        <v>301</v>
      </c>
      <c r="C27" s="1220"/>
      <c r="D27" s="2614">
        <f>Financials_Consolidated!C7</f>
        <v>43921</v>
      </c>
      <c r="E27" s="2614"/>
      <c r="F27" s="2614"/>
      <c r="G27" s="2614"/>
      <c r="H27" s="1230">
        <f>Financials_Consolidated!C11/100000</f>
        <v>679.0520325</v>
      </c>
      <c r="I27" s="1217"/>
      <c r="J27" s="1164"/>
      <c r="K27" s="1164"/>
      <c r="L27" s="1164"/>
      <c r="M27" s="1164"/>
      <c r="N27" s="1164"/>
      <c r="O27" s="1164"/>
      <c r="P27" s="1164"/>
      <c r="Q27" s="1164"/>
      <c r="R27" s="1164"/>
      <c r="S27" s="1164"/>
      <c r="T27" s="1164"/>
      <c r="U27" s="1164"/>
      <c r="V27" s="1164"/>
      <c r="W27" s="1164"/>
      <c r="X27" s="1164"/>
      <c r="Y27" s="1164"/>
      <c r="Z27" s="1164"/>
      <c r="AA27" s="1164"/>
      <c r="AB27" s="1164"/>
      <c r="AC27" s="1164"/>
      <c r="AD27" s="1164"/>
      <c r="AE27" s="1164"/>
      <c r="AF27" s="1164"/>
      <c r="AG27" s="1164"/>
      <c r="AH27" s="1164"/>
      <c r="AI27" s="1164"/>
      <c r="AJ27" s="1164"/>
      <c r="AK27" s="1164"/>
      <c r="AL27" s="1164"/>
      <c r="AM27" s="1164"/>
    </row>
    <row r="28" spans="1:49" ht="12" x14ac:dyDescent="0.2">
      <c r="A28" s="1164"/>
      <c r="B28" s="2611" t="s">
        <v>730</v>
      </c>
      <c r="C28" s="2612"/>
      <c r="D28" s="2612"/>
      <c r="E28" s="2612"/>
      <c r="F28" s="2612"/>
      <c r="G28" s="2613"/>
      <c r="H28" s="1231">
        <f>G26/H27</f>
        <v>1.3372068500509202</v>
      </c>
      <c r="I28" s="1221"/>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row>
    <row r="29" spans="1:49" ht="12.75" thickBot="1" x14ac:dyDescent="0.25">
      <c r="A29" s="1164"/>
      <c r="B29" s="2602" t="s">
        <v>731</v>
      </c>
      <c r="C29" s="2603"/>
      <c r="D29" s="2603"/>
      <c r="E29" s="2603"/>
      <c r="F29" s="2603"/>
      <c r="G29" s="2604"/>
      <c r="H29" s="1387">
        <f>((G26/6)*12)/H27</f>
        <v>2.6744137001018404</v>
      </c>
      <c r="I29" s="1164"/>
      <c r="J29" s="1164"/>
      <c r="K29" s="1164"/>
      <c r="L29" s="1164"/>
      <c r="M29" s="1164"/>
      <c r="N29" s="1164"/>
      <c r="O29" s="1164"/>
      <c r="P29" s="1164"/>
      <c r="Q29" s="1164"/>
      <c r="R29" s="1164"/>
      <c r="S29" s="1164"/>
      <c r="T29" s="1164"/>
      <c r="U29" s="1164"/>
      <c r="V29" s="1164"/>
      <c r="W29" s="1164"/>
      <c r="X29" s="1164"/>
      <c r="Y29" s="1164"/>
      <c r="Z29" s="1164"/>
      <c r="AA29" s="1164"/>
      <c r="AB29" s="1164"/>
      <c r="AC29" s="1164"/>
      <c r="AD29" s="1164"/>
      <c r="AE29" s="1164"/>
      <c r="AF29" s="1164"/>
      <c r="AG29" s="1164"/>
      <c r="AH29" s="1164"/>
      <c r="AI29" s="1164"/>
      <c r="AJ29" s="1164"/>
      <c r="AK29" s="1164"/>
      <c r="AL29" s="1164"/>
      <c r="AM29" s="1164"/>
    </row>
    <row r="30" spans="1:49" x14ac:dyDescent="0.2">
      <c r="A30" s="1164"/>
      <c r="B30" s="1164" t="s">
        <v>2496</v>
      </c>
      <c r="C30" s="1164"/>
      <c r="D30" s="1164"/>
      <c r="E30" s="1164"/>
      <c r="F30" s="1164"/>
      <c r="G30" s="1164"/>
      <c r="H30" s="1164"/>
      <c r="I30" s="1164"/>
      <c r="J30" s="1164"/>
      <c r="K30" s="1164"/>
      <c r="L30" s="1164"/>
      <c r="M30" s="1164"/>
      <c r="N30" s="1164"/>
      <c r="O30" s="1164"/>
      <c r="P30" s="1164"/>
      <c r="Q30" s="1164"/>
      <c r="R30" s="1164"/>
      <c r="S30" s="1164"/>
      <c r="T30" s="1164"/>
      <c r="U30" s="1164"/>
      <c r="V30" s="1164"/>
      <c r="W30" s="1164"/>
      <c r="X30" s="1164"/>
      <c r="Y30" s="1164"/>
      <c r="Z30" s="1164"/>
      <c r="AA30" s="1164"/>
      <c r="AB30" s="1164"/>
      <c r="AC30" s="1164"/>
      <c r="AD30" s="1164"/>
      <c r="AE30" s="1164"/>
      <c r="AF30" s="1164"/>
      <c r="AG30" s="1164"/>
      <c r="AH30" s="1164"/>
      <c r="AI30" s="1164"/>
      <c r="AJ30" s="1164"/>
      <c r="AK30" s="1164"/>
      <c r="AL30" s="1164"/>
      <c r="AM30" s="1164"/>
    </row>
  </sheetData>
  <sheetProtection algorithmName="SHA-512" hashValue="E3X5ghcD1YsyuNOZ8qzUORfQajzHgD9GkJTr1tGzY103s+dPiHAJg3Wz91AQpi6D/+nw7IIeYsS6uRHD6eqtVQ==" saltValue="SLIGIRP0Awt5RYuublFL/A==" spinCount="100000" sheet="1" formatCells="0" formatColumns="0" formatRows="0" insertColumns="0" insertRows="0" insertHyperlinks="0" deleteColumns="0" deleteRows="0" autoFilter="0"/>
  <mergeCells count="26">
    <mergeCell ref="AN2:AW3"/>
    <mergeCell ref="B18:B19"/>
    <mergeCell ref="C3:H3"/>
    <mergeCell ref="D18:D19"/>
    <mergeCell ref="I3:N3"/>
    <mergeCell ref="B3:B4"/>
    <mergeCell ref="C18:C19"/>
    <mergeCell ref="G18:H19"/>
    <mergeCell ref="A2:AL2"/>
    <mergeCell ref="E18:E19"/>
    <mergeCell ref="AG3:AL3"/>
    <mergeCell ref="B17:H17"/>
    <mergeCell ref="O3:T3"/>
    <mergeCell ref="U3:Z3"/>
    <mergeCell ref="AA3:AF3"/>
    <mergeCell ref="F18:F19"/>
    <mergeCell ref="B29:G29"/>
    <mergeCell ref="G20:H20"/>
    <mergeCell ref="G21:H21"/>
    <mergeCell ref="G22:H22"/>
    <mergeCell ref="G23:H23"/>
    <mergeCell ref="G24:H24"/>
    <mergeCell ref="G25:H25"/>
    <mergeCell ref="G26:H26"/>
    <mergeCell ref="B28:G28"/>
    <mergeCell ref="D27:G27"/>
  </mergeCells>
  <pageMargins left="0.27" right="0.17" top="0.74803149606299213" bottom="0.74803149606299213" header="0.31496062992125984" footer="0.31496062992125984"/>
  <pageSetup paperSize="9" scale="36" orientation="landscape"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E20:E25" formula="1"/>
  </ignoredError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585F-2A50-441C-AF78-5A38A07CA822}">
  <dimension ref="A1:Z1000"/>
  <sheetViews>
    <sheetView showGridLines="0" topLeftCell="A42" workbookViewId="0">
      <selection activeCell="F62" sqref="F62"/>
    </sheetView>
  </sheetViews>
  <sheetFormatPr defaultColWidth="14.42578125" defaultRowHeight="15" customHeight="1" x14ac:dyDescent="0.2"/>
  <cols>
    <col min="1" max="1" width="2.42578125" style="1550" customWidth="1"/>
    <col min="2" max="2" width="6.7109375" style="1550" customWidth="1"/>
    <col min="3" max="14" width="8.7109375" style="1550" customWidth="1"/>
    <col min="15" max="15" width="6.7109375" style="1550" customWidth="1"/>
    <col min="16" max="26" width="8.7109375" style="1550" customWidth="1"/>
    <col min="27" max="16384" width="14.42578125" style="1550"/>
  </cols>
  <sheetData>
    <row r="1" spans="1:26" ht="15.75" thickBot="1" x14ac:dyDescent="0.3">
      <c r="A1" s="1626"/>
      <c r="B1" s="1626"/>
      <c r="C1" s="1626"/>
      <c r="D1" s="1626"/>
      <c r="E1" s="1626"/>
      <c r="F1" s="1626"/>
      <c r="G1" s="1626"/>
      <c r="H1" s="1626"/>
      <c r="I1" s="1626"/>
      <c r="J1" s="1626"/>
      <c r="K1" s="1626"/>
      <c r="L1" s="1626"/>
      <c r="M1" s="1626"/>
      <c r="N1" s="1626"/>
      <c r="O1" s="1626"/>
      <c r="P1" s="1627"/>
      <c r="Q1" s="1627"/>
      <c r="R1" s="1626"/>
      <c r="S1" s="1626"/>
      <c r="T1" s="1626"/>
      <c r="U1" s="1626"/>
      <c r="V1" s="1626"/>
      <c r="W1" s="1626"/>
      <c r="X1" s="1626"/>
      <c r="Y1" s="1626"/>
      <c r="Z1" s="1626"/>
    </row>
    <row r="2" spans="1:26" ht="24" thickBot="1" x14ac:dyDescent="0.3">
      <c r="A2" s="1626"/>
      <c r="B2" s="2642" t="s">
        <v>3659</v>
      </c>
      <c r="C2" s="2643"/>
      <c r="D2" s="2643"/>
      <c r="E2" s="2643"/>
      <c r="F2" s="2643"/>
      <c r="G2" s="2643"/>
      <c r="H2" s="2643"/>
      <c r="I2" s="2643"/>
      <c r="J2" s="2643"/>
      <c r="K2" s="2643"/>
      <c r="L2" s="2643"/>
      <c r="M2" s="2643"/>
      <c r="N2" s="2643"/>
      <c r="O2" s="2644"/>
      <c r="P2" s="1627"/>
      <c r="Q2" s="1627"/>
      <c r="R2" s="1626"/>
      <c r="S2" s="1626"/>
      <c r="T2" s="1626"/>
      <c r="U2" s="1626"/>
      <c r="V2" s="1626"/>
      <c r="W2" s="1626"/>
      <c r="X2" s="1626"/>
      <c r="Y2" s="1626"/>
      <c r="Z2" s="1626"/>
    </row>
    <row r="3" spans="1:26" x14ac:dyDescent="0.25">
      <c r="A3" s="1626"/>
      <c r="B3" s="1628"/>
      <c r="C3" s="1629"/>
      <c r="D3" s="1629"/>
      <c r="E3" s="1630"/>
      <c r="F3" s="1631"/>
      <c r="G3" s="1631"/>
      <c r="H3" s="1631"/>
      <c r="I3" s="1631"/>
      <c r="J3" s="1631"/>
      <c r="K3" s="1631"/>
      <c r="L3" s="1626"/>
      <c r="M3" s="1626"/>
      <c r="N3" s="1626"/>
      <c r="O3" s="1632"/>
      <c r="P3" s="1627"/>
      <c r="Q3" s="1627"/>
      <c r="R3" s="1626"/>
      <c r="S3" s="1626"/>
      <c r="T3" s="1626"/>
      <c r="U3" s="1626"/>
      <c r="V3" s="1626"/>
      <c r="W3" s="1626"/>
      <c r="X3" s="1626"/>
      <c r="Y3" s="1626"/>
      <c r="Z3" s="1626"/>
    </row>
    <row r="4" spans="1:26" x14ac:dyDescent="0.25">
      <c r="A4" s="1626"/>
      <c r="B4" s="1628"/>
      <c r="C4" s="1629"/>
      <c r="D4" s="1629"/>
      <c r="E4" s="1630"/>
      <c r="F4" s="1626"/>
      <c r="G4" s="1631"/>
      <c r="H4" s="1631"/>
      <c r="I4" s="1631"/>
      <c r="J4" s="1631"/>
      <c r="K4" s="1631"/>
      <c r="L4" s="1633"/>
      <c r="M4" s="1626"/>
      <c r="N4" s="1626"/>
      <c r="O4" s="1632"/>
      <c r="P4" s="1627"/>
      <c r="Q4" s="1627"/>
      <c r="R4" s="1626"/>
      <c r="S4" s="1626"/>
      <c r="T4" s="1626"/>
      <c r="U4" s="1626"/>
      <c r="V4" s="1626"/>
      <c r="W4" s="1626"/>
      <c r="X4" s="1626"/>
      <c r="Y4" s="1626"/>
      <c r="Z4" s="1626"/>
    </row>
    <row r="5" spans="1:26" x14ac:dyDescent="0.25">
      <c r="A5" s="1626"/>
      <c r="B5" s="1628"/>
      <c r="C5" s="1629"/>
      <c r="D5" s="1629"/>
      <c r="E5" s="1630"/>
      <c r="F5" s="1626"/>
      <c r="G5" s="1634"/>
      <c r="H5" s="1634"/>
      <c r="I5" s="1634"/>
      <c r="J5" s="1631" t="e">
        <f t="shared" ref="J5:K5" ca="1" si="0">_xludf.IFS(J6&lt;30,"Poor",AND(J6&gt;=30,J6&lt;80),"Average",AND(J6&gt;=80,J6&lt;90),"Good",J6&gt;=90,"Excellent")</f>
        <v>#NAME?</v>
      </c>
      <c r="K5" s="1631" t="e">
        <f t="shared" ca="1" si="0"/>
        <v>#NAME?</v>
      </c>
      <c r="L5" s="1633"/>
      <c r="M5" s="1626"/>
      <c r="N5" s="1626"/>
      <c r="O5" s="1632"/>
      <c r="P5" s="1627"/>
      <c r="Q5" s="1627"/>
      <c r="R5" s="1626"/>
      <c r="S5" s="1626"/>
      <c r="T5" s="1626"/>
      <c r="U5" s="1626"/>
      <c r="V5" s="1626"/>
      <c r="W5" s="1626"/>
      <c r="X5" s="1626"/>
      <c r="Y5" s="1626"/>
      <c r="Z5" s="1626"/>
    </row>
    <row r="6" spans="1:26" x14ac:dyDescent="0.25">
      <c r="A6" s="1626"/>
      <c r="B6" s="1628"/>
      <c r="C6" s="1629"/>
      <c r="D6" s="1629"/>
      <c r="E6" s="1630"/>
      <c r="F6" s="1626"/>
      <c r="G6" s="1629">
        <v>30</v>
      </c>
      <c r="H6" s="1629">
        <v>10</v>
      </c>
      <c r="I6" s="1630">
        <v>80.9375</v>
      </c>
      <c r="J6" s="1631"/>
      <c r="K6" s="1631"/>
      <c r="L6" s="1633"/>
      <c r="M6" s="1626"/>
      <c r="N6" s="1626"/>
      <c r="O6" s="1632"/>
      <c r="P6" s="1627"/>
      <c r="Q6" s="1627"/>
      <c r="R6" s="1626"/>
      <c r="S6" s="1626"/>
      <c r="T6" s="1626"/>
      <c r="U6" s="1626"/>
      <c r="V6" s="1626"/>
      <c r="W6" s="1626"/>
      <c r="X6" s="1626"/>
      <c r="Y6" s="1626"/>
      <c r="Z6" s="1626"/>
    </row>
    <row r="7" spans="1:26" x14ac:dyDescent="0.25">
      <c r="A7" s="1626"/>
      <c r="B7" s="1628"/>
      <c r="C7" s="1629"/>
      <c r="D7" s="1629"/>
      <c r="E7" s="1630"/>
      <c r="F7" s="1626"/>
      <c r="G7" s="1629">
        <v>40</v>
      </c>
      <c r="H7" s="1629">
        <v>10</v>
      </c>
      <c r="I7" s="1630">
        <v>1</v>
      </c>
      <c r="J7" s="1631"/>
      <c r="K7" s="1631"/>
      <c r="L7" s="1635"/>
      <c r="M7" s="1626"/>
      <c r="N7" s="1626"/>
      <c r="O7" s="1632"/>
      <c r="P7" s="1627"/>
      <c r="Q7" s="1627"/>
      <c r="R7" s="1626"/>
      <c r="S7" s="1626"/>
      <c r="T7" s="1626"/>
      <c r="U7" s="1626"/>
      <c r="V7" s="1626"/>
      <c r="W7" s="1626"/>
      <c r="X7" s="1626"/>
      <c r="Y7" s="1626"/>
      <c r="Z7" s="1626"/>
    </row>
    <row r="8" spans="1:26" ht="15.75" thickBot="1" x14ac:dyDescent="0.3">
      <c r="A8" s="1626"/>
      <c r="B8" s="1628"/>
      <c r="C8" s="1626"/>
      <c r="D8" s="1626"/>
      <c r="E8" s="1630"/>
      <c r="F8" s="1626"/>
      <c r="G8" s="1629">
        <v>20</v>
      </c>
      <c r="H8" s="1629">
        <v>10</v>
      </c>
      <c r="I8" s="1630">
        <f>200-I6-I7</f>
        <v>118.0625</v>
      </c>
      <c r="J8" s="1631"/>
      <c r="K8" s="1631"/>
      <c r="L8" s="1633"/>
      <c r="M8" s="1626"/>
      <c r="N8" s="1626"/>
      <c r="O8" s="1632"/>
      <c r="P8" s="1627"/>
      <c r="Q8" s="1636"/>
      <c r="R8" s="1626"/>
      <c r="S8" s="1626"/>
      <c r="T8" s="1626"/>
      <c r="U8" s="1626"/>
      <c r="V8" s="1626"/>
      <c r="W8" s="1626"/>
      <c r="X8" s="1626"/>
      <c r="Y8" s="1626"/>
      <c r="Z8" s="1626"/>
    </row>
    <row r="9" spans="1:26" ht="15.75" thickBot="1" x14ac:dyDescent="0.3">
      <c r="A9" s="1626"/>
      <c r="B9" s="1628"/>
      <c r="C9" s="2645" t="s">
        <v>3660</v>
      </c>
      <c r="D9" s="2644"/>
      <c r="E9" s="1630"/>
      <c r="F9" s="1626"/>
      <c r="G9" s="1629">
        <v>10</v>
      </c>
      <c r="H9" s="1629">
        <v>10</v>
      </c>
      <c r="I9" s="1630"/>
      <c r="J9" s="1631"/>
      <c r="K9" s="1631"/>
      <c r="L9" s="1626"/>
      <c r="M9" s="2645" t="s">
        <v>3661</v>
      </c>
      <c r="N9" s="2644"/>
      <c r="O9" s="1632"/>
      <c r="P9" s="1627"/>
      <c r="Q9" s="1636"/>
      <c r="R9" s="1626"/>
      <c r="S9" s="1626"/>
      <c r="T9" s="1626"/>
      <c r="U9" s="1626"/>
      <c r="V9" s="1626"/>
      <c r="W9" s="1626"/>
      <c r="X9" s="1626"/>
      <c r="Y9" s="1626"/>
      <c r="Z9" s="1626"/>
    </row>
    <row r="10" spans="1:26" x14ac:dyDescent="0.25">
      <c r="A10" s="1626"/>
      <c r="B10" s="1628"/>
      <c r="C10" s="2646">
        <v>68.75</v>
      </c>
      <c r="D10" s="2647"/>
      <c r="E10" s="1630"/>
      <c r="F10" s="1626"/>
      <c r="G10" s="1629">
        <f>SUBTOTAL(109,G6:G9)</f>
        <v>100</v>
      </c>
      <c r="H10" s="1629">
        <v>10</v>
      </c>
      <c r="I10" s="1630"/>
      <c r="J10" s="1631"/>
      <c r="K10" s="1631"/>
      <c r="L10" s="1626"/>
      <c r="M10" s="2646">
        <v>85</v>
      </c>
      <c r="N10" s="2647"/>
      <c r="O10" s="1632"/>
      <c r="P10" s="1627"/>
      <c r="Q10" s="1627"/>
      <c r="R10" s="1626"/>
      <c r="S10" s="1626"/>
      <c r="T10" s="1626"/>
      <c r="U10" s="1626"/>
      <c r="V10" s="1626"/>
      <c r="W10" s="1626"/>
      <c r="X10" s="1626"/>
      <c r="Y10" s="1626"/>
      <c r="Z10" s="1626"/>
    </row>
    <row r="11" spans="1:26" x14ac:dyDescent="0.25">
      <c r="A11" s="1626"/>
      <c r="B11" s="1628"/>
      <c r="C11" s="2648"/>
      <c r="D11" s="2649"/>
      <c r="E11" s="1630"/>
      <c r="F11" s="1626"/>
      <c r="G11" s="1630"/>
      <c r="H11" s="1629">
        <v>10</v>
      </c>
      <c r="I11" s="1630"/>
      <c r="J11" s="1631"/>
      <c r="K11" s="1631"/>
      <c r="L11" s="1626"/>
      <c r="M11" s="2648"/>
      <c r="N11" s="2649"/>
      <c r="O11" s="1632"/>
      <c r="P11" s="1627"/>
      <c r="Q11" s="1627"/>
      <c r="R11" s="1626"/>
      <c r="S11" s="1626"/>
      <c r="T11" s="1626"/>
      <c r="U11" s="1626"/>
      <c r="V11" s="1626"/>
      <c r="W11" s="1626"/>
      <c r="X11" s="1626"/>
      <c r="Y11" s="1626"/>
      <c r="Z11" s="1626"/>
    </row>
    <row r="12" spans="1:26" x14ac:dyDescent="0.25">
      <c r="A12" s="1626"/>
      <c r="B12" s="1628"/>
      <c r="C12" s="2648"/>
      <c r="D12" s="2649"/>
      <c r="E12" s="1630"/>
      <c r="F12" s="1626"/>
      <c r="G12" s="1630"/>
      <c r="H12" s="1629">
        <v>10</v>
      </c>
      <c r="I12" s="1630"/>
      <c r="J12" s="1631"/>
      <c r="K12" s="1631"/>
      <c r="L12" s="1626"/>
      <c r="M12" s="2648"/>
      <c r="N12" s="2649"/>
      <c r="O12" s="1632"/>
      <c r="P12" s="1627"/>
      <c r="Q12" s="1627"/>
      <c r="R12" s="1626"/>
      <c r="S12" s="1626"/>
      <c r="T12" s="1626"/>
      <c r="U12" s="1626"/>
      <c r="V12" s="1626"/>
      <c r="W12" s="1626"/>
      <c r="X12" s="1626"/>
      <c r="Y12" s="1626"/>
      <c r="Z12" s="1626"/>
    </row>
    <row r="13" spans="1:26" ht="15.75" thickBot="1" x14ac:dyDescent="0.3">
      <c r="A13" s="1626"/>
      <c r="B13" s="1628"/>
      <c r="C13" s="2640" t="s">
        <v>238</v>
      </c>
      <c r="D13" s="2641"/>
      <c r="E13" s="1630"/>
      <c r="F13" s="1626"/>
      <c r="G13" s="1630"/>
      <c r="H13" s="1629">
        <v>10</v>
      </c>
      <c r="I13" s="1630"/>
      <c r="J13" s="1631"/>
      <c r="K13" s="1631"/>
      <c r="L13" s="1626"/>
      <c r="M13" s="2640" t="s">
        <v>3662</v>
      </c>
      <c r="N13" s="2641"/>
      <c r="O13" s="1632"/>
      <c r="P13" s="1627"/>
      <c r="Q13" s="1627"/>
      <c r="R13" s="1626"/>
      <c r="S13" s="1626"/>
      <c r="T13" s="1626"/>
      <c r="U13" s="1626"/>
      <c r="V13" s="1626"/>
      <c r="W13" s="1626"/>
      <c r="X13" s="1626"/>
      <c r="Y13" s="1626"/>
      <c r="Z13" s="1626"/>
    </row>
    <row r="14" spans="1:26" x14ac:dyDescent="0.25">
      <c r="A14" s="1626"/>
      <c r="B14" s="1628"/>
      <c r="C14" s="1626"/>
      <c r="D14" s="1626"/>
      <c r="E14" s="1626"/>
      <c r="F14" s="1626"/>
      <c r="G14" s="1630"/>
      <c r="H14" s="1629">
        <v>10</v>
      </c>
      <c r="I14" s="1630"/>
      <c r="J14" s="1631"/>
      <c r="K14" s="1631"/>
      <c r="L14" s="1633"/>
      <c r="M14" s="1626"/>
      <c r="N14" s="1626"/>
      <c r="O14" s="1632"/>
      <c r="P14" s="1627"/>
      <c r="Q14" s="1627"/>
      <c r="R14" s="1626"/>
      <c r="S14" s="1626"/>
      <c r="T14" s="1626"/>
      <c r="U14" s="1626"/>
      <c r="V14" s="1626"/>
      <c r="W14" s="1626"/>
      <c r="X14" s="1626"/>
      <c r="Y14" s="1626"/>
      <c r="Z14" s="1626"/>
    </row>
    <row r="15" spans="1:26" x14ac:dyDescent="0.25">
      <c r="A15" s="1626"/>
      <c r="B15" s="1628"/>
      <c r="C15" s="1626"/>
      <c r="D15" s="1626"/>
      <c r="E15" s="1626"/>
      <c r="F15" s="1626"/>
      <c r="G15" s="1630"/>
      <c r="H15" s="1629">
        <v>10</v>
      </c>
      <c r="I15" s="1630"/>
      <c r="J15" s="1631"/>
      <c r="K15" s="1631"/>
      <c r="L15" s="1626"/>
      <c r="M15" s="1626"/>
      <c r="N15" s="1626"/>
      <c r="O15" s="1632"/>
      <c r="P15" s="1627"/>
      <c r="Q15" s="1627"/>
      <c r="R15" s="1626"/>
      <c r="S15" s="1626"/>
      <c r="T15" s="1626"/>
      <c r="U15" s="1626"/>
      <c r="V15" s="1626"/>
      <c r="W15" s="1626"/>
      <c r="X15" s="1626"/>
      <c r="Y15" s="1626"/>
      <c r="Z15" s="1626"/>
    </row>
    <row r="16" spans="1:26" x14ac:dyDescent="0.25">
      <c r="A16" s="1626"/>
      <c r="B16" s="1628"/>
      <c r="C16" s="1626"/>
      <c r="D16" s="1626"/>
      <c r="E16" s="1626"/>
      <c r="F16" s="1626"/>
      <c r="G16" s="1630"/>
      <c r="H16" s="1629">
        <f>SUBTOTAL(109,'NC Banking Score'!$H$6:$H$15)</f>
        <v>100</v>
      </c>
      <c r="I16" s="1630"/>
      <c r="J16" s="1631"/>
      <c r="K16" s="1631"/>
      <c r="L16" s="1626"/>
      <c r="M16" s="1626"/>
      <c r="N16" s="1626"/>
      <c r="O16" s="1632"/>
      <c r="P16" s="1627"/>
      <c r="Q16" s="1627"/>
      <c r="R16" s="1626"/>
      <c r="S16" s="1626"/>
      <c r="T16" s="1626"/>
      <c r="U16" s="1626"/>
      <c r="V16" s="1626"/>
      <c r="W16" s="1626"/>
      <c r="X16" s="1626"/>
      <c r="Y16" s="1626"/>
      <c r="Z16" s="1626"/>
    </row>
    <row r="17" spans="1:26" x14ac:dyDescent="0.25">
      <c r="A17" s="1626"/>
      <c r="B17" s="1628"/>
      <c r="C17" s="1626"/>
      <c r="D17" s="1626"/>
      <c r="E17" s="1626"/>
      <c r="F17" s="1626"/>
      <c r="G17" s="1631"/>
      <c r="H17" s="1631"/>
      <c r="I17" s="1631"/>
      <c r="J17" s="1631"/>
      <c r="K17" s="1631"/>
      <c r="L17" s="1626"/>
      <c r="M17" s="1626"/>
      <c r="N17" s="1626"/>
      <c r="O17" s="1632"/>
      <c r="P17" s="1627"/>
      <c r="Q17" s="1627"/>
      <c r="R17" s="1626"/>
      <c r="S17" s="1626"/>
      <c r="T17" s="1626"/>
      <c r="U17" s="1626"/>
      <c r="V17" s="1626"/>
      <c r="W17" s="1626"/>
      <c r="X17" s="1626"/>
      <c r="Y17" s="1626"/>
      <c r="Z17" s="1626"/>
    </row>
    <row r="18" spans="1:26" x14ac:dyDescent="0.25">
      <c r="A18" s="1626"/>
      <c r="B18" s="1637"/>
      <c r="C18" s="1638"/>
      <c r="D18" s="1638"/>
      <c r="E18" s="1638"/>
      <c r="F18" s="1638"/>
      <c r="G18" s="1638"/>
      <c r="H18" s="1638"/>
      <c r="I18" s="1638"/>
      <c r="J18" s="1638"/>
      <c r="K18" s="1638"/>
      <c r="L18" s="1638"/>
      <c r="M18" s="1638"/>
      <c r="N18" s="1638"/>
      <c r="O18" s="1639"/>
      <c r="P18" s="1627"/>
      <c r="Q18" s="1627"/>
      <c r="R18" s="1626"/>
      <c r="S18" s="1626"/>
      <c r="T18" s="1626"/>
      <c r="U18" s="1626"/>
      <c r="V18" s="1626"/>
      <c r="W18" s="1626"/>
      <c r="X18" s="1626"/>
      <c r="Y18" s="1626"/>
      <c r="Z18" s="1626"/>
    </row>
    <row r="19" spans="1:26" x14ac:dyDescent="0.25">
      <c r="A19" s="1626"/>
      <c r="B19" s="1628"/>
      <c r="C19" s="1626"/>
      <c r="D19" s="1626"/>
      <c r="E19" s="1626"/>
      <c r="F19" s="1626"/>
      <c r="G19" s="1626"/>
      <c r="H19" s="1626"/>
      <c r="I19" s="1626"/>
      <c r="J19" s="1626"/>
      <c r="K19" s="1626"/>
      <c r="L19" s="1626"/>
      <c r="M19" s="1626"/>
      <c r="N19" s="1626"/>
      <c r="O19" s="1632"/>
      <c r="P19" s="1627"/>
      <c r="Q19" s="1627"/>
      <c r="R19" s="1626"/>
      <c r="S19" s="1626"/>
      <c r="T19" s="1626"/>
      <c r="U19" s="1626"/>
      <c r="V19" s="1626"/>
      <c r="W19" s="1626"/>
      <c r="X19" s="1626"/>
      <c r="Y19" s="1626"/>
      <c r="Z19" s="1626"/>
    </row>
    <row r="20" spans="1:26" ht="15.75" x14ac:dyDescent="0.25">
      <c r="A20" s="1626"/>
      <c r="B20" s="2650" t="s">
        <v>3663</v>
      </c>
      <c r="C20" s="2651"/>
      <c r="D20" s="2651"/>
      <c r="E20" s="2651"/>
      <c r="F20" s="2651"/>
      <c r="G20" s="2651"/>
      <c r="H20" s="2651"/>
      <c r="I20" s="2651"/>
      <c r="J20" s="2651"/>
      <c r="K20" s="2651"/>
      <c r="L20" s="2651"/>
      <c r="M20" s="2651"/>
      <c r="N20" s="2651"/>
      <c r="O20" s="2649"/>
      <c r="P20" s="1627"/>
      <c r="Q20" s="1627"/>
      <c r="R20" s="1626"/>
      <c r="S20" s="1626"/>
      <c r="T20" s="1626"/>
      <c r="U20" s="1626"/>
      <c r="V20" s="1626"/>
      <c r="W20" s="1626"/>
      <c r="X20" s="1626"/>
      <c r="Y20" s="1626"/>
      <c r="Z20" s="1626"/>
    </row>
    <row r="21" spans="1:26" ht="15.75" customHeight="1" x14ac:dyDescent="0.25">
      <c r="A21" s="1626"/>
      <c r="B21" s="1628"/>
      <c r="C21" s="1626"/>
      <c r="D21" s="1626"/>
      <c r="E21" s="1626"/>
      <c r="F21" s="1626"/>
      <c r="G21" s="1626"/>
      <c r="H21" s="1626"/>
      <c r="I21" s="1626"/>
      <c r="J21" s="1626"/>
      <c r="K21" s="1626"/>
      <c r="L21" s="1626"/>
      <c r="M21" s="1626"/>
      <c r="N21" s="1626"/>
      <c r="O21" s="1632"/>
      <c r="P21" s="1627"/>
      <c r="Q21" s="1627"/>
      <c r="R21" s="1626"/>
      <c r="S21" s="1626"/>
      <c r="T21" s="1626"/>
      <c r="U21" s="1626"/>
      <c r="V21" s="1626"/>
      <c r="W21" s="1626"/>
      <c r="X21" s="1626"/>
      <c r="Y21" s="1626"/>
      <c r="Z21" s="1626"/>
    </row>
    <row r="22" spans="1:26" ht="15.75" customHeight="1" x14ac:dyDescent="0.25">
      <c r="A22" s="1626"/>
      <c r="B22" s="1640"/>
      <c r="C22" s="2652" t="s">
        <v>495</v>
      </c>
      <c r="D22" s="2653"/>
      <c r="E22" s="2654"/>
      <c r="F22" s="2655" t="s">
        <v>3477</v>
      </c>
      <c r="G22" s="2653"/>
      <c r="H22" s="2653"/>
      <c r="I22" s="2653"/>
      <c r="J22" s="2653"/>
      <c r="K22" s="2653"/>
      <c r="L22" s="2653"/>
      <c r="M22" s="2653"/>
      <c r="N22" s="2654"/>
      <c r="O22" s="1641"/>
      <c r="P22" s="1627"/>
      <c r="Q22" s="1627"/>
      <c r="R22" s="1626"/>
      <c r="S22" s="1626"/>
      <c r="T22" s="1626"/>
      <c r="U22" s="1626"/>
      <c r="V22" s="1626"/>
      <c r="W22" s="1626"/>
      <c r="X22" s="1626"/>
      <c r="Y22" s="1626"/>
      <c r="Z22" s="1626"/>
    </row>
    <row r="23" spans="1:26" ht="15.75" customHeight="1" x14ac:dyDescent="0.25">
      <c r="A23" s="1626"/>
      <c r="B23" s="1640"/>
      <c r="C23" s="2656" t="s">
        <v>3664</v>
      </c>
      <c r="D23" s="2653"/>
      <c r="E23" s="2654"/>
      <c r="F23" s="2657"/>
      <c r="G23" s="2653"/>
      <c r="H23" s="2654"/>
      <c r="I23" s="2656" t="s">
        <v>3665</v>
      </c>
      <c r="J23" s="2653"/>
      <c r="K23" s="2654"/>
      <c r="L23" s="2657"/>
      <c r="M23" s="2653"/>
      <c r="N23" s="2654"/>
      <c r="O23" s="1641"/>
      <c r="P23" s="1627"/>
      <c r="Q23" s="1627"/>
      <c r="R23" s="1626"/>
      <c r="S23" s="1626"/>
      <c r="T23" s="1626"/>
      <c r="U23" s="1626"/>
      <c r="V23" s="1626"/>
      <c r="W23" s="1626"/>
      <c r="X23" s="1626"/>
      <c r="Y23" s="1626"/>
      <c r="Z23" s="1626"/>
    </row>
    <row r="24" spans="1:26" ht="15.75" customHeight="1" x14ac:dyDescent="0.25">
      <c r="A24" s="1626"/>
      <c r="B24" s="1640"/>
      <c r="C24" s="2656" t="s">
        <v>3666</v>
      </c>
      <c r="D24" s="2653"/>
      <c r="E24" s="2654"/>
      <c r="F24" s="2657">
        <v>42979</v>
      </c>
      <c r="G24" s="2653"/>
      <c r="H24" s="2654"/>
      <c r="I24" s="2656" t="s">
        <v>3667</v>
      </c>
      <c r="J24" s="2653"/>
      <c r="K24" s="2654"/>
      <c r="L24" s="2657">
        <v>43190</v>
      </c>
      <c r="M24" s="2653"/>
      <c r="N24" s="2654"/>
      <c r="O24" s="1641"/>
      <c r="P24" s="1627"/>
      <c r="Q24" s="1627"/>
      <c r="R24" s="1626"/>
      <c r="S24" s="1626"/>
      <c r="T24" s="1626"/>
      <c r="U24" s="1626"/>
      <c r="V24" s="1626"/>
      <c r="W24" s="1626"/>
      <c r="X24" s="1626"/>
      <c r="Y24" s="1626"/>
      <c r="Z24" s="1626"/>
    </row>
    <row r="25" spans="1:26" ht="15.75" customHeight="1" x14ac:dyDescent="0.25">
      <c r="A25" s="1626"/>
      <c r="B25" s="1640"/>
      <c r="C25" s="2656" t="s">
        <v>3668</v>
      </c>
      <c r="D25" s="2653"/>
      <c r="E25" s="2654"/>
      <c r="F25" s="2657"/>
      <c r="G25" s="2653"/>
      <c r="H25" s="2654"/>
      <c r="I25" s="2656" t="s">
        <v>3669</v>
      </c>
      <c r="J25" s="2653"/>
      <c r="K25" s="2654"/>
      <c r="L25" s="2657"/>
      <c r="M25" s="2653"/>
      <c r="N25" s="2654"/>
      <c r="O25" s="1641"/>
      <c r="P25" s="1627"/>
      <c r="Q25" s="1627"/>
      <c r="R25" s="1626"/>
      <c r="S25" s="1626"/>
      <c r="T25" s="1626"/>
      <c r="U25" s="1626"/>
      <c r="V25" s="1626"/>
      <c r="W25" s="1626"/>
      <c r="X25" s="1626"/>
      <c r="Y25" s="1626"/>
      <c r="Z25" s="1626"/>
    </row>
    <row r="26" spans="1:26" ht="15.75" customHeight="1" x14ac:dyDescent="0.25">
      <c r="A26" s="1626"/>
      <c r="B26" s="1640"/>
      <c r="C26" s="2656" t="s">
        <v>3670</v>
      </c>
      <c r="D26" s="2653"/>
      <c r="E26" s="2654"/>
      <c r="F26" s="2659" t="s">
        <v>3671</v>
      </c>
      <c r="G26" s="2653"/>
      <c r="H26" s="2654"/>
      <c r="I26" s="2656" t="s">
        <v>3672</v>
      </c>
      <c r="J26" s="2653"/>
      <c r="K26" s="2654"/>
      <c r="L26" s="2660">
        <v>916030043683827</v>
      </c>
      <c r="M26" s="2653"/>
      <c r="N26" s="2654"/>
      <c r="O26" s="1641"/>
      <c r="P26" s="1627"/>
      <c r="Q26" s="1627"/>
      <c r="R26" s="1626"/>
      <c r="S26" s="1626"/>
      <c r="T26" s="1626"/>
      <c r="U26" s="1626"/>
      <c r="V26" s="1626"/>
      <c r="W26" s="1626"/>
      <c r="X26" s="1626"/>
      <c r="Y26" s="1626"/>
      <c r="Z26" s="1626"/>
    </row>
    <row r="27" spans="1:26" ht="15.75" customHeight="1" x14ac:dyDescent="0.25">
      <c r="A27" s="1626"/>
      <c r="B27" s="1640"/>
      <c r="C27" s="2656" t="s">
        <v>704</v>
      </c>
      <c r="D27" s="2653"/>
      <c r="E27" s="2654"/>
      <c r="F27" s="2659" t="s">
        <v>3673</v>
      </c>
      <c r="G27" s="2653"/>
      <c r="H27" s="2654"/>
      <c r="I27" s="2656" t="s">
        <v>3674</v>
      </c>
      <c r="J27" s="2653"/>
      <c r="K27" s="2654"/>
      <c r="L27" s="2659" t="s">
        <v>3675</v>
      </c>
      <c r="M27" s="2653"/>
      <c r="N27" s="2654"/>
      <c r="O27" s="1641"/>
      <c r="P27" s="1627"/>
      <c r="Q27" s="1627"/>
      <c r="R27" s="1626"/>
      <c r="S27" s="1626"/>
      <c r="T27" s="1626"/>
      <c r="U27" s="1626"/>
      <c r="V27" s="1626"/>
      <c r="W27" s="1626"/>
      <c r="X27" s="1626"/>
      <c r="Y27" s="1626"/>
      <c r="Z27" s="1626"/>
    </row>
    <row r="28" spans="1:26" ht="15.75" customHeight="1" x14ac:dyDescent="0.25">
      <c r="A28" s="1626"/>
      <c r="B28" s="1640"/>
      <c r="C28" s="2656" t="s">
        <v>3676</v>
      </c>
      <c r="D28" s="2653"/>
      <c r="E28" s="2654"/>
      <c r="F28" s="2661">
        <v>0</v>
      </c>
      <c r="G28" s="2653"/>
      <c r="H28" s="2654"/>
      <c r="I28" s="2656" t="s">
        <v>3677</v>
      </c>
      <c r="J28" s="2653"/>
      <c r="K28" s="2654"/>
      <c r="L28" s="2659"/>
      <c r="M28" s="2653"/>
      <c r="N28" s="2654"/>
      <c r="O28" s="1641"/>
      <c r="P28" s="1627"/>
      <c r="Q28" s="1627"/>
      <c r="R28" s="1626"/>
      <c r="S28" s="1626"/>
      <c r="T28" s="1626"/>
      <c r="U28" s="1626"/>
      <c r="V28" s="1626"/>
      <c r="W28" s="1626"/>
      <c r="X28" s="1626"/>
      <c r="Y28" s="1626"/>
      <c r="Z28" s="1626"/>
    </row>
    <row r="29" spans="1:26" ht="15.75" customHeight="1" x14ac:dyDescent="0.25">
      <c r="A29" s="1626"/>
      <c r="B29" s="1642"/>
      <c r="C29" s="1626"/>
      <c r="D29" s="1626"/>
      <c r="E29" s="1626"/>
      <c r="F29" s="1626"/>
      <c r="G29" s="1626"/>
      <c r="H29" s="1626"/>
      <c r="I29" s="1626"/>
      <c r="J29" s="1626"/>
      <c r="K29" s="1626"/>
      <c r="L29" s="1626"/>
      <c r="M29" s="1643"/>
      <c r="N29" s="1643"/>
      <c r="O29" s="1641"/>
      <c r="P29" s="1627"/>
      <c r="Q29" s="1627"/>
      <c r="R29" s="1626"/>
      <c r="S29" s="1626"/>
      <c r="T29" s="1626"/>
      <c r="U29" s="1626"/>
      <c r="V29" s="1626"/>
      <c r="W29" s="1626"/>
      <c r="X29" s="1626"/>
      <c r="Y29" s="1626"/>
      <c r="Z29" s="1626"/>
    </row>
    <row r="30" spans="1:26" ht="15.75" customHeight="1" x14ac:dyDescent="0.25">
      <c r="A30" s="1626"/>
      <c r="B30" s="2662" t="s">
        <v>3678</v>
      </c>
      <c r="C30" s="2663"/>
      <c r="D30" s="2663"/>
      <c r="E30" s="2663"/>
      <c r="F30" s="2663"/>
      <c r="G30" s="2663"/>
      <c r="H30" s="2663"/>
      <c r="I30" s="2663"/>
      <c r="J30" s="2663"/>
      <c r="K30" s="2663"/>
      <c r="L30" s="2663"/>
      <c r="M30" s="2663"/>
      <c r="N30" s="2663"/>
      <c r="O30" s="2649"/>
      <c r="P30" s="1627"/>
      <c r="Q30" s="1627"/>
      <c r="R30" s="1626"/>
      <c r="S30" s="1626"/>
      <c r="T30" s="1626"/>
      <c r="U30" s="1626"/>
      <c r="V30" s="1626"/>
      <c r="W30" s="1626"/>
      <c r="X30" s="1626"/>
      <c r="Y30" s="1626"/>
      <c r="Z30" s="1626"/>
    </row>
    <row r="31" spans="1:26" ht="15.75" customHeight="1" x14ac:dyDescent="0.25">
      <c r="A31" s="1626"/>
      <c r="B31" s="1644"/>
      <c r="C31" s="1645"/>
      <c r="D31" s="1645"/>
      <c r="E31" s="1645"/>
      <c r="F31" s="1645"/>
      <c r="G31" s="1645"/>
      <c r="H31" s="1645"/>
      <c r="I31" s="1645"/>
      <c r="J31" s="1645"/>
      <c r="K31" s="1645"/>
      <c r="L31" s="1645"/>
      <c r="M31" s="1645"/>
      <c r="N31" s="1645"/>
      <c r="O31" s="1646"/>
      <c r="P31" s="1627"/>
      <c r="Q31" s="1627"/>
      <c r="R31" s="1626"/>
      <c r="S31" s="1626"/>
      <c r="T31" s="1626"/>
      <c r="U31" s="1626"/>
      <c r="V31" s="1626"/>
      <c r="W31" s="1626"/>
      <c r="X31" s="1626"/>
      <c r="Y31" s="1626"/>
      <c r="Z31" s="1626"/>
    </row>
    <row r="32" spans="1:26" ht="15.75" customHeight="1" x14ac:dyDescent="0.25">
      <c r="A32" s="1626"/>
      <c r="B32" s="1647"/>
      <c r="C32" s="2658" t="s">
        <v>3679</v>
      </c>
      <c r="D32" s="2653"/>
      <c r="E32" s="2653"/>
      <c r="F32" s="2653"/>
      <c r="G32" s="2653"/>
      <c r="H32" s="2653"/>
      <c r="I32" s="2653"/>
      <c r="J32" s="2654"/>
      <c r="K32" s="1648" t="s">
        <v>3680</v>
      </c>
      <c r="L32" s="2658" t="s">
        <v>3617</v>
      </c>
      <c r="M32" s="2653"/>
      <c r="N32" s="2654"/>
      <c r="O32" s="1649"/>
      <c r="P32" s="1627"/>
      <c r="Q32" s="1627"/>
      <c r="R32" s="1626"/>
      <c r="S32" s="1626"/>
      <c r="T32" s="1626"/>
      <c r="U32" s="1626"/>
      <c r="V32" s="1626"/>
      <c r="W32" s="1626"/>
      <c r="X32" s="1626"/>
      <c r="Y32" s="1626"/>
      <c r="Z32" s="1626"/>
    </row>
    <row r="33" spans="1:26" ht="15.75" customHeight="1" x14ac:dyDescent="0.25">
      <c r="A33" s="1626"/>
      <c r="B33" s="1647" t="s">
        <v>3681</v>
      </c>
      <c r="C33" s="2664" t="s">
        <v>3682</v>
      </c>
      <c r="D33" s="2653"/>
      <c r="E33" s="2653"/>
      <c r="F33" s="2653"/>
      <c r="G33" s="2653"/>
      <c r="H33" s="2653"/>
      <c r="I33" s="2653"/>
      <c r="J33" s="2654"/>
      <c r="K33" s="1650" t="s">
        <v>1341</v>
      </c>
      <c r="L33" s="2665" t="s">
        <v>1062</v>
      </c>
      <c r="M33" s="2653"/>
      <c r="N33" s="2654"/>
      <c r="O33" s="1641"/>
      <c r="P33" s="1627"/>
      <c r="Q33" s="1627"/>
      <c r="R33" s="1626"/>
      <c r="S33" s="1626"/>
      <c r="T33" s="1626"/>
      <c r="U33" s="1626"/>
      <c r="V33" s="1626"/>
      <c r="W33" s="1626"/>
      <c r="X33" s="1626"/>
      <c r="Y33" s="1626"/>
      <c r="Z33" s="1626"/>
    </row>
    <row r="34" spans="1:26" ht="15.75" customHeight="1" x14ac:dyDescent="0.25">
      <c r="A34" s="1626"/>
      <c r="B34" s="1647" t="s">
        <v>3681</v>
      </c>
      <c r="C34" s="2666" t="s">
        <v>3683</v>
      </c>
      <c r="D34" s="2653"/>
      <c r="E34" s="2653"/>
      <c r="F34" s="2653"/>
      <c r="G34" s="2653"/>
      <c r="H34" s="2653"/>
      <c r="I34" s="2653"/>
      <c r="J34" s="2654"/>
      <c r="K34" s="1650" t="s">
        <v>1341</v>
      </c>
      <c r="L34" s="2665" t="s">
        <v>1062</v>
      </c>
      <c r="M34" s="2653"/>
      <c r="N34" s="2654"/>
      <c r="O34" s="1641"/>
      <c r="P34" s="1627"/>
      <c r="Q34" s="1627"/>
      <c r="R34" s="1626"/>
      <c r="S34" s="1626"/>
      <c r="T34" s="1626"/>
      <c r="U34" s="1626"/>
      <c r="V34" s="1626"/>
      <c r="W34" s="1626"/>
      <c r="X34" s="1626"/>
      <c r="Y34" s="1626"/>
      <c r="Z34" s="1626"/>
    </row>
    <row r="35" spans="1:26" ht="15.75" customHeight="1" x14ac:dyDescent="0.25">
      <c r="A35" s="1626"/>
      <c r="B35" s="1647" t="s">
        <v>3681</v>
      </c>
      <c r="C35" s="2664" t="s">
        <v>3684</v>
      </c>
      <c r="D35" s="2653"/>
      <c r="E35" s="2653"/>
      <c r="F35" s="2653"/>
      <c r="G35" s="2653"/>
      <c r="H35" s="2653"/>
      <c r="I35" s="2653"/>
      <c r="J35" s="2654"/>
      <c r="K35" s="1650" t="s">
        <v>455</v>
      </c>
      <c r="L35" s="2665">
        <v>1</v>
      </c>
      <c r="M35" s="2653"/>
      <c r="N35" s="2654"/>
      <c r="O35" s="1641"/>
      <c r="P35" s="1627"/>
      <c r="Q35" s="1627"/>
      <c r="R35" s="1626"/>
      <c r="S35" s="1626"/>
      <c r="T35" s="1626"/>
      <c r="U35" s="1626"/>
      <c r="V35" s="1626"/>
      <c r="W35" s="1626"/>
      <c r="X35" s="1626"/>
      <c r="Y35" s="1626"/>
      <c r="Z35" s="1626"/>
    </row>
    <row r="36" spans="1:26" ht="15.75" customHeight="1" x14ac:dyDescent="0.25">
      <c r="A36" s="1626"/>
      <c r="B36" s="1647" t="s">
        <v>3681</v>
      </c>
      <c r="C36" s="2664" t="s">
        <v>3685</v>
      </c>
      <c r="D36" s="2653"/>
      <c r="E36" s="2653"/>
      <c r="F36" s="2653"/>
      <c r="G36" s="2653"/>
      <c r="H36" s="2653"/>
      <c r="I36" s="2653"/>
      <c r="J36" s="2654"/>
      <c r="K36" s="1650" t="s">
        <v>1341</v>
      </c>
      <c r="L36" s="2665" t="s">
        <v>1062</v>
      </c>
      <c r="M36" s="2653"/>
      <c r="N36" s="2654"/>
      <c r="O36" s="1641"/>
      <c r="P36" s="1627"/>
      <c r="Q36" s="1627"/>
      <c r="R36" s="1626"/>
      <c r="S36" s="1626"/>
      <c r="T36" s="1626"/>
      <c r="U36" s="1626"/>
      <c r="V36" s="1626"/>
      <c r="W36" s="1626"/>
      <c r="X36" s="1626"/>
      <c r="Y36" s="1626"/>
      <c r="Z36" s="1626"/>
    </row>
    <row r="37" spans="1:26" ht="15.75" customHeight="1" x14ac:dyDescent="0.25">
      <c r="A37" s="1626"/>
      <c r="B37" s="1647" t="s">
        <v>3681</v>
      </c>
      <c r="C37" s="2664" t="s">
        <v>3686</v>
      </c>
      <c r="D37" s="2653"/>
      <c r="E37" s="2653"/>
      <c r="F37" s="2653"/>
      <c r="G37" s="2653"/>
      <c r="H37" s="2653"/>
      <c r="I37" s="2653"/>
      <c r="J37" s="2654"/>
      <c r="K37" s="1650" t="s">
        <v>1341</v>
      </c>
      <c r="L37" s="2665" t="s">
        <v>1062</v>
      </c>
      <c r="M37" s="2653"/>
      <c r="N37" s="2654"/>
      <c r="O37" s="1641"/>
      <c r="P37" s="1627"/>
      <c r="Q37" s="1627"/>
      <c r="R37" s="1626"/>
      <c r="S37" s="1626"/>
      <c r="T37" s="1626"/>
      <c r="U37" s="1626"/>
      <c r="V37" s="1626"/>
      <c r="W37" s="1626"/>
      <c r="X37" s="1626"/>
      <c r="Y37" s="1626"/>
      <c r="Z37" s="1626"/>
    </row>
    <row r="38" spans="1:26" ht="15.75" customHeight="1" x14ac:dyDescent="0.25">
      <c r="A38" s="1626"/>
      <c r="B38" s="1647" t="s">
        <v>3681</v>
      </c>
      <c r="C38" s="2664" t="s">
        <v>3687</v>
      </c>
      <c r="D38" s="2653"/>
      <c r="E38" s="2653"/>
      <c r="F38" s="2653"/>
      <c r="G38" s="2653"/>
      <c r="H38" s="2653"/>
      <c r="I38" s="2653"/>
      <c r="J38" s="2654"/>
      <c r="K38" s="1650" t="s">
        <v>1341</v>
      </c>
      <c r="L38" s="2665" t="s">
        <v>1062</v>
      </c>
      <c r="M38" s="2653"/>
      <c r="N38" s="2654"/>
      <c r="O38" s="1641"/>
      <c r="P38" s="1627"/>
      <c r="Q38" s="1627"/>
      <c r="R38" s="1626"/>
      <c r="S38" s="1626"/>
      <c r="T38" s="1626"/>
      <c r="U38" s="1626"/>
      <c r="V38" s="1626"/>
      <c r="W38" s="1626"/>
      <c r="X38" s="1626"/>
      <c r="Y38" s="1626"/>
      <c r="Z38" s="1626"/>
    </row>
    <row r="39" spans="1:26" ht="15.75" customHeight="1" x14ac:dyDescent="0.25">
      <c r="A39" s="1626"/>
      <c r="B39" s="1647" t="s">
        <v>3681</v>
      </c>
      <c r="C39" s="2664" t="s">
        <v>3688</v>
      </c>
      <c r="D39" s="2653"/>
      <c r="E39" s="2653"/>
      <c r="F39" s="2653"/>
      <c r="G39" s="2653"/>
      <c r="H39" s="2653"/>
      <c r="I39" s="2653"/>
      <c r="J39" s="2654"/>
      <c r="K39" s="1650" t="s">
        <v>455</v>
      </c>
      <c r="L39" s="2665">
        <v>27</v>
      </c>
      <c r="M39" s="2653"/>
      <c r="N39" s="2654"/>
      <c r="O39" s="1641"/>
      <c r="P39" s="1627"/>
      <c r="Q39" s="1627"/>
      <c r="R39" s="1626"/>
      <c r="S39" s="1626"/>
      <c r="T39" s="1626"/>
      <c r="U39" s="1626"/>
      <c r="V39" s="1626"/>
      <c r="W39" s="1626"/>
      <c r="X39" s="1626"/>
      <c r="Y39" s="1626"/>
      <c r="Z39" s="1626"/>
    </row>
    <row r="40" spans="1:26" ht="15.75" customHeight="1" x14ac:dyDescent="0.25">
      <c r="A40" s="1626"/>
      <c r="B40" s="1647"/>
      <c r="C40" s="1651" t="s">
        <v>3689</v>
      </c>
      <c r="D40" s="2664" t="s">
        <v>3690</v>
      </c>
      <c r="E40" s="2653"/>
      <c r="F40" s="2653"/>
      <c r="G40" s="2653"/>
      <c r="H40" s="2653"/>
      <c r="I40" s="2653"/>
      <c r="J40" s="2654"/>
      <c r="K40" s="1650" t="s">
        <v>1341</v>
      </c>
      <c r="L40" s="2665" t="s">
        <v>1062</v>
      </c>
      <c r="M40" s="2653"/>
      <c r="N40" s="2654"/>
      <c r="O40" s="1641"/>
      <c r="P40" s="1627"/>
      <c r="Q40" s="1627"/>
      <c r="R40" s="1626"/>
      <c r="S40" s="1626"/>
      <c r="T40" s="1626"/>
      <c r="U40" s="1626"/>
      <c r="V40" s="1626"/>
      <c r="W40" s="1626"/>
      <c r="X40" s="1626"/>
      <c r="Y40" s="1626"/>
      <c r="Z40" s="1626"/>
    </row>
    <row r="41" spans="1:26" ht="15.75" customHeight="1" x14ac:dyDescent="0.25">
      <c r="A41" s="1626"/>
      <c r="B41" s="1647"/>
      <c r="C41" s="1651" t="s">
        <v>3689</v>
      </c>
      <c r="D41" s="2664" t="s">
        <v>3691</v>
      </c>
      <c r="E41" s="2653"/>
      <c r="F41" s="2653"/>
      <c r="G41" s="2653"/>
      <c r="H41" s="2653"/>
      <c r="I41" s="2653"/>
      <c r="J41" s="2654"/>
      <c r="K41" s="1650" t="s">
        <v>1341</v>
      </c>
      <c r="L41" s="2665" t="s">
        <v>1062</v>
      </c>
      <c r="M41" s="2653"/>
      <c r="N41" s="2654"/>
      <c r="O41" s="1641"/>
      <c r="P41" s="1627"/>
      <c r="Q41" s="1627"/>
      <c r="R41" s="1626"/>
      <c r="S41" s="1626"/>
      <c r="T41" s="1626"/>
      <c r="U41" s="1626"/>
      <c r="V41" s="1626"/>
      <c r="W41" s="1626"/>
      <c r="X41" s="1626"/>
      <c r="Y41" s="1626"/>
      <c r="Z41" s="1626"/>
    </row>
    <row r="42" spans="1:26" ht="15.75" customHeight="1" x14ac:dyDescent="0.25">
      <c r="A42" s="1626"/>
      <c r="B42" s="1647"/>
      <c r="C42" s="1651" t="s">
        <v>3689</v>
      </c>
      <c r="D42" s="2664" t="s">
        <v>3692</v>
      </c>
      <c r="E42" s="2653"/>
      <c r="F42" s="2653"/>
      <c r="G42" s="2653"/>
      <c r="H42" s="2653"/>
      <c r="I42" s="2653"/>
      <c r="J42" s="2654"/>
      <c r="K42" s="1650" t="s">
        <v>1341</v>
      </c>
      <c r="L42" s="2665" t="s">
        <v>1062</v>
      </c>
      <c r="M42" s="2653"/>
      <c r="N42" s="2654"/>
      <c r="O42" s="1641"/>
      <c r="P42" s="1627"/>
      <c r="Q42" s="1627"/>
      <c r="R42" s="1626"/>
      <c r="S42" s="1626"/>
      <c r="T42" s="1626"/>
      <c r="U42" s="1626"/>
      <c r="V42" s="1626"/>
      <c r="W42" s="1626"/>
      <c r="X42" s="1626"/>
      <c r="Y42" s="1626"/>
      <c r="Z42" s="1626"/>
    </row>
    <row r="43" spans="1:26" ht="15.75" customHeight="1" x14ac:dyDescent="0.25">
      <c r="A43" s="1626"/>
      <c r="B43" s="1647"/>
      <c r="C43" s="1651" t="s">
        <v>3689</v>
      </c>
      <c r="D43" s="2664" t="s">
        <v>3693</v>
      </c>
      <c r="E43" s="2653"/>
      <c r="F43" s="2653"/>
      <c r="G43" s="2653"/>
      <c r="H43" s="2653"/>
      <c r="I43" s="2653"/>
      <c r="J43" s="2654"/>
      <c r="K43" s="1650" t="s">
        <v>1341</v>
      </c>
      <c r="L43" s="2665" t="s">
        <v>1062</v>
      </c>
      <c r="M43" s="2653"/>
      <c r="N43" s="2654"/>
      <c r="O43" s="1641"/>
      <c r="P43" s="1627"/>
      <c r="Q43" s="1627"/>
      <c r="R43" s="1626"/>
      <c r="S43" s="1626"/>
      <c r="T43" s="1626"/>
      <c r="U43" s="1626"/>
      <c r="V43" s="1626"/>
      <c r="W43" s="1626"/>
      <c r="X43" s="1626"/>
      <c r="Y43" s="1626"/>
      <c r="Z43" s="1626"/>
    </row>
    <row r="44" spans="1:26" ht="15.75" customHeight="1" x14ac:dyDescent="0.25">
      <c r="A44" s="1626"/>
      <c r="B44" s="1647"/>
      <c r="C44" s="1651" t="s">
        <v>3689</v>
      </c>
      <c r="D44" s="2664" t="s">
        <v>3694</v>
      </c>
      <c r="E44" s="2653"/>
      <c r="F44" s="2653"/>
      <c r="G44" s="2653"/>
      <c r="H44" s="2653"/>
      <c r="I44" s="2653"/>
      <c r="J44" s="2654"/>
      <c r="K44" s="1650" t="s">
        <v>1341</v>
      </c>
      <c r="L44" s="2665" t="s">
        <v>1062</v>
      </c>
      <c r="M44" s="2653"/>
      <c r="N44" s="2654"/>
      <c r="O44" s="1641"/>
      <c r="P44" s="1627"/>
      <c r="Q44" s="1627"/>
      <c r="R44" s="1626"/>
      <c r="S44" s="1626"/>
      <c r="T44" s="1626"/>
      <c r="U44" s="1626"/>
      <c r="V44" s="1626"/>
      <c r="W44" s="1626"/>
      <c r="X44" s="1626"/>
      <c r="Y44" s="1626"/>
      <c r="Z44" s="1626"/>
    </row>
    <row r="45" spans="1:26" ht="15.75" customHeight="1" x14ac:dyDescent="0.25">
      <c r="A45" s="1626"/>
      <c r="B45" s="1647"/>
      <c r="C45" s="1651" t="s">
        <v>3689</v>
      </c>
      <c r="D45" s="2664" t="s">
        <v>3695</v>
      </c>
      <c r="E45" s="2653"/>
      <c r="F45" s="2653"/>
      <c r="G45" s="2653"/>
      <c r="H45" s="2653"/>
      <c r="I45" s="2653"/>
      <c r="J45" s="2654"/>
      <c r="K45" s="1650" t="s">
        <v>1341</v>
      </c>
      <c r="L45" s="2665" t="s">
        <v>1062</v>
      </c>
      <c r="M45" s="2653"/>
      <c r="N45" s="2654"/>
      <c r="O45" s="1641"/>
      <c r="P45" s="1627"/>
      <c r="Q45" s="1627"/>
      <c r="R45" s="1626"/>
      <c r="S45" s="1626"/>
      <c r="T45" s="1626"/>
      <c r="U45" s="1626"/>
      <c r="V45" s="1626"/>
      <c r="W45" s="1626"/>
      <c r="X45" s="1626"/>
      <c r="Y45" s="1626"/>
      <c r="Z45" s="1626"/>
    </row>
    <row r="46" spans="1:26" ht="15.75" customHeight="1" x14ac:dyDescent="0.25">
      <c r="A46" s="1626"/>
      <c r="B46" s="1647" t="s">
        <v>3681</v>
      </c>
      <c r="C46" s="2664" t="s">
        <v>3696</v>
      </c>
      <c r="D46" s="2653"/>
      <c r="E46" s="2653"/>
      <c r="F46" s="2653"/>
      <c r="G46" s="2653"/>
      <c r="H46" s="2653"/>
      <c r="I46" s="2653"/>
      <c r="J46" s="2654"/>
      <c r="K46" s="1650" t="s">
        <v>1341</v>
      </c>
      <c r="L46" s="2665" t="s">
        <v>1062</v>
      </c>
      <c r="M46" s="2653"/>
      <c r="N46" s="2654"/>
      <c r="O46" s="1641"/>
      <c r="P46" s="1627"/>
      <c r="Q46" s="1627"/>
      <c r="R46" s="1626"/>
      <c r="S46" s="1626"/>
      <c r="T46" s="1626"/>
      <c r="U46" s="1626"/>
      <c r="V46" s="1626"/>
      <c r="W46" s="1626"/>
      <c r="X46" s="1626"/>
      <c r="Y46" s="1626"/>
      <c r="Z46" s="1626"/>
    </row>
    <row r="47" spans="1:26" ht="15.75" customHeight="1" x14ac:dyDescent="0.25">
      <c r="A47" s="1626"/>
      <c r="B47" s="1647" t="s">
        <v>3681</v>
      </c>
      <c r="C47" s="2664" t="s">
        <v>3697</v>
      </c>
      <c r="D47" s="2653"/>
      <c r="E47" s="2653"/>
      <c r="F47" s="2653"/>
      <c r="G47" s="2653"/>
      <c r="H47" s="2653"/>
      <c r="I47" s="2653"/>
      <c r="J47" s="2654"/>
      <c r="K47" s="1650" t="s">
        <v>1341</v>
      </c>
      <c r="L47" s="2665" t="s">
        <v>1062</v>
      </c>
      <c r="M47" s="2653"/>
      <c r="N47" s="2654"/>
      <c r="O47" s="1641"/>
      <c r="P47" s="1627"/>
      <c r="Q47" s="1627"/>
      <c r="R47" s="1626"/>
      <c r="S47" s="1626"/>
      <c r="T47" s="1626"/>
      <c r="U47" s="1626"/>
      <c r="V47" s="1626"/>
      <c r="W47" s="1626"/>
      <c r="X47" s="1626"/>
      <c r="Y47" s="1626"/>
      <c r="Z47" s="1626"/>
    </row>
    <row r="48" spans="1:26" ht="15.75" customHeight="1" x14ac:dyDescent="0.25">
      <c r="A48" s="1626"/>
      <c r="B48" s="1647" t="s">
        <v>3681</v>
      </c>
      <c r="C48" s="2664" t="s">
        <v>3698</v>
      </c>
      <c r="D48" s="2653"/>
      <c r="E48" s="2653"/>
      <c r="F48" s="2653"/>
      <c r="G48" s="2653"/>
      <c r="H48" s="2653"/>
      <c r="I48" s="2653"/>
      <c r="J48" s="2654"/>
      <c r="K48" s="1650" t="s">
        <v>1341</v>
      </c>
      <c r="L48" s="2665" t="s">
        <v>1062</v>
      </c>
      <c r="M48" s="2653"/>
      <c r="N48" s="2654"/>
      <c r="O48" s="1641"/>
      <c r="P48" s="1627"/>
      <c r="Q48" s="1627"/>
      <c r="R48" s="1626"/>
      <c r="S48" s="1626"/>
      <c r="T48" s="1626"/>
      <c r="U48" s="1626"/>
      <c r="V48" s="1626"/>
      <c r="W48" s="1626"/>
      <c r="X48" s="1626"/>
      <c r="Y48" s="1626"/>
      <c r="Z48" s="1626"/>
    </row>
    <row r="49" spans="1:26" ht="15.75" customHeight="1" x14ac:dyDescent="0.25">
      <c r="A49" s="1626"/>
      <c r="B49" s="1642"/>
      <c r="C49" s="1643"/>
      <c r="D49" s="1643"/>
      <c r="E49" s="1643"/>
      <c r="F49" s="1643"/>
      <c r="G49" s="1643"/>
      <c r="H49" s="1643"/>
      <c r="I49" s="1643"/>
      <c r="J49" s="1643"/>
      <c r="K49" s="1643"/>
      <c r="L49" s="1643"/>
      <c r="M49" s="1643"/>
      <c r="N49" s="1643"/>
      <c r="O49" s="1641"/>
      <c r="P49" s="1627"/>
      <c r="Q49" s="1627"/>
      <c r="R49" s="1626"/>
      <c r="S49" s="1626"/>
      <c r="T49" s="1626"/>
      <c r="U49" s="1626"/>
      <c r="V49" s="1626"/>
      <c r="W49" s="1626"/>
      <c r="X49" s="1626"/>
      <c r="Y49" s="1626"/>
      <c r="Z49" s="1626"/>
    </row>
    <row r="50" spans="1:26" ht="15.75" customHeight="1" x14ac:dyDescent="0.25">
      <c r="A50" s="1626"/>
      <c r="B50" s="2662" t="s">
        <v>3661</v>
      </c>
      <c r="C50" s="2663"/>
      <c r="D50" s="2663"/>
      <c r="E50" s="2663"/>
      <c r="F50" s="2663"/>
      <c r="G50" s="2663"/>
      <c r="H50" s="2663"/>
      <c r="I50" s="2663"/>
      <c r="J50" s="2663"/>
      <c r="K50" s="2663"/>
      <c r="L50" s="2663"/>
      <c r="M50" s="2663"/>
      <c r="N50" s="2663"/>
      <c r="O50" s="2649"/>
      <c r="P50" s="1627"/>
      <c r="Q50" s="1627"/>
      <c r="R50" s="1626"/>
      <c r="S50" s="1626"/>
      <c r="T50" s="1626"/>
      <c r="U50" s="1626"/>
      <c r="V50" s="1626"/>
      <c r="W50" s="1626"/>
      <c r="X50" s="1626"/>
      <c r="Y50" s="1626"/>
      <c r="Z50" s="1626"/>
    </row>
    <row r="51" spans="1:26" ht="15.75" customHeight="1" x14ac:dyDescent="0.25">
      <c r="A51" s="1626"/>
      <c r="B51" s="1647" t="s">
        <v>3681</v>
      </c>
      <c r="C51" s="2668" t="s">
        <v>3699</v>
      </c>
      <c r="D51" s="2663"/>
      <c r="E51" s="2663"/>
      <c r="F51" s="2663"/>
      <c r="G51" s="2663"/>
      <c r="H51" s="2663"/>
      <c r="I51" s="2663"/>
      <c r="J51" s="2663"/>
      <c r="K51" s="2663"/>
      <c r="L51" s="2663"/>
      <c r="M51" s="2663"/>
      <c r="N51" s="2663"/>
      <c r="O51" s="2649"/>
      <c r="P51" s="1627"/>
      <c r="Q51" s="1627"/>
      <c r="R51" s="1626"/>
      <c r="S51" s="1626"/>
      <c r="T51" s="1626"/>
      <c r="U51" s="1626"/>
      <c r="V51" s="1626"/>
      <c r="W51" s="1626"/>
      <c r="X51" s="1626"/>
      <c r="Y51" s="1626"/>
      <c r="Z51" s="1626"/>
    </row>
    <row r="52" spans="1:26" ht="15.75" customHeight="1" x14ac:dyDescent="0.25">
      <c r="A52" s="1626"/>
      <c r="B52" s="1647" t="s">
        <v>3681</v>
      </c>
      <c r="C52" s="2668" t="s">
        <v>3700</v>
      </c>
      <c r="D52" s="2663"/>
      <c r="E52" s="2663"/>
      <c r="F52" s="2663"/>
      <c r="G52" s="2663"/>
      <c r="H52" s="2663"/>
      <c r="I52" s="2663"/>
      <c r="J52" s="2663"/>
      <c r="K52" s="2663"/>
      <c r="L52" s="2663"/>
      <c r="M52" s="2663"/>
      <c r="N52" s="2663"/>
      <c r="O52" s="2649"/>
      <c r="P52" s="1627"/>
      <c r="Q52" s="1627"/>
      <c r="R52" s="1626"/>
      <c r="S52" s="1626"/>
      <c r="T52" s="1626"/>
      <c r="U52" s="1626"/>
      <c r="V52" s="1626"/>
      <c r="W52" s="1626"/>
      <c r="X52" s="1626"/>
      <c r="Y52" s="1626"/>
      <c r="Z52" s="1626"/>
    </row>
    <row r="53" spans="1:26" ht="15.75" customHeight="1" x14ac:dyDescent="0.25">
      <c r="A53" s="1626"/>
      <c r="B53" s="1652" t="s">
        <v>3681</v>
      </c>
      <c r="C53" s="2667" t="s">
        <v>3701</v>
      </c>
      <c r="D53" s="2663"/>
      <c r="E53" s="2663"/>
      <c r="F53" s="2663"/>
      <c r="G53" s="2663"/>
      <c r="H53" s="2663"/>
      <c r="I53" s="2663"/>
      <c r="J53" s="2663"/>
      <c r="K53" s="2663"/>
      <c r="L53" s="2663"/>
      <c r="M53" s="2663"/>
      <c r="N53" s="2663"/>
      <c r="O53" s="2649"/>
      <c r="P53" s="1627"/>
      <c r="Q53" s="1627"/>
      <c r="R53" s="1626"/>
      <c r="S53" s="1626"/>
      <c r="T53" s="1626"/>
      <c r="U53" s="1626"/>
      <c r="V53" s="1626"/>
      <c r="W53" s="1626"/>
      <c r="X53" s="1626"/>
      <c r="Y53" s="1626"/>
      <c r="Z53" s="1626"/>
    </row>
    <row r="54" spans="1:26" ht="15.75" customHeight="1" x14ac:dyDescent="0.25">
      <c r="A54" s="1626"/>
      <c r="B54" s="1652" t="s">
        <v>3681</v>
      </c>
      <c r="C54" s="2671" t="s">
        <v>3702</v>
      </c>
      <c r="D54" s="2663"/>
      <c r="E54" s="2663"/>
      <c r="F54" s="2663"/>
      <c r="G54" s="2663"/>
      <c r="H54" s="2663"/>
      <c r="I54" s="2663"/>
      <c r="J54" s="2663"/>
      <c r="K54" s="2663"/>
      <c r="L54" s="2663"/>
      <c r="M54" s="2663"/>
      <c r="N54" s="2663"/>
      <c r="O54" s="2649"/>
      <c r="P54" s="1627"/>
      <c r="Q54" s="1627"/>
      <c r="R54" s="1626"/>
      <c r="S54" s="1626"/>
      <c r="T54" s="1626"/>
      <c r="U54" s="1626"/>
      <c r="V54" s="1626"/>
      <c r="W54" s="1626"/>
      <c r="X54" s="1626"/>
      <c r="Y54" s="1626"/>
      <c r="Z54" s="1626"/>
    </row>
    <row r="55" spans="1:26" ht="15.75" customHeight="1" x14ac:dyDescent="0.25">
      <c r="A55" s="1626"/>
      <c r="B55" s="1647" t="s">
        <v>3681</v>
      </c>
      <c r="C55" s="2668" t="s">
        <v>3703</v>
      </c>
      <c r="D55" s="2663"/>
      <c r="E55" s="2663"/>
      <c r="F55" s="2663"/>
      <c r="G55" s="2663"/>
      <c r="H55" s="2663"/>
      <c r="I55" s="2663"/>
      <c r="J55" s="2663"/>
      <c r="K55" s="2663"/>
      <c r="L55" s="2663"/>
      <c r="M55" s="2663"/>
      <c r="N55" s="2663"/>
      <c r="O55" s="2649"/>
      <c r="P55" s="1627"/>
      <c r="Q55" s="1627"/>
      <c r="R55" s="1626"/>
      <c r="S55" s="1626"/>
      <c r="T55" s="1626"/>
      <c r="U55" s="1626"/>
      <c r="V55" s="1626"/>
      <c r="W55" s="1626"/>
      <c r="X55" s="1626"/>
      <c r="Y55" s="1626"/>
      <c r="Z55" s="1626"/>
    </row>
    <row r="56" spans="1:26" ht="15.75" customHeight="1" x14ac:dyDescent="0.25">
      <c r="A56" s="1626"/>
      <c r="B56" s="1647" t="s">
        <v>3681</v>
      </c>
      <c r="C56" s="2668" t="s">
        <v>3704</v>
      </c>
      <c r="D56" s="2663"/>
      <c r="E56" s="2663"/>
      <c r="F56" s="2663"/>
      <c r="G56" s="2663"/>
      <c r="H56" s="2663"/>
      <c r="I56" s="2663"/>
      <c r="J56" s="2663"/>
      <c r="K56" s="2663"/>
      <c r="L56" s="2663"/>
      <c r="M56" s="2663"/>
      <c r="N56" s="2663"/>
      <c r="O56" s="2649"/>
      <c r="P56" s="1627"/>
      <c r="Q56" s="1627"/>
      <c r="R56" s="1626"/>
      <c r="S56" s="1626"/>
      <c r="T56" s="1626"/>
      <c r="U56" s="1626"/>
      <c r="V56" s="1626"/>
      <c r="W56" s="1626"/>
      <c r="X56" s="1626"/>
      <c r="Y56" s="1626"/>
      <c r="Z56" s="1626"/>
    </row>
    <row r="57" spans="1:26" ht="15.75" customHeight="1" x14ac:dyDescent="0.25">
      <c r="A57" s="1626"/>
      <c r="B57" s="1647" t="s">
        <v>3681</v>
      </c>
      <c r="C57" s="2668" t="s">
        <v>3705</v>
      </c>
      <c r="D57" s="2663"/>
      <c r="E57" s="2663"/>
      <c r="F57" s="2663"/>
      <c r="G57" s="2663"/>
      <c r="H57" s="2663"/>
      <c r="I57" s="2663"/>
      <c r="J57" s="2663"/>
      <c r="K57" s="2663"/>
      <c r="L57" s="2663"/>
      <c r="M57" s="2663"/>
      <c r="N57" s="2663"/>
      <c r="O57" s="2649"/>
      <c r="P57" s="1627"/>
      <c r="Q57" s="1627"/>
      <c r="R57" s="1626"/>
      <c r="S57" s="1626"/>
      <c r="T57" s="1626"/>
      <c r="U57" s="1626"/>
      <c r="V57" s="1626"/>
      <c r="W57" s="1626"/>
      <c r="X57" s="1626"/>
      <c r="Y57" s="1626"/>
      <c r="Z57" s="1626"/>
    </row>
    <row r="58" spans="1:26" ht="15.75" customHeight="1" x14ac:dyDescent="0.25">
      <c r="A58" s="1626"/>
      <c r="B58" s="1647"/>
      <c r="C58" s="2668"/>
      <c r="D58" s="2663"/>
      <c r="E58" s="2663"/>
      <c r="F58" s="2663"/>
      <c r="G58" s="1627"/>
      <c r="H58" s="1626"/>
      <c r="I58" s="1626"/>
      <c r="J58" s="1626"/>
      <c r="K58" s="1626"/>
      <c r="L58" s="1626"/>
      <c r="M58" s="1626"/>
      <c r="N58" s="1626"/>
      <c r="O58" s="1632"/>
      <c r="P58" s="1627"/>
      <c r="Q58" s="1627"/>
      <c r="R58" s="1626"/>
      <c r="S58" s="1626"/>
      <c r="T58" s="1626"/>
      <c r="U58" s="1626"/>
      <c r="V58" s="1626"/>
      <c r="W58" s="1626"/>
      <c r="X58" s="1626"/>
      <c r="Y58" s="1626"/>
      <c r="Z58" s="1626"/>
    </row>
    <row r="59" spans="1:26" ht="15.75" customHeight="1" x14ac:dyDescent="0.25">
      <c r="A59" s="1626"/>
      <c r="B59" s="2672" t="s">
        <v>3706</v>
      </c>
      <c r="C59" s="2663"/>
      <c r="D59" s="2663"/>
      <c r="E59" s="2663"/>
      <c r="F59" s="2663"/>
      <c r="G59" s="2663"/>
      <c r="H59" s="2663"/>
      <c r="I59" s="2663"/>
      <c r="J59" s="2663"/>
      <c r="K59" s="2663"/>
      <c r="L59" s="2663"/>
      <c r="M59" s="2663"/>
      <c r="N59" s="2663"/>
      <c r="O59" s="2649"/>
      <c r="P59" s="1627"/>
      <c r="Q59" s="1627"/>
      <c r="R59" s="1626"/>
      <c r="S59" s="1626"/>
      <c r="T59" s="1626"/>
      <c r="U59" s="1626"/>
      <c r="V59" s="1626"/>
      <c r="W59" s="1626"/>
      <c r="X59" s="1626"/>
      <c r="Y59" s="1626"/>
      <c r="Z59" s="1626"/>
    </row>
    <row r="60" spans="1:26" ht="15.75" customHeight="1" thickBot="1" x14ac:dyDescent="0.3">
      <c r="A60" s="1626"/>
      <c r="B60" s="2669" t="s">
        <v>3707</v>
      </c>
      <c r="C60" s="2670"/>
      <c r="D60" s="2670"/>
      <c r="E60" s="2670"/>
      <c r="F60" s="2670"/>
      <c r="G60" s="2670"/>
      <c r="H60" s="2670"/>
      <c r="I60" s="2670"/>
      <c r="J60" s="2670"/>
      <c r="K60" s="2670"/>
      <c r="L60" s="2670"/>
      <c r="M60" s="2670"/>
      <c r="N60" s="2670"/>
      <c r="O60" s="2641"/>
      <c r="P60" s="1627"/>
      <c r="Q60" s="1627"/>
      <c r="R60" s="1626"/>
      <c r="S60" s="1626"/>
      <c r="T60" s="1626"/>
      <c r="U60" s="1626"/>
      <c r="V60" s="1626"/>
      <c r="W60" s="1626"/>
      <c r="X60" s="1626"/>
      <c r="Y60" s="1626"/>
      <c r="Z60" s="1626"/>
    </row>
    <row r="61" spans="1:26" ht="15.75" customHeight="1" x14ac:dyDescent="0.25">
      <c r="A61" s="1626"/>
      <c r="B61" s="1626"/>
      <c r="C61" s="1626"/>
      <c r="D61" s="1626"/>
      <c r="E61" s="1626"/>
      <c r="F61" s="1626"/>
      <c r="G61" s="1626"/>
      <c r="H61" s="1626"/>
      <c r="I61" s="1626"/>
      <c r="J61" s="1626"/>
      <c r="K61" s="1626"/>
      <c r="L61" s="1626"/>
      <c r="M61" s="1626"/>
      <c r="N61" s="1626"/>
      <c r="O61" s="1626"/>
      <c r="P61" s="1627"/>
      <c r="Q61" s="1627"/>
      <c r="R61" s="1626"/>
      <c r="S61" s="1626"/>
      <c r="T61" s="1626"/>
      <c r="U61" s="1626"/>
      <c r="V61" s="1626"/>
      <c r="W61" s="1626"/>
      <c r="X61" s="1626"/>
      <c r="Y61" s="1626"/>
      <c r="Z61" s="1626"/>
    </row>
    <row r="62" spans="1:26" ht="15.75" customHeight="1" x14ac:dyDescent="0.25">
      <c r="A62" s="1626"/>
      <c r="B62" s="1626"/>
      <c r="C62" s="1626"/>
      <c r="D62" s="1626"/>
      <c r="E62" s="1626"/>
      <c r="F62" s="1626"/>
      <c r="G62" s="1626"/>
      <c r="H62" s="1626"/>
      <c r="I62" s="1626"/>
      <c r="J62" s="1626"/>
      <c r="K62" s="1626"/>
      <c r="L62" s="1626"/>
      <c r="M62" s="1626"/>
      <c r="N62" s="1626"/>
      <c r="O62" s="1626"/>
      <c r="P62" s="1627"/>
      <c r="Q62" s="1627"/>
      <c r="R62" s="1626"/>
      <c r="S62" s="1626"/>
      <c r="T62" s="1626"/>
      <c r="U62" s="1626"/>
      <c r="V62" s="1626"/>
      <c r="W62" s="1626"/>
      <c r="X62" s="1626"/>
      <c r="Y62" s="1626"/>
      <c r="Z62" s="1626"/>
    </row>
    <row r="63" spans="1:26" ht="15.75" customHeight="1" x14ac:dyDescent="0.25">
      <c r="A63" s="1626"/>
      <c r="B63" s="1626"/>
      <c r="C63" s="1626"/>
      <c r="D63" s="1626"/>
      <c r="E63" s="1626"/>
      <c r="F63" s="1626"/>
      <c r="G63" s="1626"/>
      <c r="H63" s="1626"/>
      <c r="I63" s="1626"/>
      <c r="J63" s="1626"/>
      <c r="K63" s="1626"/>
      <c r="L63" s="1626"/>
      <c r="M63" s="1626"/>
      <c r="N63" s="1626"/>
      <c r="O63" s="1626"/>
      <c r="P63" s="1627"/>
      <c r="Q63" s="1627"/>
      <c r="R63" s="1626"/>
      <c r="S63" s="1626"/>
      <c r="T63" s="1626"/>
      <c r="U63" s="1626"/>
      <c r="V63" s="1626"/>
      <c r="W63" s="1626"/>
      <c r="X63" s="1626"/>
      <c r="Y63" s="1626"/>
      <c r="Z63" s="1626"/>
    </row>
    <row r="64" spans="1:26" ht="15.75" customHeight="1" x14ac:dyDescent="0.25">
      <c r="A64" s="1626"/>
      <c r="B64" s="1626"/>
      <c r="C64" s="1626"/>
      <c r="D64" s="1626"/>
      <c r="E64" s="1626"/>
      <c r="F64" s="1626"/>
      <c r="G64" s="1626"/>
      <c r="H64" s="1626"/>
      <c r="I64" s="1626"/>
      <c r="J64" s="1626"/>
      <c r="K64" s="1626"/>
      <c r="L64" s="1626"/>
      <c r="M64" s="1626"/>
      <c r="N64" s="1626"/>
      <c r="O64" s="1626"/>
      <c r="P64" s="1627"/>
      <c r="Q64" s="1627"/>
      <c r="R64" s="1626"/>
      <c r="S64" s="1626"/>
      <c r="T64" s="1626"/>
      <c r="U64" s="1626"/>
      <c r="V64" s="1626"/>
      <c r="W64" s="1626"/>
      <c r="X64" s="1626"/>
      <c r="Y64" s="1626"/>
      <c r="Z64" s="1626"/>
    </row>
    <row r="65" spans="1:26" ht="15.75" customHeight="1" x14ac:dyDescent="0.25">
      <c r="A65" s="1626"/>
      <c r="B65" s="1626"/>
      <c r="C65" s="1626"/>
      <c r="D65" s="1626"/>
      <c r="E65" s="1626"/>
      <c r="F65" s="1626"/>
      <c r="G65" s="1626"/>
      <c r="H65" s="1626"/>
      <c r="I65" s="1626"/>
      <c r="J65" s="1626"/>
      <c r="K65" s="1626"/>
      <c r="L65" s="1626"/>
      <c r="M65" s="1626"/>
      <c r="N65" s="1626"/>
      <c r="O65" s="1626"/>
      <c r="P65" s="1627"/>
      <c r="Q65" s="1627"/>
      <c r="R65" s="1626"/>
      <c r="S65" s="1626"/>
      <c r="T65" s="1626"/>
      <c r="U65" s="1626"/>
      <c r="V65" s="1626"/>
      <c r="W65" s="1626"/>
      <c r="X65" s="1626"/>
      <c r="Y65" s="1626"/>
      <c r="Z65" s="1626"/>
    </row>
    <row r="66" spans="1:26" ht="15.75" customHeight="1" x14ac:dyDescent="0.25">
      <c r="A66" s="1626"/>
      <c r="B66" s="1626"/>
      <c r="C66" s="1626"/>
      <c r="D66" s="1626"/>
      <c r="E66" s="1626"/>
      <c r="F66" s="1626"/>
      <c r="G66" s="1626"/>
      <c r="H66" s="1626"/>
      <c r="I66" s="1626"/>
      <c r="J66" s="1626"/>
      <c r="K66" s="1626"/>
      <c r="L66" s="1626"/>
      <c r="M66" s="1626"/>
      <c r="N66" s="1626"/>
      <c r="O66" s="1626"/>
      <c r="P66" s="1627"/>
      <c r="Q66" s="1627"/>
      <c r="R66" s="1626"/>
      <c r="S66" s="1626"/>
      <c r="T66" s="1626"/>
      <c r="U66" s="1626"/>
      <c r="V66" s="1626"/>
      <c r="W66" s="1626"/>
      <c r="X66" s="1626"/>
      <c r="Y66" s="1626"/>
      <c r="Z66" s="1626"/>
    </row>
    <row r="67" spans="1:26" ht="15.75" customHeight="1" x14ac:dyDescent="0.25">
      <c r="A67" s="1626"/>
      <c r="B67" s="1626"/>
      <c r="C67" s="1626"/>
      <c r="D67" s="1626"/>
      <c r="E67" s="1626"/>
      <c r="F67" s="1626"/>
      <c r="G67" s="1626"/>
      <c r="H67" s="1626"/>
      <c r="I67" s="1626"/>
      <c r="J67" s="1626"/>
      <c r="K67" s="1626"/>
      <c r="L67" s="1626"/>
      <c r="M67" s="1626"/>
      <c r="N67" s="1626"/>
      <c r="O67" s="1626"/>
      <c r="P67" s="1627"/>
      <c r="Q67" s="1627"/>
      <c r="R67" s="1626"/>
      <c r="S67" s="1626"/>
      <c r="T67" s="1626"/>
      <c r="U67" s="1626"/>
      <c r="V67" s="1626"/>
      <c r="W67" s="1626"/>
      <c r="X67" s="1626"/>
      <c r="Y67" s="1626"/>
      <c r="Z67" s="1626"/>
    </row>
    <row r="68" spans="1:26" ht="15.75" customHeight="1" x14ac:dyDescent="0.25">
      <c r="A68" s="1626"/>
      <c r="B68" s="1626"/>
      <c r="C68" s="1626"/>
      <c r="D68" s="1626"/>
      <c r="E68" s="1626"/>
      <c r="F68" s="1626"/>
      <c r="G68" s="1626"/>
      <c r="H68" s="1626"/>
      <c r="I68" s="1626"/>
      <c r="J68" s="1626"/>
      <c r="K68" s="1626"/>
      <c r="L68" s="1626"/>
      <c r="M68" s="1626"/>
      <c r="N68" s="1626"/>
      <c r="O68" s="1626"/>
      <c r="P68" s="1627"/>
      <c r="Q68" s="1627"/>
      <c r="R68" s="1626"/>
      <c r="S68" s="1626"/>
      <c r="T68" s="1626"/>
      <c r="U68" s="1626"/>
      <c r="V68" s="1626"/>
      <c r="W68" s="1626"/>
      <c r="X68" s="1626"/>
      <c r="Y68" s="1626"/>
      <c r="Z68" s="1626"/>
    </row>
    <row r="69" spans="1:26" ht="15.75" customHeight="1" x14ac:dyDescent="0.25">
      <c r="A69" s="1626"/>
      <c r="B69" s="1626"/>
      <c r="C69" s="1626"/>
      <c r="D69" s="1626"/>
      <c r="E69" s="1626"/>
      <c r="F69" s="1626"/>
      <c r="G69" s="1626"/>
      <c r="H69" s="1626"/>
      <c r="I69" s="1626"/>
      <c r="J69" s="1626"/>
      <c r="K69" s="1626"/>
      <c r="L69" s="1626"/>
      <c r="M69" s="1626"/>
      <c r="N69" s="1626"/>
      <c r="O69" s="1626"/>
      <c r="P69" s="1627"/>
      <c r="Q69" s="1627"/>
      <c r="R69" s="1626"/>
      <c r="S69" s="1626"/>
      <c r="T69" s="1626"/>
      <c r="U69" s="1626"/>
      <c r="V69" s="1626"/>
      <c r="W69" s="1626"/>
      <c r="X69" s="1626"/>
      <c r="Y69" s="1626"/>
      <c r="Z69" s="1626"/>
    </row>
    <row r="70" spans="1:26" ht="15.75" customHeight="1" x14ac:dyDescent="0.25">
      <c r="A70" s="1626"/>
      <c r="B70" s="1626"/>
      <c r="C70" s="1626"/>
      <c r="D70" s="1626"/>
      <c r="E70" s="1626"/>
      <c r="F70" s="1626"/>
      <c r="G70" s="1626"/>
      <c r="H70" s="1626"/>
      <c r="I70" s="1626"/>
      <c r="J70" s="1626"/>
      <c r="K70" s="1626"/>
      <c r="L70" s="1626"/>
      <c r="M70" s="1626"/>
      <c r="N70" s="1626"/>
      <c r="O70" s="1626"/>
      <c r="P70" s="1627"/>
      <c r="Q70" s="1627"/>
      <c r="R70" s="1626"/>
      <c r="S70" s="1626"/>
      <c r="T70" s="1626"/>
      <c r="U70" s="1626"/>
      <c r="V70" s="1626"/>
      <c r="W70" s="1626"/>
      <c r="X70" s="1626"/>
      <c r="Y70" s="1626"/>
      <c r="Z70" s="1626"/>
    </row>
    <row r="71" spans="1:26" ht="15.75" customHeight="1" x14ac:dyDescent="0.25">
      <c r="A71" s="1626"/>
      <c r="B71" s="1626"/>
      <c r="C71" s="1626"/>
      <c r="D71" s="1626"/>
      <c r="E71" s="1626"/>
      <c r="F71" s="1626"/>
      <c r="G71" s="1626"/>
      <c r="H71" s="1626"/>
      <c r="I71" s="1626"/>
      <c r="J71" s="1626"/>
      <c r="K71" s="1626"/>
      <c r="L71" s="1626"/>
      <c r="M71" s="1626"/>
      <c r="N71" s="1626"/>
      <c r="O71" s="1626"/>
      <c r="P71" s="1627"/>
      <c r="Q71" s="1627"/>
      <c r="R71" s="1626"/>
      <c r="S71" s="1626"/>
      <c r="T71" s="1626"/>
      <c r="U71" s="1626"/>
      <c r="V71" s="1626"/>
      <c r="W71" s="1626"/>
      <c r="X71" s="1626"/>
      <c r="Y71" s="1626"/>
      <c r="Z71" s="1626"/>
    </row>
    <row r="72" spans="1:26" ht="15.75" customHeight="1" x14ac:dyDescent="0.25">
      <c r="A72" s="1626"/>
      <c r="B72" s="1626"/>
      <c r="C72" s="1626"/>
      <c r="D72" s="1626"/>
      <c r="E72" s="1626"/>
      <c r="F72" s="1626"/>
      <c r="G72" s="1626"/>
      <c r="H72" s="1626"/>
      <c r="I72" s="1626"/>
      <c r="J72" s="1626"/>
      <c r="K72" s="1626"/>
      <c r="L72" s="1626"/>
      <c r="M72" s="1626"/>
      <c r="N72" s="1626"/>
      <c r="O72" s="1626"/>
      <c r="P72" s="1627"/>
      <c r="Q72" s="1627"/>
      <c r="R72" s="1626"/>
      <c r="S72" s="1626"/>
      <c r="T72" s="1626"/>
      <c r="U72" s="1626"/>
      <c r="V72" s="1626"/>
      <c r="W72" s="1626"/>
      <c r="X72" s="1626"/>
      <c r="Y72" s="1626"/>
      <c r="Z72" s="1626"/>
    </row>
    <row r="73" spans="1:26" ht="15.75" customHeight="1" x14ac:dyDescent="0.25">
      <c r="A73" s="1626"/>
      <c r="B73" s="1626"/>
      <c r="C73" s="1626"/>
      <c r="D73" s="1626"/>
      <c r="E73" s="1626"/>
      <c r="F73" s="1626"/>
      <c r="G73" s="1626"/>
      <c r="H73" s="1626"/>
      <c r="I73" s="1626"/>
      <c r="J73" s="1626"/>
      <c r="K73" s="1626"/>
      <c r="L73" s="1626"/>
      <c r="M73" s="1626"/>
      <c r="N73" s="1626"/>
      <c r="O73" s="1626"/>
      <c r="P73" s="1627"/>
      <c r="Q73" s="1627"/>
      <c r="R73" s="1626"/>
      <c r="S73" s="1626"/>
      <c r="T73" s="1626"/>
      <c r="U73" s="1626"/>
      <c r="V73" s="1626"/>
      <c r="W73" s="1626"/>
      <c r="X73" s="1626"/>
      <c r="Y73" s="1626"/>
      <c r="Z73" s="1626"/>
    </row>
    <row r="74" spans="1:26" ht="15.75" customHeight="1" x14ac:dyDescent="0.25">
      <c r="A74" s="1626"/>
      <c r="B74" s="1626"/>
      <c r="C74" s="1626"/>
      <c r="D74" s="1626"/>
      <c r="E74" s="1626"/>
      <c r="F74" s="1626"/>
      <c r="G74" s="1626"/>
      <c r="H74" s="1626"/>
      <c r="I74" s="1626"/>
      <c r="J74" s="1626"/>
      <c r="K74" s="1626"/>
      <c r="L74" s="1626"/>
      <c r="M74" s="1626"/>
      <c r="N74" s="1626"/>
      <c r="O74" s="1626"/>
      <c r="P74" s="1627"/>
      <c r="Q74" s="1627"/>
      <c r="R74" s="1626"/>
      <c r="S74" s="1626"/>
      <c r="T74" s="1626"/>
      <c r="U74" s="1626"/>
      <c r="V74" s="1626"/>
      <c r="W74" s="1626"/>
      <c r="X74" s="1626"/>
      <c r="Y74" s="1626"/>
      <c r="Z74" s="1626"/>
    </row>
    <row r="75" spans="1:26" ht="15.75" customHeight="1" x14ac:dyDescent="0.25">
      <c r="A75" s="1626"/>
      <c r="B75" s="1626"/>
      <c r="C75" s="1626"/>
      <c r="D75" s="1626"/>
      <c r="E75" s="1626"/>
      <c r="F75" s="1626"/>
      <c r="G75" s="1626"/>
      <c r="H75" s="1626"/>
      <c r="I75" s="1626"/>
      <c r="J75" s="1626"/>
      <c r="K75" s="1626"/>
      <c r="L75" s="1626"/>
      <c r="M75" s="1626"/>
      <c r="N75" s="1626"/>
      <c r="O75" s="1626"/>
      <c r="P75" s="1627"/>
      <c r="Q75" s="1627"/>
      <c r="R75" s="1626"/>
      <c r="S75" s="1626"/>
      <c r="T75" s="1626"/>
      <c r="U75" s="1626"/>
      <c r="V75" s="1626"/>
      <c r="W75" s="1626"/>
      <c r="X75" s="1626"/>
      <c r="Y75" s="1626"/>
      <c r="Z75" s="1626"/>
    </row>
    <row r="76" spans="1:26" ht="15.75" customHeight="1" x14ac:dyDescent="0.25">
      <c r="A76" s="1626"/>
      <c r="B76" s="1626"/>
      <c r="C76" s="1626"/>
      <c r="D76" s="1626"/>
      <c r="E76" s="1626"/>
      <c r="F76" s="1626"/>
      <c r="G76" s="1626"/>
      <c r="H76" s="1626"/>
      <c r="I76" s="1626"/>
      <c r="J76" s="1626"/>
      <c r="K76" s="1626"/>
      <c r="L76" s="1626"/>
      <c r="M76" s="1626"/>
      <c r="N76" s="1626"/>
      <c r="O76" s="1626"/>
      <c r="P76" s="1627"/>
      <c r="Q76" s="1627"/>
      <c r="R76" s="1626"/>
      <c r="S76" s="1626"/>
      <c r="T76" s="1626"/>
      <c r="U76" s="1626"/>
      <c r="V76" s="1626"/>
      <c r="W76" s="1626"/>
      <c r="X76" s="1626"/>
      <c r="Y76" s="1626"/>
      <c r="Z76" s="1626"/>
    </row>
    <row r="77" spans="1:26" ht="15.75" customHeight="1" x14ac:dyDescent="0.25">
      <c r="A77" s="1626"/>
      <c r="B77" s="1626"/>
      <c r="C77" s="1626"/>
      <c r="D77" s="1626"/>
      <c r="E77" s="1626"/>
      <c r="F77" s="1626"/>
      <c r="G77" s="1626"/>
      <c r="H77" s="1626"/>
      <c r="I77" s="1626"/>
      <c r="J77" s="1626"/>
      <c r="K77" s="1626"/>
      <c r="L77" s="1626"/>
      <c r="M77" s="1626"/>
      <c r="N77" s="1626"/>
      <c r="O77" s="1626"/>
      <c r="P77" s="1627"/>
      <c r="Q77" s="1627"/>
      <c r="R77" s="1626"/>
      <c r="S77" s="1626"/>
      <c r="T77" s="1626"/>
      <c r="U77" s="1626"/>
      <c r="V77" s="1626"/>
      <c r="W77" s="1626"/>
      <c r="X77" s="1626"/>
      <c r="Y77" s="1626"/>
      <c r="Z77" s="1626"/>
    </row>
    <row r="78" spans="1:26" ht="15.75" customHeight="1" x14ac:dyDescent="0.25">
      <c r="A78" s="1626"/>
      <c r="B78" s="1626"/>
      <c r="C78" s="1626"/>
      <c r="D78" s="1626"/>
      <c r="E78" s="1626"/>
      <c r="F78" s="1626"/>
      <c r="G78" s="1626"/>
      <c r="H78" s="1626"/>
      <c r="I78" s="1626"/>
      <c r="J78" s="1626"/>
      <c r="K78" s="1626"/>
      <c r="L78" s="1626"/>
      <c r="M78" s="1626"/>
      <c r="N78" s="1626"/>
      <c r="O78" s="1626"/>
      <c r="P78" s="1627"/>
      <c r="Q78" s="1627"/>
      <c r="R78" s="1626"/>
      <c r="S78" s="1626"/>
      <c r="T78" s="1626"/>
      <c r="U78" s="1626"/>
      <c r="V78" s="1626"/>
      <c r="W78" s="1626"/>
      <c r="X78" s="1626"/>
      <c r="Y78" s="1626"/>
      <c r="Z78" s="1626"/>
    </row>
    <row r="79" spans="1:26" ht="15.75" customHeight="1" x14ac:dyDescent="0.25">
      <c r="A79" s="1626"/>
      <c r="B79" s="1626"/>
      <c r="C79" s="1626"/>
      <c r="D79" s="1626"/>
      <c r="E79" s="1626"/>
      <c r="F79" s="1626"/>
      <c r="G79" s="1626"/>
      <c r="H79" s="1626"/>
      <c r="I79" s="1626"/>
      <c r="J79" s="1626"/>
      <c r="K79" s="1626"/>
      <c r="L79" s="1626"/>
      <c r="M79" s="1626"/>
      <c r="N79" s="1626"/>
      <c r="O79" s="1626"/>
      <c r="P79" s="1627"/>
      <c r="Q79" s="1627"/>
      <c r="R79" s="1626"/>
      <c r="S79" s="1626"/>
      <c r="T79" s="1626"/>
      <c r="U79" s="1626"/>
      <c r="V79" s="1626"/>
      <c r="W79" s="1626"/>
      <c r="X79" s="1626"/>
      <c r="Y79" s="1626"/>
      <c r="Z79" s="1626"/>
    </row>
    <row r="80" spans="1:26" ht="15.75" customHeight="1" x14ac:dyDescent="0.25">
      <c r="A80" s="1626"/>
      <c r="B80" s="1626"/>
      <c r="C80" s="1626"/>
      <c r="D80" s="1626"/>
      <c r="E80" s="1626"/>
      <c r="F80" s="1626"/>
      <c r="G80" s="1626"/>
      <c r="H80" s="1626"/>
      <c r="I80" s="1626"/>
      <c r="J80" s="1626"/>
      <c r="K80" s="1626"/>
      <c r="L80" s="1626"/>
      <c r="M80" s="1626"/>
      <c r="N80" s="1626"/>
      <c r="O80" s="1626"/>
      <c r="P80" s="1627"/>
      <c r="Q80" s="1627"/>
      <c r="R80" s="1626"/>
      <c r="S80" s="1626"/>
      <c r="T80" s="1626"/>
      <c r="U80" s="1626"/>
      <c r="V80" s="1626"/>
      <c r="W80" s="1626"/>
      <c r="X80" s="1626"/>
      <c r="Y80" s="1626"/>
      <c r="Z80" s="1626"/>
    </row>
    <row r="81" spans="1:26" ht="15.75" customHeight="1" x14ac:dyDescent="0.25">
      <c r="A81" s="1626"/>
      <c r="B81" s="1626"/>
      <c r="C81" s="1626"/>
      <c r="D81" s="1626"/>
      <c r="E81" s="1626"/>
      <c r="F81" s="1626"/>
      <c r="G81" s="1626"/>
      <c r="H81" s="1626"/>
      <c r="I81" s="1626"/>
      <c r="J81" s="1626"/>
      <c r="K81" s="1626"/>
      <c r="L81" s="1626"/>
      <c r="M81" s="1626"/>
      <c r="N81" s="1626"/>
      <c r="O81" s="1626"/>
      <c r="P81" s="1627"/>
      <c r="Q81" s="1627"/>
      <c r="R81" s="1626"/>
      <c r="S81" s="1626"/>
      <c r="T81" s="1626"/>
      <c r="U81" s="1626"/>
      <c r="V81" s="1626"/>
      <c r="W81" s="1626"/>
      <c r="X81" s="1626"/>
      <c r="Y81" s="1626"/>
      <c r="Z81" s="1626"/>
    </row>
    <row r="82" spans="1:26" ht="15.75" customHeight="1" x14ac:dyDescent="0.25">
      <c r="A82" s="1626"/>
      <c r="B82" s="1626"/>
      <c r="C82" s="1626"/>
      <c r="D82" s="1626"/>
      <c r="E82" s="1626"/>
      <c r="F82" s="1626"/>
      <c r="G82" s="1626"/>
      <c r="H82" s="1626"/>
      <c r="I82" s="1626"/>
      <c r="J82" s="1626"/>
      <c r="K82" s="1626"/>
      <c r="L82" s="1626"/>
      <c r="M82" s="1626"/>
      <c r="N82" s="1626"/>
      <c r="O82" s="1626"/>
      <c r="P82" s="1627"/>
      <c r="Q82" s="1627"/>
      <c r="R82" s="1626"/>
      <c r="S82" s="1626"/>
      <c r="T82" s="1626"/>
      <c r="U82" s="1626"/>
      <c r="V82" s="1626"/>
      <c r="W82" s="1626"/>
      <c r="X82" s="1626"/>
      <c r="Y82" s="1626"/>
      <c r="Z82" s="1626"/>
    </row>
    <row r="83" spans="1:26" ht="15.75" customHeight="1" x14ac:dyDescent="0.25">
      <c r="A83" s="1626"/>
      <c r="B83" s="1626"/>
      <c r="C83" s="1626"/>
      <c r="D83" s="1626"/>
      <c r="E83" s="1626"/>
      <c r="F83" s="1626"/>
      <c r="G83" s="1626"/>
      <c r="H83" s="1626"/>
      <c r="I83" s="1626"/>
      <c r="J83" s="1626"/>
      <c r="K83" s="1626"/>
      <c r="L83" s="1626"/>
      <c r="M83" s="1626"/>
      <c r="N83" s="1626"/>
      <c r="O83" s="1626"/>
      <c r="P83" s="1627"/>
      <c r="Q83" s="1627"/>
      <c r="R83" s="1626"/>
      <c r="S83" s="1626"/>
      <c r="T83" s="1626"/>
      <c r="U83" s="1626"/>
      <c r="V83" s="1626"/>
      <c r="W83" s="1626"/>
      <c r="X83" s="1626"/>
      <c r="Y83" s="1626"/>
      <c r="Z83" s="1626"/>
    </row>
    <row r="84" spans="1:26" ht="15.75" customHeight="1" x14ac:dyDescent="0.25">
      <c r="A84" s="1626"/>
      <c r="B84" s="1626"/>
      <c r="C84" s="1626"/>
      <c r="D84" s="1626"/>
      <c r="E84" s="1626"/>
      <c r="F84" s="1626"/>
      <c r="G84" s="1626"/>
      <c r="H84" s="1626"/>
      <c r="I84" s="1626"/>
      <c r="J84" s="1626"/>
      <c r="K84" s="1626"/>
      <c r="L84" s="1626"/>
      <c r="M84" s="1626"/>
      <c r="N84" s="1626"/>
      <c r="O84" s="1626"/>
      <c r="P84" s="1627"/>
      <c r="Q84" s="1627"/>
      <c r="R84" s="1626"/>
      <c r="S84" s="1626"/>
      <c r="T84" s="1626"/>
      <c r="U84" s="1626"/>
      <c r="V84" s="1626"/>
      <c r="W84" s="1626"/>
      <c r="X84" s="1626"/>
      <c r="Y84" s="1626"/>
      <c r="Z84" s="1626"/>
    </row>
    <row r="85" spans="1:26" ht="15.75" customHeight="1" x14ac:dyDescent="0.25">
      <c r="A85" s="1626"/>
      <c r="B85" s="1626"/>
      <c r="C85" s="1626"/>
      <c r="D85" s="1626"/>
      <c r="E85" s="1626"/>
      <c r="F85" s="1626"/>
      <c r="G85" s="1626"/>
      <c r="H85" s="1626"/>
      <c r="I85" s="1626"/>
      <c r="J85" s="1626"/>
      <c r="K85" s="1626"/>
      <c r="L85" s="1626"/>
      <c r="M85" s="1626"/>
      <c r="N85" s="1626"/>
      <c r="O85" s="1626"/>
      <c r="P85" s="1627"/>
      <c r="Q85" s="1627"/>
      <c r="R85" s="1626"/>
      <c r="S85" s="1626"/>
      <c r="T85" s="1626"/>
      <c r="U85" s="1626"/>
      <c r="V85" s="1626"/>
      <c r="W85" s="1626"/>
      <c r="X85" s="1626"/>
      <c r="Y85" s="1626"/>
      <c r="Z85" s="1626"/>
    </row>
    <row r="86" spans="1:26" ht="15.75" customHeight="1" x14ac:dyDescent="0.25">
      <c r="A86" s="1626"/>
      <c r="B86" s="1626"/>
      <c r="C86" s="1626"/>
      <c r="D86" s="1626"/>
      <c r="E86" s="1626"/>
      <c r="F86" s="1626"/>
      <c r="G86" s="1626"/>
      <c r="H86" s="1626"/>
      <c r="I86" s="1626"/>
      <c r="J86" s="1626"/>
      <c r="K86" s="1626"/>
      <c r="L86" s="1626"/>
      <c r="M86" s="1626"/>
      <c r="N86" s="1626"/>
      <c r="O86" s="1626"/>
      <c r="P86" s="1627"/>
      <c r="Q86" s="1627"/>
      <c r="R86" s="1626"/>
      <c r="S86" s="1626"/>
      <c r="T86" s="1626"/>
      <c r="U86" s="1626"/>
      <c r="V86" s="1626"/>
      <c r="W86" s="1626"/>
      <c r="X86" s="1626"/>
      <c r="Y86" s="1626"/>
      <c r="Z86" s="1626"/>
    </row>
    <row r="87" spans="1:26" ht="15.75" customHeight="1" x14ac:dyDescent="0.25">
      <c r="A87" s="1626"/>
      <c r="B87" s="1626"/>
      <c r="C87" s="1626"/>
      <c r="D87" s="1626"/>
      <c r="E87" s="1626"/>
      <c r="F87" s="1626"/>
      <c r="G87" s="1626"/>
      <c r="H87" s="1626"/>
      <c r="I87" s="1626"/>
      <c r="J87" s="1626"/>
      <c r="K87" s="1626"/>
      <c r="L87" s="1626"/>
      <c r="M87" s="1626"/>
      <c r="N87" s="1626"/>
      <c r="O87" s="1626"/>
      <c r="P87" s="1627"/>
      <c r="Q87" s="1627"/>
      <c r="R87" s="1626"/>
      <c r="S87" s="1626"/>
      <c r="T87" s="1626"/>
      <c r="U87" s="1626"/>
      <c r="V87" s="1626"/>
      <c r="W87" s="1626"/>
      <c r="X87" s="1626"/>
      <c r="Y87" s="1626"/>
      <c r="Z87" s="1626"/>
    </row>
    <row r="88" spans="1:26" ht="15.75" customHeight="1" x14ac:dyDescent="0.25">
      <c r="A88" s="1626"/>
      <c r="B88" s="1626"/>
      <c r="C88" s="1626"/>
      <c r="D88" s="1626"/>
      <c r="E88" s="1626"/>
      <c r="F88" s="1626"/>
      <c r="G88" s="1626"/>
      <c r="H88" s="1626"/>
      <c r="I88" s="1626"/>
      <c r="J88" s="1626"/>
      <c r="K88" s="1626"/>
      <c r="L88" s="1626"/>
      <c r="M88" s="1626"/>
      <c r="N88" s="1626"/>
      <c r="O88" s="1626"/>
      <c r="P88" s="1627"/>
      <c r="Q88" s="1627"/>
      <c r="R88" s="1626"/>
      <c r="S88" s="1626"/>
      <c r="T88" s="1626"/>
      <c r="U88" s="1626"/>
      <c r="V88" s="1626"/>
      <c r="W88" s="1626"/>
      <c r="X88" s="1626"/>
      <c r="Y88" s="1626"/>
      <c r="Z88" s="1626"/>
    </row>
    <row r="89" spans="1:26" ht="15.75" customHeight="1" x14ac:dyDescent="0.25">
      <c r="A89" s="1626"/>
      <c r="B89" s="1626"/>
      <c r="C89" s="1626"/>
      <c r="D89" s="1626"/>
      <c r="E89" s="1626"/>
      <c r="F89" s="1626"/>
      <c r="G89" s="1626"/>
      <c r="H89" s="1626"/>
      <c r="I89" s="1626"/>
      <c r="J89" s="1626"/>
      <c r="K89" s="1626"/>
      <c r="L89" s="1626"/>
      <c r="M89" s="1626"/>
      <c r="N89" s="1626"/>
      <c r="O89" s="1626"/>
      <c r="P89" s="1627"/>
      <c r="Q89" s="1627"/>
      <c r="R89" s="1626"/>
      <c r="S89" s="1626"/>
      <c r="T89" s="1626"/>
      <c r="U89" s="1626"/>
      <c r="V89" s="1626"/>
      <c r="W89" s="1626"/>
      <c r="X89" s="1626"/>
      <c r="Y89" s="1626"/>
      <c r="Z89" s="1626"/>
    </row>
    <row r="90" spans="1:26" ht="15.75" customHeight="1" x14ac:dyDescent="0.25">
      <c r="A90" s="1626"/>
      <c r="B90" s="1626"/>
      <c r="C90" s="1626"/>
      <c r="D90" s="1626"/>
      <c r="E90" s="1626"/>
      <c r="F90" s="1626"/>
      <c r="G90" s="1626"/>
      <c r="H90" s="1626"/>
      <c r="I90" s="1626"/>
      <c r="J90" s="1626"/>
      <c r="K90" s="1626"/>
      <c r="L90" s="1626"/>
      <c r="M90" s="1626"/>
      <c r="N90" s="1626"/>
      <c r="O90" s="1626"/>
      <c r="P90" s="1627"/>
      <c r="Q90" s="1627"/>
      <c r="R90" s="1626"/>
      <c r="S90" s="1626"/>
      <c r="T90" s="1626"/>
      <c r="U90" s="1626"/>
      <c r="V90" s="1626"/>
      <c r="W90" s="1626"/>
      <c r="X90" s="1626"/>
      <c r="Y90" s="1626"/>
      <c r="Z90" s="1626"/>
    </row>
    <row r="91" spans="1:26" ht="15.75" customHeight="1" x14ac:dyDescent="0.25">
      <c r="A91" s="1626"/>
      <c r="B91" s="1626"/>
      <c r="C91" s="1626"/>
      <c r="D91" s="1626"/>
      <c r="E91" s="1626"/>
      <c r="F91" s="1626"/>
      <c r="G91" s="1626"/>
      <c r="H91" s="1626"/>
      <c r="I91" s="1626"/>
      <c r="J91" s="1626"/>
      <c r="K91" s="1626"/>
      <c r="L91" s="1626"/>
      <c r="M91" s="1626"/>
      <c r="N91" s="1626"/>
      <c r="O91" s="1626"/>
      <c r="P91" s="1627"/>
      <c r="Q91" s="1627"/>
      <c r="R91" s="1626"/>
      <c r="S91" s="1626"/>
      <c r="T91" s="1626"/>
      <c r="U91" s="1626"/>
      <c r="V91" s="1626"/>
      <c r="W91" s="1626"/>
      <c r="X91" s="1626"/>
      <c r="Y91" s="1626"/>
      <c r="Z91" s="1626"/>
    </row>
    <row r="92" spans="1:26" ht="15.75" customHeight="1" x14ac:dyDescent="0.25">
      <c r="A92" s="1626"/>
      <c r="B92" s="1626"/>
      <c r="C92" s="1626"/>
      <c r="D92" s="1626"/>
      <c r="E92" s="1626"/>
      <c r="F92" s="1626"/>
      <c r="G92" s="1626"/>
      <c r="H92" s="1626"/>
      <c r="I92" s="1626"/>
      <c r="J92" s="1626"/>
      <c r="K92" s="1626"/>
      <c r="L92" s="1626"/>
      <c r="M92" s="1626"/>
      <c r="N92" s="1626"/>
      <c r="O92" s="1626"/>
      <c r="P92" s="1627"/>
      <c r="Q92" s="1627"/>
      <c r="R92" s="1626"/>
      <c r="S92" s="1626"/>
      <c r="T92" s="1626"/>
      <c r="U92" s="1626"/>
      <c r="V92" s="1626"/>
      <c r="W92" s="1626"/>
      <c r="X92" s="1626"/>
      <c r="Y92" s="1626"/>
      <c r="Z92" s="1626"/>
    </row>
    <row r="93" spans="1:26" ht="15.75" customHeight="1" x14ac:dyDescent="0.25">
      <c r="A93" s="1626"/>
      <c r="B93" s="1626"/>
      <c r="C93" s="1626"/>
      <c r="D93" s="1626"/>
      <c r="E93" s="1626"/>
      <c r="F93" s="1626"/>
      <c r="G93" s="1626"/>
      <c r="H93" s="1626"/>
      <c r="I93" s="1626"/>
      <c r="J93" s="1626"/>
      <c r="K93" s="1626"/>
      <c r="L93" s="1626"/>
      <c r="M93" s="1626"/>
      <c r="N93" s="1626"/>
      <c r="O93" s="1626"/>
      <c r="P93" s="1627"/>
      <c r="Q93" s="1627"/>
      <c r="R93" s="1626"/>
      <c r="S93" s="1626"/>
      <c r="T93" s="1626"/>
      <c r="U93" s="1626"/>
      <c r="V93" s="1626"/>
      <c r="W93" s="1626"/>
      <c r="X93" s="1626"/>
      <c r="Y93" s="1626"/>
      <c r="Z93" s="1626"/>
    </row>
    <row r="94" spans="1:26" ht="15.75" customHeight="1" x14ac:dyDescent="0.25">
      <c r="A94" s="1626"/>
      <c r="B94" s="1626"/>
      <c r="C94" s="1626"/>
      <c r="D94" s="1626"/>
      <c r="E94" s="1626"/>
      <c r="F94" s="1626"/>
      <c r="G94" s="1626"/>
      <c r="H94" s="1626"/>
      <c r="I94" s="1626"/>
      <c r="J94" s="1626"/>
      <c r="K94" s="1626"/>
      <c r="L94" s="1626"/>
      <c r="M94" s="1626"/>
      <c r="N94" s="1626"/>
      <c r="O94" s="1626"/>
      <c r="P94" s="1627"/>
      <c r="Q94" s="1627"/>
      <c r="R94" s="1626"/>
      <c r="S94" s="1626"/>
      <c r="T94" s="1626"/>
      <c r="U94" s="1626"/>
      <c r="V94" s="1626"/>
      <c r="W94" s="1626"/>
      <c r="X94" s="1626"/>
      <c r="Y94" s="1626"/>
      <c r="Z94" s="1626"/>
    </row>
    <row r="95" spans="1:26" ht="15.75" customHeight="1" x14ac:dyDescent="0.25">
      <c r="A95" s="1626"/>
      <c r="B95" s="1626"/>
      <c r="C95" s="1626"/>
      <c r="D95" s="1626"/>
      <c r="E95" s="1626"/>
      <c r="F95" s="1626"/>
      <c r="G95" s="1626"/>
      <c r="H95" s="1626"/>
      <c r="I95" s="1626"/>
      <c r="J95" s="1626"/>
      <c r="K95" s="1626"/>
      <c r="L95" s="1626"/>
      <c r="M95" s="1626"/>
      <c r="N95" s="1626"/>
      <c r="O95" s="1626"/>
      <c r="P95" s="1627"/>
      <c r="Q95" s="1627"/>
      <c r="R95" s="1626"/>
      <c r="S95" s="1626"/>
      <c r="T95" s="1626"/>
      <c r="U95" s="1626"/>
      <c r="V95" s="1626"/>
      <c r="W95" s="1626"/>
      <c r="X95" s="1626"/>
      <c r="Y95" s="1626"/>
      <c r="Z95" s="1626"/>
    </row>
    <row r="96" spans="1:26" ht="15.75" customHeight="1" x14ac:dyDescent="0.25">
      <c r="A96" s="1626"/>
      <c r="B96" s="1626"/>
      <c r="C96" s="1626"/>
      <c r="D96" s="1626"/>
      <c r="E96" s="1626"/>
      <c r="F96" s="1626"/>
      <c r="G96" s="1626"/>
      <c r="H96" s="1626"/>
      <c r="I96" s="1626"/>
      <c r="J96" s="1626"/>
      <c r="K96" s="1626"/>
      <c r="L96" s="1626"/>
      <c r="M96" s="1626"/>
      <c r="N96" s="1626"/>
      <c r="O96" s="1626"/>
      <c r="P96" s="1627"/>
      <c r="Q96" s="1627"/>
      <c r="R96" s="1626"/>
      <c r="S96" s="1626"/>
      <c r="T96" s="1626"/>
      <c r="U96" s="1626"/>
      <c r="V96" s="1626"/>
      <c r="W96" s="1626"/>
      <c r="X96" s="1626"/>
      <c r="Y96" s="1626"/>
      <c r="Z96" s="1626"/>
    </row>
    <row r="97" spans="1:26" ht="15.75" customHeight="1" x14ac:dyDescent="0.25">
      <c r="A97" s="1626"/>
      <c r="B97" s="1626"/>
      <c r="C97" s="1626"/>
      <c r="D97" s="1626"/>
      <c r="E97" s="1626"/>
      <c r="F97" s="1626"/>
      <c r="G97" s="1626"/>
      <c r="H97" s="1626"/>
      <c r="I97" s="1626"/>
      <c r="J97" s="1626"/>
      <c r="K97" s="1626"/>
      <c r="L97" s="1626"/>
      <c r="M97" s="1626"/>
      <c r="N97" s="1626"/>
      <c r="O97" s="1626"/>
      <c r="P97" s="1627"/>
      <c r="Q97" s="1627"/>
      <c r="R97" s="1626"/>
      <c r="S97" s="1626"/>
      <c r="T97" s="1626"/>
      <c r="U97" s="1626"/>
      <c r="V97" s="1626"/>
      <c r="W97" s="1626"/>
      <c r="X97" s="1626"/>
      <c r="Y97" s="1626"/>
      <c r="Z97" s="1626"/>
    </row>
    <row r="98" spans="1:26" ht="15.75" customHeight="1" x14ac:dyDescent="0.25">
      <c r="A98" s="1626"/>
      <c r="B98" s="1626"/>
      <c r="C98" s="1626"/>
      <c r="D98" s="1626"/>
      <c r="E98" s="1626"/>
      <c r="F98" s="1626"/>
      <c r="G98" s="1626"/>
      <c r="H98" s="1626"/>
      <c r="I98" s="1626"/>
      <c r="J98" s="1626"/>
      <c r="K98" s="1626"/>
      <c r="L98" s="1626"/>
      <c r="M98" s="1626"/>
      <c r="N98" s="1626"/>
      <c r="O98" s="1626"/>
      <c r="P98" s="1627"/>
      <c r="Q98" s="1627"/>
      <c r="R98" s="1626"/>
      <c r="S98" s="1626"/>
      <c r="T98" s="1626"/>
      <c r="U98" s="1626"/>
      <c r="V98" s="1626"/>
      <c r="W98" s="1626"/>
      <c r="X98" s="1626"/>
      <c r="Y98" s="1626"/>
      <c r="Z98" s="1626"/>
    </row>
    <row r="99" spans="1:26" ht="15.75" customHeight="1" x14ac:dyDescent="0.25">
      <c r="A99" s="1626"/>
      <c r="B99" s="1626"/>
      <c r="C99" s="1626"/>
      <c r="D99" s="1626"/>
      <c r="E99" s="1626"/>
      <c r="F99" s="1626"/>
      <c r="G99" s="1626"/>
      <c r="H99" s="1626"/>
      <c r="I99" s="1626"/>
      <c r="J99" s="1626"/>
      <c r="K99" s="1626"/>
      <c r="L99" s="1626"/>
      <c r="M99" s="1626"/>
      <c r="N99" s="1626"/>
      <c r="O99" s="1626"/>
      <c r="P99" s="1627"/>
      <c r="Q99" s="1627"/>
      <c r="R99" s="1626"/>
      <c r="S99" s="1626"/>
      <c r="T99" s="1626"/>
      <c r="U99" s="1626"/>
      <c r="V99" s="1626"/>
      <c r="W99" s="1626"/>
      <c r="X99" s="1626"/>
      <c r="Y99" s="1626"/>
      <c r="Z99" s="1626"/>
    </row>
    <row r="100" spans="1:26" ht="15.75" customHeight="1" x14ac:dyDescent="0.25">
      <c r="A100" s="1626"/>
      <c r="B100" s="1626"/>
      <c r="C100" s="1626"/>
      <c r="D100" s="1626"/>
      <c r="E100" s="1626"/>
      <c r="F100" s="1626"/>
      <c r="G100" s="1626"/>
      <c r="H100" s="1626"/>
      <c r="I100" s="1626"/>
      <c r="J100" s="1626"/>
      <c r="K100" s="1626"/>
      <c r="L100" s="1626"/>
      <c r="M100" s="1626"/>
      <c r="N100" s="1626"/>
      <c r="O100" s="1626"/>
      <c r="P100" s="1627"/>
      <c r="Q100" s="1627"/>
      <c r="R100" s="1626"/>
      <c r="S100" s="1626"/>
      <c r="T100" s="1626"/>
      <c r="U100" s="1626"/>
      <c r="V100" s="1626"/>
      <c r="W100" s="1626"/>
      <c r="X100" s="1626"/>
      <c r="Y100" s="1626"/>
      <c r="Z100" s="1626"/>
    </row>
    <row r="101" spans="1:26" ht="15.75" customHeight="1" x14ac:dyDescent="0.25">
      <c r="A101" s="1626"/>
      <c r="B101" s="1626"/>
      <c r="C101" s="1626"/>
      <c r="D101" s="1626"/>
      <c r="E101" s="1626"/>
      <c r="F101" s="1626"/>
      <c r="G101" s="1626"/>
      <c r="H101" s="1626"/>
      <c r="I101" s="1626"/>
      <c r="J101" s="1626"/>
      <c r="K101" s="1626"/>
      <c r="L101" s="1626"/>
      <c r="M101" s="1626"/>
      <c r="N101" s="1626"/>
      <c r="O101" s="1626"/>
      <c r="P101" s="1627"/>
      <c r="Q101" s="1627"/>
      <c r="R101" s="1626"/>
      <c r="S101" s="1626"/>
      <c r="T101" s="1626"/>
      <c r="U101" s="1626"/>
      <c r="V101" s="1626"/>
      <c r="W101" s="1626"/>
      <c r="X101" s="1626"/>
      <c r="Y101" s="1626"/>
      <c r="Z101" s="1626"/>
    </row>
    <row r="102" spans="1:26" ht="15.75" customHeight="1" x14ac:dyDescent="0.25">
      <c r="A102" s="1626"/>
      <c r="B102" s="1626"/>
      <c r="C102" s="1626"/>
      <c r="D102" s="1626"/>
      <c r="E102" s="1626"/>
      <c r="F102" s="1626"/>
      <c r="G102" s="1626"/>
      <c r="H102" s="1626"/>
      <c r="I102" s="1626"/>
      <c r="J102" s="1626"/>
      <c r="K102" s="1626"/>
      <c r="L102" s="1626"/>
      <c r="M102" s="1626"/>
      <c r="N102" s="1626"/>
      <c r="O102" s="1626"/>
      <c r="P102" s="1627"/>
      <c r="Q102" s="1627"/>
      <c r="R102" s="1626"/>
      <c r="S102" s="1626"/>
      <c r="T102" s="1626"/>
      <c r="U102" s="1626"/>
      <c r="V102" s="1626"/>
      <c r="W102" s="1626"/>
      <c r="X102" s="1626"/>
      <c r="Y102" s="1626"/>
      <c r="Z102" s="1626"/>
    </row>
    <row r="103" spans="1:26" ht="15.75" customHeight="1" x14ac:dyDescent="0.25">
      <c r="A103" s="1626"/>
      <c r="B103" s="1626"/>
      <c r="C103" s="1626"/>
      <c r="D103" s="1626"/>
      <c r="E103" s="1626"/>
      <c r="F103" s="1626"/>
      <c r="G103" s="1626"/>
      <c r="H103" s="1626"/>
      <c r="I103" s="1626"/>
      <c r="J103" s="1626"/>
      <c r="K103" s="1626"/>
      <c r="L103" s="1626"/>
      <c r="M103" s="1626"/>
      <c r="N103" s="1626"/>
      <c r="O103" s="1626"/>
      <c r="P103" s="1627"/>
      <c r="Q103" s="1627"/>
      <c r="R103" s="1626"/>
      <c r="S103" s="1626"/>
      <c r="T103" s="1626"/>
      <c r="U103" s="1626"/>
      <c r="V103" s="1626"/>
      <c r="W103" s="1626"/>
      <c r="X103" s="1626"/>
      <c r="Y103" s="1626"/>
      <c r="Z103" s="1626"/>
    </row>
    <row r="104" spans="1:26" ht="15.75" customHeight="1" x14ac:dyDescent="0.25">
      <c r="A104" s="1626"/>
      <c r="B104" s="1626"/>
      <c r="C104" s="1626"/>
      <c r="D104" s="1626"/>
      <c r="E104" s="1626"/>
      <c r="F104" s="1626"/>
      <c r="G104" s="1626"/>
      <c r="H104" s="1626"/>
      <c r="I104" s="1626"/>
      <c r="J104" s="1626"/>
      <c r="K104" s="1626"/>
      <c r="L104" s="1626"/>
      <c r="M104" s="1626"/>
      <c r="N104" s="1626"/>
      <c r="O104" s="1626"/>
      <c r="P104" s="1627"/>
      <c r="Q104" s="1627"/>
      <c r="R104" s="1626"/>
      <c r="S104" s="1626"/>
      <c r="T104" s="1626"/>
      <c r="U104" s="1626"/>
      <c r="V104" s="1626"/>
      <c r="W104" s="1626"/>
      <c r="X104" s="1626"/>
      <c r="Y104" s="1626"/>
      <c r="Z104" s="1626"/>
    </row>
    <row r="105" spans="1:26" ht="15.75" customHeight="1" x14ac:dyDescent="0.25">
      <c r="A105" s="1626"/>
      <c r="B105" s="1626"/>
      <c r="C105" s="1626"/>
      <c r="D105" s="1626"/>
      <c r="E105" s="1626"/>
      <c r="F105" s="1626"/>
      <c r="G105" s="1626"/>
      <c r="H105" s="1626"/>
      <c r="I105" s="1626"/>
      <c r="J105" s="1626"/>
      <c r="K105" s="1626"/>
      <c r="L105" s="1626"/>
      <c r="M105" s="1626"/>
      <c r="N105" s="1626"/>
      <c r="O105" s="1626"/>
      <c r="P105" s="1627"/>
      <c r="Q105" s="1627"/>
      <c r="R105" s="1626"/>
      <c r="S105" s="1626"/>
      <c r="T105" s="1626"/>
      <c r="U105" s="1626"/>
      <c r="V105" s="1626"/>
      <c r="W105" s="1626"/>
      <c r="X105" s="1626"/>
      <c r="Y105" s="1626"/>
      <c r="Z105" s="1626"/>
    </row>
    <row r="106" spans="1:26" ht="15.75" customHeight="1" x14ac:dyDescent="0.25">
      <c r="A106" s="1626"/>
      <c r="B106" s="1626"/>
      <c r="C106" s="1626"/>
      <c r="D106" s="1626"/>
      <c r="E106" s="1626"/>
      <c r="F106" s="1626"/>
      <c r="G106" s="1626"/>
      <c r="H106" s="1626"/>
      <c r="I106" s="1626"/>
      <c r="J106" s="1626"/>
      <c r="K106" s="1626"/>
      <c r="L106" s="1626"/>
      <c r="M106" s="1626"/>
      <c r="N106" s="1626"/>
      <c r="O106" s="1626"/>
      <c r="P106" s="1627"/>
      <c r="Q106" s="1627"/>
      <c r="R106" s="1626"/>
      <c r="S106" s="1626"/>
      <c r="T106" s="1626"/>
      <c r="U106" s="1626"/>
      <c r="V106" s="1626"/>
      <c r="W106" s="1626"/>
      <c r="X106" s="1626"/>
      <c r="Y106" s="1626"/>
      <c r="Z106" s="1626"/>
    </row>
    <row r="107" spans="1:26" ht="15.75" customHeight="1" x14ac:dyDescent="0.25">
      <c r="A107" s="1626"/>
      <c r="B107" s="1626"/>
      <c r="C107" s="1626"/>
      <c r="D107" s="1626"/>
      <c r="E107" s="1626"/>
      <c r="F107" s="1626"/>
      <c r="G107" s="1626"/>
      <c r="H107" s="1626"/>
      <c r="I107" s="1626"/>
      <c r="J107" s="1626"/>
      <c r="K107" s="1626"/>
      <c r="L107" s="1626"/>
      <c r="M107" s="1626"/>
      <c r="N107" s="1626"/>
      <c r="O107" s="1626"/>
      <c r="P107" s="1627"/>
      <c r="Q107" s="1627"/>
      <c r="R107" s="1626"/>
      <c r="S107" s="1626"/>
      <c r="T107" s="1626"/>
      <c r="U107" s="1626"/>
      <c r="V107" s="1626"/>
      <c r="W107" s="1626"/>
      <c r="X107" s="1626"/>
      <c r="Y107" s="1626"/>
      <c r="Z107" s="1626"/>
    </row>
    <row r="108" spans="1:26" ht="15.75" customHeight="1" x14ac:dyDescent="0.25">
      <c r="A108" s="1626"/>
      <c r="B108" s="1626"/>
      <c r="C108" s="1626"/>
      <c r="D108" s="1626"/>
      <c r="E108" s="1626"/>
      <c r="F108" s="1626"/>
      <c r="G108" s="1626"/>
      <c r="H108" s="1626"/>
      <c r="I108" s="1626"/>
      <c r="J108" s="1626"/>
      <c r="K108" s="1626"/>
      <c r="L108" s="1626"/>
      <c r="M108" s="1626"/>
      <c r="N108" s="1626"/>
      <c r="O108" s="1626"/>
      <c r="P108" s="1627"/>
      <c r="Q108" s="1627"/>
      <c r="R108" s="1626"/>
      <c r="S108" s="1626"/>
      <c r="T108" s="1626"/>
      <c r="U108" s="1626"/>
      <c r="V108" s="1626"/>
      <c r="W108" s="1626"/>
      <c r="X108" s="1626"/>
      <c r="Y108" s="1626"/>
      <c r="Z108" s="1626"/>
    </row>
    <row r="109" spans="1:26" ht="15.75" customHeight="1" x14ac:dyDescent="0.25">
      <c r="A109" s="1626"/>
      <c r="B109" s="1626"/>
      <c r="C109" s="1626"/>
      <c r="D109" s="1626"/>
      <c r="E109" s="1626"/>
      <c r="F109" s="1626"/>
      <c r="G109" s="1626"/>
      <c r="H109" s="1626"/>
      <c r="I109" s="1626"/>
      <c r="J109" s="1626"/>
      <c r="K109" s="1626"/>
      <c r="L109" s="1626"/>
      <c r="M109" s="1626"/>
      <c r="N109" s="1626"/>
      <c r="O109" s="1626"/>
      <c r="P109" s="1627"/>
      <c r="Q109" s="1627"/>
      <c r="R109" s="1626"/>
      <c r="S109" s="1626"/>
      <c r="T109" s="1626"/>
      <c r="U109" s="1626"/>
      <c r="V109" s="1626"/>
      <c r="W109" s="1626"/>
      <c r="X109" s="1626"/>
      <c r="Y109" s="1626"/>
      <c r="Z109" s="1626"/>
    </row>
    <row r="110" spans="1:26" ht="15.75" customHeight="1" x14ac:dyDescent="0.25">
      <c r="A110" s="1626"/>
      <c r="B110" s="1626"/>
      <c r="C110" s="1626"/>
      <c r="D110" s="1626"/>
      <c r="E110" s="1626"/>
      <c r="F110" s="1626"/>
      <c r="G110" s="1626"/>
      <c r="H110" s="1626"/>
      <c r="I110" s="1626"/>
      <c r="J110" s="1626"/>
      <c r="K110" s="1626"/>
      <c r="L110" s="1626"/>
      <c r="M110" s="1626"/>
      <c r="N110" s="1626"/>
      <c r="O110" s="1626"/>
      <c r="P110" s="1627"/>
      <c r="Q110" s="1627"/>
      <c r="R110" s="1626"/>
      <c r="S110" s="1626"/>
      <c r="T110" s="1626"/>
      <c r="U110" s="1626"/>
      <c r="V110" s="1626"/>
      <c r="W110" s="1626"/>
      <c r="X110" s="1626"/>
      <c r="Y110" s="1626"/>
      <c r="Z110" s="1626"/>
    </row>
    <row r="111" spans="1:26" ht="15.75" customHeight="1" x14ac:dyDescent="0.25">
      <c r="A111" s="1626"/>
      <c r="B111" s="1626"/>
      <c r="C111" s="1626"/>
      <c r="D111" s="1626"/>
      <c r="E111" s="1626"/>
      <c r="F111" s="1626"/>
      <c r="G111" s="1626"/>
      <c r="H111" s="1626"/>
      <c r="I111" s="1626"/>
      <c r="J111" s="1626"/>
      <c r="K111" s="1626"/>
      <c r="L111" s="1626"/>
      <c r="M111" s="1626"/>
      <c r="N111" s="1626"/>
      <c r="O111" s="1626"/>
      <c r="P111" s="1627"/>
      <c r="Q111" s="1627"/>
      <c r="R111" s="1626"/>
      <c r="S111" s="1626"/>
      <c r="T111" s="1626"/>
      <c r="U111" s="1626"/>
      <c r="V111" s="1626"/>
      <c r="W111" s="1626"/>
      <c r="X111" s="1626"/>
      <c r="Y111" s="1626"/>
      <c r="Z111" s="1626"/>
    </row>
    <row r="112" spans="1:26" ht="15.75" customHeight="1" x14ac:dyDescent="0.25">
      <c r="A112" s="1626"/>
      <c r="B112" s="1626"/>
      <c r="C112" s="1626"/>
      <c r="D112" s="1626"/>
      <c r="E112" s="1626"/>
      <c r="F112" s="1626"/>
      <c r="G112" s="1626"/>
      <c r="H112" s="1626"/>
      <c r="I112" s="1626"/>
      <c r="J112" s="1626"/>
      <c r="K112" s="1626"/>
      <c r="L112" s="1626"/>
      <c r="M112" s="1626"/>
      <c r="N112" s="1626"/>
      <c r="O112" s="1626"/>
      <c r="P112" s="1627"/>
      <c r="Q112" s="1627"/>
      <c r="R112" s="1626"/>
      <c r="S112" s="1626"/>
      <c r="T112" s="1626"/>
      <c r="U112" s="1626"/>
      <c r="V112" s="1626"/>
      <c r="W112" s="1626"/>
      <c r="X112" s="1626"/>
      <c r="Y112" s="1626"/>
      <c r="Z112" s="1626"/>
    </row>
    <row r="113" spans="1:26" ht="15.75" customHeight="1" x14ac:dyDescent="0.25">
      <c r="A113" s="1626"/>
      <c r="B113" s="1626"/>
      <c r="C113" s="1626"/>
      <c r="D113" s="1626"/>
      <c r="E113" s="1626"/>
      <c r="F113" s="1626"/>
      <c r="G113" s="1626"/>
      <c r="H113" s="1626"/>
      <c r="I113" s="1626"/>
      <c r="J113" s="1626"/>
      <c r="K113" s="1626"/>
      <c r="L113" s="1626"/>
      <c r="M113" s="1626"/>
      <c r="N113" s="1626"/>
      <c r="O113" s="1626"/>
      <c r="P113" s="1627"/>
      <c r="Q113" s="1627"/>
      <c r="R113" s="1626"/>
      <c r="S113" s="1626"/>
      <c r="T113" s="1626"/>
      <c r="U113" s="1626"/>
      <c r="V113" s="1626"/>
      <c r="W113" s="1626"/>
      <c r="X113" s="1626"/>
      <c r="Y113" s="1626"/>
      <c r="Z113" s="1626"/>
    </row>
    <row r="114" spans="1:26" ht="15.75" customHeight="1" x14ac:dyDescent="0.25">
      <c r="A114" s="1626"/>
      <c r="B114" s="1626"/>
      <c r="C114" s="1626"/>
      <c r="D114" s="1626"/>
      <c r="E114" s="1626"/>
      <c r="F114" s="1626"/>
      <c r="G114" s="1626"/>
      <c r="H114" s="1626"/>
      <c r="I114" s="1626"/>
      <c r="J114" s="1626"/>
      <c r="K114" s="1626"/>
      <c r="L114" s="1626"/>
      <c r="M114" s="1626"/>
      <c r="N114" s="1626"/>
      <c r="O114" s="1626"/>
      <c r="P114" s="1627"/>
      <c r="Q114" s="1627"/>
      <c r="R114" s="1626"/>
      <c r="S114" s="1626"/>
      <c r="T114" s="1626"/>
      <c r="U114" s="1626"/>
      <c r="V114" s="1626"/>
      <c r="W114" s="1626"/>
      <c r="X114" s="1626"/>
      <c r="Y114" s="1626"/>
      <c r="Z114" s="1626"/>
    </row>
    <row r="115" spans="1:26" ht="15.75" customHeight="1" x14ac:dyDescent="0.25">
      <c r="A115" s="1626"/>
      <c r="B115" s="1626"/>
      <c r="C115" s="1626"/>
      <c r="D115" s="1626"/>
      <c r="E115" s="1626"/>
      <c r="F115" s="1626"/>
      <c r="G115" s="1626"/>
      <c r="H115" s="1626"/>
      <c r="I115" s="1626"/>
      <c r="J115" s="1626"/>
      <c r="K115" s="1626"/>
      <c r="L115" s="1626"/>
      <c r="M115" s="1626"/>
      <c r="N115" s="1626"/>
      <c r="O115" s="1626"/>
      <c r="P115" s="1627"/>
      <c r="Q115" s="1627"/>
      <c r="R115" s="1626"/>
      <c r="S115" s="1626"/>
      <c r="T115" s="1626"/>
      <c r="U115" s="1626"/>
      <c r="V115" s="1626"/>
      <c r="W115" s="1626"/>
      <c r="X115" s="1626"/>
      <c r="Y115" s="1626"/>
      <c r="Z115" s="1626"/>
    </row>
    <row r="116" spans="1:26" ht="15.75" customHeight="1" x14ac:dyDescent="0.25">
      <c r="A116" s="1626"/>
      <c r="B116" s="1626"/>
      <c r="C116" s="1626"/>
      <c r="D116" s="1626"/>
      <c r="E116" s="1626"/>
      <c r="F116" s="1626"/>
      <c r="G116" s="1626"/>
      <c r="H116" s="1626"/>
      <c r="I116" s="1626"/>
      <c r="J116" s="1626"/>
      <c r="K116" s="1626"/>
      <c r="L116" s="1626"/>
      <c r="M116" s="1626"/>
      <c r="N116" s="1626"/>
      <c r="O116" s="1626"/>
      <c r="P116" s="1627"/>
      <c r="Q116" s="1627"/>
      <c r="R116" s="1626"/>
      <c r="S116" s="1626"/>
      <c r="T116" s="1626"/>
      <c r="U116" s="1626"/>
      <c r="V116" s="1626"/>
      <c r="W116" s="1626"/>
      <c r="X116" s="1626"/>
      <c r="Y116" s="1626"/>
      <c r="Z116" s="1626"/>
    </row>
    <row r="117" spans="1:26" ht="15.75" customHeight="1" x14ac:dyDescent="0.25">
      <c r="A117" s="1626"/>
      <c r="B117" s="1626"/>
      <c r="C117" s="1626"/>
      <c r="D117" s="1626"/>
      <c r="E117" s="1626"/>
      <c r="F117" s="1626"/>
      <c r="G117" s="1626"/>
      <c r="H117" s="1626"/>
      <c r="I117" s="1626"/>
      <c r="J117" s="1626"/>
      <c r="K117" s="1626"/>
      <c r="L117" s="1626"/>
      <c r="M117" s="1626"/>
      <c r="N117" s="1626"/>
      <c r="O117" s="1626"/>
      <c r="P117" s="1627"/>
      <c r="Q117" s="1627"/>
      <c r="R117" s="1626"/>
      <c r="S117" s="1626"/>
      <c r="T117" s="1626"/>
      <c r="U117" s="1626"/>
      <c r="V117" s="1626"/>
      <c r="W117" s="1626"/>
      <c r="X117" s="1626"/>
      <c r="Y117" s="1626"/>
      <c r="Z117" s="1626"/>
    </row>
    <row r="118" spans="1:26" ht="15.75" customHeight="1" x14ac:dyDescent="0.25">
      <c r="A118" s="1626"/>
      <c r="B118" s="1626"/>
      <c r="C118" s="1626"/>
      <c r="D118" s="1626"/>
      <c r="E118" s="1626"/>
      <c r="F118" s="1626"/>
      <c r="G118" s="1626"/>
      <c r="H118" s="1626"/>
      <c r="I118" s="1626"/>
      <c r="J118" s="1626"/>
      <c r="K118" s="1626"/>
      <c r="L118" s="1626"/>
      <c r="M118" s="1626"/>
      <c r="N118" s="1626"/>
      <c r="O118" s="1626"/>
      <c r="P118" s="1627"/>
      <c r="Q118" s="1627"/>
      <c r="R118" s="1626"/>
      <c r="S118" s="1626"/>
      <c r="T118" s="1626"/>
      <c r="U118" s="1626"/>
      <c r="V118" s="1626"/>
      <c r="W118" s="1626"/>
      <c r="X118" s="1626"/>
      <c r="Y118" s="1626"/>
      <c r="Z118" s="1626"/>
    </row>
    <row r="119" spans="1:26" ht="15.75" customHeight="1" x14ac:dyDescent="0.25">
      <c r="A119" s="1626"/>
      <c r="B119" s="1626"/>
      <c r="C119" s="1626"/>
      <c r="D119" s="1626"/>
      <c r="E119" s="1626"/>
      <c r="F119" s="1626"/>
      <c r="G119" s="1626"/>
      <c r="H119" s="1626"/>
      <c r="I119" s="1626"/>
      <c r="J119" s="1626"/>
      <c r="K119" s="1626"/>
      <c r="L119" s="1626"/>
      <c r="M119" s="1626"/>
      <c r="N119" s="1626"/>
      <c r="O119" s="1626"/>
      <c r="P119" s="1627"/>
      <c r="Q119" s="1627"/>
      <c r="R119" s="1626"/>
      <c r="S119" s="1626"/>
      <c r="T119" s="1626"/>
      <c r="U119" s="1626"/>
      <c r="V119" s="1626"/>
      <c r="W119" s="1626"/>
      <c r="X119" s="1626"/>
      <c r="Y119" s="1626"/>
      <c r="Z119" s="1626"/>
    </row>
    <row r="120" spans="1:26" ht="15.75" customHeight="1" x14ac:dyDescent="0.25">
      <c r="A120" s="1626"/>
      <c r="B120" s="1626"/>
      <c r="C120" s="1626"/>
      <c r="D120" s="1626"/>
      <c r="E120" s="1626"/>
      <c r="F120" s="1626"/>
      <c r="G120" s="1626"/>
      <c r="H120" s="1626"/>
      <c r="I120" s="1626"/>
      <c r="J120" s="1626"/>
      <c r="K120" s="1626"/>
      <c r="L120" s="1626"/>
      <c r="M120" s="1626"/>
      <c r="N120" s="1626"/>
      <c r="O120" s="1626"/>
      <c r="P120" s="1627"/>
      <c r="Q120" s="1627"/>
      <c r="R120" s="1626"/>
      <c r="S120" s="1626"/>
      <c r="T120" s="1626"/>
      <c r="U120" s="1626"/>
      <c r="V120" s="1626"/>
      <c r="W120" s="1626"/>
      <c r="X120" s="1626"/>
      <c r="Y120" s="1626"/>
      <c r="Z120" s="1626"/>
    </row>
    <row r="121" spans="1:26" ht="15.75" customHeight="1" x14ac:dyDescent="0.25">
      <c r="A121" s="1626"/>
      <c r="B121" s="1626"/>
      <c r="C121" s="1626"/>
      <c r="D121" s="1626"/>
      <c r="E121" s="1626"/>
      <c r="F121" s="1626"/>
      <c r="G121" s="1626"/>
      <c r="H121" s="1626"/>
      <c r="I121" s="1626"/>
      <c r="J121" s="1626"/>
      <c r="K121" s="1626"/>
      <c r="L121" s="1626"/>
      <c r="M121" s="1626"/>
      <c r="N121" s="1626"/>
      <c r="O121" s="1626"/>
      <c r="P121" s="1627"/>
      <c r="Q121" s="1627"/>
      <c r="R121" s="1626"/>
      <c r="S121" s="1626"/>
      <c r="T121" s="1626"/>
      <c r="U121" s="1626"/>
      <c r="V121" s="1626"/>
      <c r="W121" s="1626"/>
      <c r="X121" s="1626"/>
      <c r="Y121" s="1626"/>
      <c r="Z121" s="1626"/>
    </row>
    <row r="122" spans="1:26" ht="15.75" customHeight="1" x14ac:dyDescent="0.25">
      <c r="A122" s="1626"/>
      <c r="B122" s="1626"/>
      <c r="C122" s="1626"/>
      <c r="D122" s="1626"/>
      <c r="E122" s="1626"/>
      <c r="F122" s="1626"/>
      <c r="G122" s="1626"/>
      <c r="H122" s="1626"/>
      <c r="I122" s="1626"/>
      <c r="J122" s="1626"/>
      <c r="K122" s="1626"/>
      <c r="L122" s="1626"/>
      <c r="M122" s="1626"/>
      <c r="N122" s="1626"/>
      <c r="O122" s="1626"/>
      <c r="P122" s="1627"/>
      <c r="Q122" s="1627"/>
      <c r="R122" s="1626"/>
      <c r="S122" s="1626"/>
      <c r="T122" s="1626"/>
      <c r="U122" s="1626"/>
      <c r="V122" s="1626"/>
      <c r="W122" s="1626"/>
      <c r="X122" s="1626"/>
      <c r="Y122" s="1626"/>
      <c r="Z122" s="1626"/>
    </row>
    <row r="123" spans="1:26" ht="15.75" customHeight="1" x14ac:dyDescent="0.25">
      <c r="A123" s="1626"/>
      <c r="B123" s="1626"/>
      <c r="C123" s="1626"/>
      <c r="D123" s="1626"/>
      <c r="E123" s="1626"/>
      <c r="F123" s="1626"/>
      <c r="G123" s="1626"/>
      <c r="H123" s="1626"/>
      <c r="I123" s="1626"/>
      <c r="J123" s="1626"/>
      <c r="K123" s="1626"/>
      <c r="L123" s="1626"/>
      <c r="M123" s="1626"/>
      <c r="N123" s="1626"/>
      <c r="O123" s="1626"/>
      <c r="P123" s="1627"/>
      <c r="Q123" s="1627"/>
      <c r="R123" s="1626"/>
      <c r="S123" s="1626"/>
      <c r="T123" s="1626"/>
      <c r="U123" s="1626"/>
      <c r="V123" s="1626"/>
      <c r="W123" s="1626"/>
      <c r="X123" s="1626"/>
      <c r="Y123" s="1626"/>
      <c r="Z123" s="1626"/>
    </row>
    <row r="124" spans="1:26" ht="15.75" customHeight="1" x14ac:dyDescent="0.25">
      <c r="A124" s="1626"/>
      <c r="B124" s="1626"/>
      <c r="C124" s="1626"/>
      <c r="D124" s="1626"/>
      <c r="E124" s="1626"/>
      <c r="F124" s="1626"/>
      <c r="G124" s="1626"/>
      <c r="H124" s="1626"/>
      <c r="I124" s="1626"/>
      <c r="J124" s="1626"/>
      <c r="K124" s="1626"/>
      <c r="L124" s="1626"/>
      <c r="M124" s="1626"/>
      <c r="N124" s="1626"/>
      <c r="O124" s="1626"/>
      <c r="P124" s="1627"/>
      <c r="Q124" s="1627"/>
      <c r="R124" s="1626"/>
      <c r="S124" s="1626"/>
      <c r="T124" s="1626"/>
      <c r="U124" s="1626"/>
      <c r="V124" s="1626"/>
      <c r="W124" s="1626"/>
      <c r="X124" s="1626"/>
      <c r="Y124" s="1626"/>
      <c r="Z124" s="1626"/>
    </row>
    <row r="125" spans="1:26" ht="15.75" customHeight="1" x14ac:dyDescent="0.25">
      <c r="A125" s="1626"/>
      <c r="B125" s="1626"/>
      <c r="C125" s="1626"/>
      <c r="D125" s="1626"/>
      <c r="E125" s="1626"/>
      <c r="F125" s="1626"/>
      <c r="G125" s="1626"/>
      <c r="H125" s="1626"/>
      <c r="I125" s="1626"/>
      <c r="J125" s="1626"/>
      <c r="K125" s="1626"/>
      <c r="L125" s="1626"/>
      <c r="M125" s="1626"/>
      <c r="N125" s="1626"/>
      <c r="O125" s="1626"/>
      <c r="P125" s="1627"/>
      <c r="Q125" s="1627"/>
      <c r="R125" s="1626"/>
      <c r="S125" s="1626"/>
      <c r="T125" s="1626"/>
      <c r="U125" s="1626"/>
      <c r="V125" s="1626"/>
      <c r="W125" s="1626"/>
      <c r="X125" s="1626"/>
      <c r="Y125" s="1626"/>
      <c r="Z125" s="1626"/>
    </row>
    <row r="126" spans="1:26" ht="15.75" customHeight="1" x14ac:dyDescent="0.25">
      <c r="A126" s="1626"/>
      <c r="B126" s="1626"/>
      <c r="C126" s="1626"/>
      <c r="D126" s="1626"/>
      <c r="E126" s="1626"/>
      <c r="F126" s="1626"/>
      <c r="G126" s="1626"/>
      <c r="H126" s="1626"/>
      <c r="I126" s="1626"/>
      <c r="J126" s="1626"/>
      <c r="K126" s="1626"/>
      <c r="L126" s="1626"/>
      <c r="M126" s="1626"/>
      <c r="N126" s="1626"/>
      <c r="O126" s="1626"/>
      <c r="P126" s="1627"/>
      <c r="Q126" s="1627"/>
      <c r="R126" s="1626"/>
      <c r="S126" s="1626"/>
      <c r="T126" s="1626"/>
      <c r="U126" s="1626"/>
      <c r="V126" s="1626"/>
      <c r="W126" s="1626"/>
      <c r="X126" s="1626"/>
      <c r="Y126" s="1626"/>
      <c r="Z126" s="1626"/>
    </row>
    <row r="127" spans="1:26" ht="15.75" customHeight="1" x14ac:dyDescent="0.25">
      <c r="A127" s="1626"/>
      <c r="B127" s="1626"/>
      <c r="C127" s="1626"/>
      <c r="D127" s="1626"/>
      <c r="E127" s="1626"/>
      <c r="F127" s="1626"/>
      <c r="G127" s="1626"/>
      <c r="H127" s="1626"/>
      <c r="I127" s="1626"/>
      <c r="J127" s="1626"/>
      <c r="K127" s="1626"/>
      <c r="L127" s="1626"/>
      <c r="M127" s="1626"/>
      <c r="N127" s="1626"/>
      <c r="O127" s="1626"/>
      <c r="P127" s="1627"/>
      <c r="Q127" s="1627"/>
      <c r="R127" s="1626"/>
      <c r="S127" s="1626"/>
      <c r="T127" s="1626"/>
      <c r="U127" s="1626"/>
      <c r="V127" s="1626"/>
      <c r="W127" s="1626"/>
      <c r="X127" s="1626"/>
      <c r="Y127" s="1626"/>
      <c r="Z127" s="1626"/>
    </row>
    <row r="128" spans="1:26" ht="15.75" customHeight="1" x14ac:dyDescent="0.25">
      <c r="A128" s="1626"/>
      <c r="B128" s="1626"/>
      <c r="C128" s="1626"/>
      <c r="D128" s="1626"/>
      <c r="E128" s="1626"/>
      <c r="F128" s="1626"/>
      <c r="G128" s="1626"/>
      <c r="H128" s="1626"/>
      <c r="I128" s="1626"/>
      <c r="J128" s="1626"/>
      <c r="K128" s="1626"/>
      <c r="L128" s="1626"/>
      <c r="M128" s="1626"/>
      <c r="N128" s="1626"/>
      <c r="O128" s="1626"/>
      <c r="P128" s="1627"/>
      <c r="Q128" s="1627"/>
      <c r="R128" s="1626"/>
      <c r="S128" s="1626"/>
      <c r="T128" s="1626"/>
      <c r="U128" s="1626"/>
      <c r="V128" s="1626"/>
      <c r="W128" s="1626"/>
      <c r="X128" s="1626"/>
      <c r="Y128" s="1626"/>
      <c r="Z128" s="1626"/>
    </row>
    <row r="129" spans="1:26" ht="15.75" customHeight="1" x14ac:dyDescent="0.25">
      <c r="A129" s="1626"/>
      <c r="B129" s="1626"/>
      <c r="C129" s="1626"/>
      <c r="D129" s="1626"/>
      <c r="E129" s="1626"/>
      <c r="F129" s="1626"/>
      <c r="G129" s="1626"/>
      <c r="H129" s="1626"/>
      <c r="I129" s="1626"/>
      <c r="J129" s="1626"/>
      <c r="K129" s="1626"/>
      <c r="L129" s="1626"/>
      <c r="M129" s="1626"/>
      <c r="N129" s="1626"/>
      <c r="O129" s="1626"/>
      <c r="P129" s="1627"/>
      <c r="Q129" s="1627"/>
      <c r="R129" s="1626"/>
      <c r="S129" s="1626"/>
      <c r="T129" s="1626"/>
      <c r="U129" s="1626"/>
      <c r="V129" s="1626"/>
      <c r="W129" s="1626"/>
      <c r="X129" s="1626"/>
      <c r="Y129" s="1626"/>
      <c r="Z129" s="1626"/>
    </row>
    <row r="130" spans="1:26" ht="15.75" customHeight="1" x14ac:dyDescent="0.25">
      <c r="A130" s="1626"/>
      <c r="B130" s="1626"/>
      <c r="C130" s="1626"/>
      <c r="D130" s="1626"/>
      <c r="E130" s="1626"/>
      <c r="F130" s="1626"/>
      <c r="G130" s="1626"/>
      <c r="H130" s="1626"/>
      <c r="I130" s="1626"/>
      <c r="J130" s="1626"/>
      <c r="K130" s="1626"/>
      <c r="L130" s="1626"/>
      <c r="M130" s="1626"/>
      <c r="N130" s="1626"/>
      <c r="O130" s="1626"/>
      <c r="P130" s="1627"/>
      <c r="Q130" s="1627"/>
      <c r="R130" s="1626"/>
      <c r="S130" s="1626"/>
      <c r="T130" s="1626"/>
      <c r="U130" s="1626"/>
      <c r="V130" s="1626"/>
      <c r="W130" s="1626"/>
      <c r="X130" s="1626"/>
      <c r="Y130" s="1626"/>
      <c r="Z130" s="1626"/>
    </row>
    <row r="131" spans="1:26" ht="15.75" customHeight="1" x14ac:dyDescent="0.25">
      <c r="A131" s="1626"/>
      <c r="B131" s="1626"/>
      <c r="C131" s="1626"/>
      <c r="D131" s="1626"/>
      <c r="E131" s="1626"/>
      <c r="F131" s="1626"/>
      <c r="G131" s="1626"/>
      <c r="H131" s="1626"/>
      <c r="I131" s="1626"/>
      <c r="J131" s="1626"/>
      <c r="K131" s="1626"/>
      <c r="L131" s="1626"/>
      <c r="M131" s="1626"/>
      <c r="N131" s="1626"/>
      <c r="O131" s="1626"/>
      <c r="P131" s="1627"/>
      <c r="Q131" s="1627"/>
      <c r="R131" s="1626"/>
      <c r="S131" s="1626"/>
      <c r="T131" s="1626"/>
      <c r="U131" s="1626"/>
      <c r="V131" s="1626"/>
      <c r="W131" s="1626"/>
      <c r="X131" s="1626"/>
      <c r="Y131" s="1626"/>
      <c r="Z131" s="1626"/>
    </row>
    <row r="132" spans="1:26" ht="15.75" customHeight="1" x14ac:dyDescent="0.25">
      <c r="A132" s="1626"/>
      <c r="B132" s="1626"/>
      <c r="C132" s="1626"/>
      <c r="D132" s="1626"/>
      <c r="E132" s="1626"/>
      <c r="F132" s="1626"/>
      <c r="G132" s="1626"/>
      <c r="H132" s="1626"/>
      <c r="I132" s="1626"/>
      <c r="J132" s="1626"/>
      <c r="K132" s="1626"/>
      <c r="L132" s="1626"/>
      <c r="M132" s="1626"/>
      <c r="N132" s="1626"/>
      <c r="O132" s="1626"/>
      <c r="P132" s="1627"/>
      <c r="Q132" s="1627"/>
      <c r="R132" s="1626"/>
      <c r="S132" s="1626"/>
      <c r="T132" s="1626"/>
      <c r="U132" s="1626"/>
      <c r="V132" s="1626"/>
      <c r="W132" s="1626"/>
      <c r="X132" s="1626"/>
      <c r="Y132" s="1626"/>
      <c r="Z132" s="1626"/>
    </row>
    <row r="133" spans="1:26" ht="15.75" customHeight="1" x14ac:dyDescent="0.25">
      <c r="A133" s="1626"/>
      <c r="B133" s="1626"/>
      <c r="C133" s="1626"/>
      <c r="D133" s="1626"/>
      <c r="E133" s="1626"/>
      <c r="F133" s="1626"/>
      <c r="G133" s="1626"/>
      <c r="H133" s="1626"/>
      <c r="I133" s="1626"/>
      <c r="J133" s="1626"/>
      <c r="K133" s="1626"/>
      <c r="L133" s="1626"/>
      <c r="M133" s="1626"/>
      <c r="N133" s="1626"/>
      <c r="O133" s="1626"/>
      <c r="P133" s="1627"/>
      <c r="Q133" s="1627"/>
      <c r="R133" s="1626"/>
      <c r="S133" s="1626"/>
      <c r="T133" s="1626"/>
      <c r="U133" s="1626"/>
      <c r="V133" s="1626"/>
      <c r="W133" s="1626"/>
      <c r="X133" s="1626"/>
      <c r="Y133" s="1626"/>
      <c r="Z133" s="1626"/>
    </row>
    <row r="134" spans="1:26" ht="15.75" customHeight="1" x14ac:dyDescent="0.25">
      <c r="A134" s="1626"/>
      <c r="B134" s="1626"/>
      <c r="C134" s="1626"/>
      <c r="D134" s="1626"/>
      <c r="E134" s="1626"/>
      <c r="F134" s="1626"/>
      <c r="G134" s="1626"/>
      <c r="H134" s="1626"/>
      <c r="I134" s="1626"/>
      <c r="J134" s="1626"/>
      <c r="K134" s="1626"/>
      <c r="L134" s="1626"/>
      <c r="M134" s="1626"/>
      <c r="N134" s="1626"/>
      <c r="O134" s="1626"/>
      <c r="P134" s="1627"/>
      <c r="Q134" s="1627"/>
      <c r="R134" s="1626"/>
      <c r="S134" s="1626"/>
      <c r="T134" s="1626"/>
      <c r="U134" s="1626"/>
      <c r="V134" s="1626"/>
      <c r="W134" s="1626"/>
      <c r="X134" s="1626"/>
      <c r="Y134" s="1626"/>
      <c r="Z134" s="1626"/>
    </row>
    <row r="135" spans="1:26" ht="15.75" customHeight="1" x14ac:dyDescent="0.25">
      <c r="A135" s="1626"/>
      <c r="B135" s="1626"/>
      <c r="C135" s="1626"/>
      <c r="D135" s="1626"/>
      <c r="E135" s="1626"/>
      <c r="F135" s="1626"/>
      <c r="G135" s="1626"/>
      <c r="H135" s="1626"/>
      <c r="I135" s="1626"/>
      <c r="J135" s="1626"/>
      <c r="K135" s="1626"/>
      <c r="L135" s="1626"/>
      <c r="M135" s="1626"/>
      <c r="N135" s="1626"/>
      <c r="O135" s="1626"/>
      <c r="P135" s="1627"/>
      <c r="Q135" s="1627"/>
      <c r="R135" s="1626"/>
      <c r="S135" s="1626"/>
      <c r="T135" s="1626"/>
      <c r="U135" s="1626"/>
      <c r="V135" s="1626"/>
      <c r="W135" s="1626"/>
      <c r="X135" s="1626"/>
      <c r="Y135" s="1626"/>
      <c r="Z135" s="1626"/>
    </row>
    <row r="136" spans="1:26" ht="15.75" customHeight="1" x14ac:dyDescent="0.25">
      <c r="A136" s="1626"/>
      <c r="B136" s="1626"/>
      <c r="C136" s="1626"/>
      <c r="D136" s="1626"/>
      <c r="E136" s="1626"/>
      <c r="F136" s="1626"/>
      <c r="G136" s="1626"/>
      <c r="H136" s="1626"/>
      <c r="I136" s="1626"/>
      <c r="J136" s="1626"/>
      <c r="K136" s="1626"/>
      <c r="L136" s="1626"/>
      <c r="M136" s="1626"/>
      <c r="N136" s="1626"/>
      <c r="O136" s="1626"/>
      <c r="P136" s="1627"/>
      <c r="Q136" s="1627"/>
      <c r="R136" s="1626"/>
      <c r="S136" s="1626"/>
      <c r="T136" s="1626"/>
      <c r="U136" s="1626"/>
      <c r="V136" s="1626"/>
      <c r="W136" s="1626"/>
      <c r="X136" s="1626"/>
      <c r="Y136" s="1626"/>
      <c r="Z136" s="1626"/>
    </row>
    <row r="137" spans="1:26" ht="15.75" customHeight="1" x14ac:dyDescent="0.25">
      <c r="A137" s="1626"/>
      <c r="B137" s="1626"/>
      <c r="C137" s="1626"/>
      <c r="D137" s="1626"/>
      <c r="E137" s="1626"/>
      <c r="F137" s="1626"/>
      <c r="G137" s="1626"/>
      <c r="H137" s="1626"/>
      <c r="I137" s="1626"/>
      <c r="J137" s="1626"/>
      <c r="K137" s="1626"/>
      <c r="L137" s="1626"/>
      <c r="M137" s="1626"/>
      <c r="N137" s="1626"/>
      <c r="O137" s="1626"/>
      <c r="P137" s="1627"/>
      <c r="Q137" s="1627"/>
      <c r="R137" s="1626"/>
      <c r="S137" s="1626"/>
      <c r="T137" s="1626"/>
      <c r="U137" s="1626"/>
      <c r="V137" s="1626"/>
      <c r="W137" s="1626"/>
      <c r="X137" s="1626"/>
      <c r="Y137" s="1626"/>
      <c r="Z137" s="1626"/>
    </row>
    <row r="138" spans="1:26" ht="15.75" customHeight="1" x14ac:dyDescent="0.25">
      <c r="A138" s="1626"/>
      <c r="B138" s="1626"/>
      <c r="C138" s="1626"/>
      <c r="D138" s="1626"/>
      <c r="E138" s="1626"/>
      <c r="F138" s="1626"/>
      <c r="G138" s="1626"/>
      <c r="H138" s="1626"/>
      <c r="I138" s="1626"/>
      <c r="J138" s="1626"/>
      <c r="K138" s="1626"/>
      <c r="L138" s="1626"/>
      <c r="M138" s="1626"/>
      <c r="N138" s="1626"/>
      <c r="O138" s="1626"/>
      <c r="P138" s="1627"/>
      <c r="Q138" s="1627"/>
      <c r="R138" s="1626"/>
      <c r="S138" s="1626"/>
      <c r="T138" s="1626"/>
      <c r="U138" s="1626"/>
      <c r="V138" s="1626"/>
      <c r="W138" s="1626"/>
      <c r="X138" s="1626"/>
      <c r="Y138" s="1626"/>
      <c r="Z138" s="1626"/>
    </row>
    <row r="139" spans="1:26" ht="15.75" customHeight="1" x14ac:dyDescent="0.25">
      <c r="A139" s="1626"/>
      <c r="B139" s="1626"/>
      <c r="C139" s="1626"/>
      <c r="D139" s="1626"/>
      <c r="E139" s="1626"/>
      <c r="F139" s="1626"/>
      <c r="G139" s="1626"/>
      <c r="H139" s="1626"/>
      <c r="I139" s="1626"/>
      <c r="J139" s="1626"/>
      <c r="K139" s="1626"/>
      <c r="L139" s="1626"/>
      <c r="M139" s="1626"/>
      <c r="N139" s="1626"/>
      <c r="O139" s="1626"/>
      <c r="P139" s="1627"/>
      <c r="Q139" s="1627"/>
      <c r="R139" s="1626"/>
      <c r="S139" s="1626"/>
      <c r="T139" s="1626"/>
      <c r="U139" s="1626"/>
      <c r="V139" s="1626"/>
      <c r="W139" s="1626"/>
      <c r="X139" s="1626"/>
      <c r="Y139" s="1626"/>
      <c r="Z139" s="1626"/>
    </row>
    <row r="140" spans="1:26" ht="15.75" customHeight="1" x14ac:dyDescent="0.25">
      <c r="A140" s="1626"/>
      <c r="B140" s="1626"/>
      <c r="C140" s="1626"/>
      <c r="D140" s="1626"/>
      <c r="E140" s="1626"/>
      <c r="F140" s="1626"/>
      <c r="G140" s="1626"/>
      <c r="H140" s="1626"/>
      <c r="I140" s="1626"/>
      <c r="J140" s="1626"/>
      <c r="K140" s="1626"/>
      <c r="L140" s="1626"/>
      <c r="M140" s="1626"/>
      <c r="N140" s="1626"/>
      <c r="O140" s="1626"/>
      <c r="P140" s="1627"/>
      <c r="Q140" s="1627"/>
      <c r="R140" s="1626"/>
      <c r="S140" s="1626"/>
      <c r="T140" s="1626"/>
      <c r="U140" s="1626"/>
      <c r="V140" s="1626"/>
      <c r="W140" s="1626"/>
      <c r="X140" s="1626"/>
      <c r="Y140" s="1626"/>
      <c r="Z140" s="1626"/>
    </row>
    <row r="141" spans="1:26" ht="15.75" customHeight="1" x14ac:dyDescent="0.25">
      <c r="A141" s="1626"/>
      <c r="B141" s="1626"/>
      <c r="C141" s="1626"/>
      <c r="D141" s="1626"/>
      <c r="E141" s="1626"/>
      <c r="F141" s="1626"/>
      <c r="G141" s="1626"/>
      <c r="H141" s="1626"/>
      <c r="I141" s="1626"/>
      <c r="J141" s="1626"/>
      <c r="K141" s="1626"/>
      <c r="L141" s="1626"/>
      <c r="M141" s="1626"/>
      <c r="N141" s="1626"/>
      <c r="O141" s="1626"/>
      <c r="P141" s="1627"/>
      <c r="Q141" s="1627"/>
      <c r="R141" s="1626"/>
      <c r="S141" s="1626"/>
      <c r="T141" s="1626"/>
      <c r="U141" s="1626"/>
      <c r="V141" s="1626"/>
      <c r="W141" s="1626"/>
      <c r="X141" s="1626"/>
      <c r="Y141" s="1626"/>
      <c r="Z141" s="1626"/>
    </row>
    <row r="142" spans="1:26" ht="15.75" customHeight="1" x14ac:dyDescent="0.25">
      <c r="A142" s="1626"/>
      <c r="B142" s="1626"/>
      <c r="C142" s="1626"/>
      <c r="D142" s="1626"/>
      <c r="E142" s="1626"/>
      <c r="F142" s="1626"/>
      <c r="G142" s="1626"/>
      <c r="H142" s="1626"/>
      <c r="I142" s="1626"/>
      <c r="J142" s="1626"/>
      <c r="K142" s="1626"/>
      <c r="L142" s="1626"/>
      <c r="M142" s="1626"/>
      <c r="N142" s="1626"/>
      <c r="O142" s="1626"/>
      <c r="P142" s="1627"/>
      <c r="Q142" s="1627"/>
      <c r="R142" s="1626"/>
      <c r="S142" s="1626"/>
      <c r="T142" s="1626"/>
      <c r="U142" s="1626"/>
      <c r="V142" s="1626"/>
      <c r="W142" s="1626"/>
      <c r="X142" s="1626"/>
      <c r="Y142" s="1626"/>
      <c r="Z142" s="1626"/>
    </row>
    <row r="143" spans="1:26" ht="15.75" customHeight="1" x14ac:dyDescent="0.25">
      <c r="A143" s="1626"/>
      <c r="B143" s="1626"/>
      <c r="C143" s="1626"/>
      <c r="D143" s="1626"/>
      <c r="E143" s="1626"/>
      <c r="F143" s="1626"/>
      <c r="G143" s="1626"/>
      <c r="H143" s="1626"/>
      <c r="I143" s="1626"/>
      <c r="J143" s="1626"/>
      <c r="K143" s="1626"/>
      <c r="L143" s="1626"/>
      <c r="M143" s="1626"/>
      <c r="N143" s="1626"/>
      <c r="O143" s="1626"/>
      <c r="P143" s="1627"/>
      <c r="Q143" s="1627"/>
      <c r="R143" s="1626"/>
      <c r="S143" s="1626"/>
      <c r="T143" s="1626"/>
      <c r="U143" s="1626"/>
      <c r="V143" s="1626"/>
      <c r="W143" s="1626"/>
      <c r="X143" s="1626"/>
      <c r="Y143" s="1626"/>
      <c r="Z143" s="1626"/>
    </row>
    <row r="144" spans="1:26" ht="15.75" customHeight="1" x14ac:dyDescent="0.25">
      <c r="A144" s="1626"/>
      <c r="B144" s="1626"/>
      <c r="C144" s="1626"/>
      <c r="D144" s="1626"/>
      <c r="E144" s="1626"/>
      <c r="F144" s="1626"/>
      <c r="G144" s="1626"/>
      <c r="H144" s="1626"/>
      <c r="I144" s="1626"/>
      <c r="J144" s="1626"/>
      <c r="K144" s="1626"/>
      <c r="L144" s="1626"/>
      <c r="M144" s="1626"/>
      <c r="N144" s="1626"/>
      <c r="O144" s="1626"/>
      <c r="P144" s="1627"/>
      <c r="Q144" s="1627"/>
      <c r="R144" s="1626"/>
      <c r="S144" s="1626"/>
      <c r="T144" s="1626"/>
      <c r="U144" s="1626"/>
      <c r="V144" s="1626"/>
      <c r="W144" s="1626"/>
      <c r="X144" s="1626"/>
      <c r="Y144" s="1626"/>
      <c r="Z144" s="1626"/>
    </row>
    <row r="145" spans="1:26" ht="15.75" customHeight="1" x14ac:dyDescent="0.25">
      <c r="A145" s="1626"/>
      <c r="B145" s="1626"/>
      <c r="C145" s="1626"/>
      <c r="D145" s="1626"/>
      <c r="E145" s="1626"/>
      <c r="F145" s="1626"/>
      <c r="G145" s="1626"/>
      <c r="H145" s="1626"/>
      <c r="I145" s="1626"/>
      <c r="J145" s="1626"/>
      <c r="K145" s="1626"/>
      <c r="L145" s="1626"/>
      <c r="M145" s="1626"/>
      <c r="N145" s="1626"/>
      <c r="O145" s="1626"/>
      <c r="P145" s="1627"/>
      <c r="Q145" s="1627"/>
      <c r="R145" s="1626"/>
      <c r="S145" s="1626"/>
      <c r="T145" s="1626"/>
      <c r="U145" s="1626"/>
      <c r="V145" s="1626"/>
      <c r="W145" s="1626"/>
      <c r="X145" s="1626"/>
      <c r="Y145" s="1626"/>
      <c r="Z145" s="1626"/>
    </row>
    <row r="146" spans="1:26" ht="15.75" customHeight="1" x14ac:dyDescent="0.25">
      <c r="A146" s="1626"/>
      <c r="B146" s="1626"/>
      <c r="C146" s="1626"/>
      <c r="D146" s="1626"/>
      <c r="E146" s="1626"/>
      <c r="F146" s="1626"/>
      <c r="G146" s="1626"/>
      <c r="H146" s="1626"/>
      <c r="I146" s="1626"/>
      <c r="J146" s="1626"/>
      <c r="K146" s="1626"/>
      <c r="L146" s="1626"/>
      <c r="M146" s="1626"/>
      <c r="N146" s="1626"/>
      <c r="O146" s="1626"/>
      <c r="P146" s="1627"/>
      <c r="Q146" s="1627"/>
      <c r="R146" s="1626"/>
      <c r="S146" s="1626"/>
      <c r="T146" s="1626"/>
      <c r="U146" s="1626"/>
      <c r="V146" s="1626"/>
      <c r="W146" s="1626"/>
      <c r="X146" s="1626"/>
      <c r="Y146" s="1626"/>
      <c r="Z146" s="1626"/>
    </row>
    <row r="147" spans="1:26" ht="15.75" customHeight="1" x14ac:dyDescent="0.25">
      <c r="A147" s="1626"/>
      <c r="B147" s="1626"/>
      <c r="C147" s="1626"/>
      <c r="D147" s="1626"/>
      <c r="E147" s="1626"/>
      <c r="F147" s="1626"/>
      <c r="G147" s="1626"/>
      <c r="H147" s="1626"/>
      <c r="I147" s="1626"/>
      <c r="J147" s="1626"/>
      <c r="K147" s="1626"/>
      <c r="L147" s="1626"/>
      <c r="M147" s="1626"/>
      <c r="N147" s="1626"/>
      <c r="O147" s="1626"/>
      <c r="P147" s="1627"/>
      <c r="Q147" s="1627"/>
      <c r="R147" s="1626"/>
      <c r="S147" s="1626"/>
      <c r="T147" s="1626"/>
      <c r="U147" s="1626"/>
      <c r="V147" s="1626"/>
      <c r="W147" s="1626"/>
      <c r="X147" s="1626"/>
      <c r="Y147" s="1626"/>
      <c r="Z147" s="1626"/>
    </row>
    <row r="148" spans="1:26" ht="15.75" customHeight="1" x14ac:dyDescent="0.25">
      <c r="A148" s="1626"/>
      <c r="B148" s="1626"/>
      <c r="C148" s="1626"/>
      <c r="D148" s="1626"/>
      <c r="E148" s="1626"/>
      <c r="F148" s="1626"/>
      <c r="G148" s="1626"/>
      <c r="H148" s="1626"/>
      <c r="I148" s="1626"/>
      <c r="J148" s="1626"/>
      <c r="K148" s="1626"/>
      <c r="L148" s="1626"/>
      <c r="M148" s="1626"/>
      <c r="N148" s="1626"/>
      <c r="O148" s="1626"/>
      <c r="P148" s="1627"/>
      <c r="Q148" s="1627"/>
      <c r="R148" s="1626"/>
      <c r="S148" s="1626"/>
      <c r="T148" s="1626"/>
      <c r="U148" s="1626"/>
      <c r="V148" s="1626"/>
      <c r="W148" s="1626"/>
      <c r="X148" s="1626"/>
      <c r="Y148" s="1626"/>
      <c r="Z148" s="1626"/>
    </row>
    <row r="149" spans="1:26" ht="15.75" customHeight="1" x14ac:dyDescent="0.25">
      <c r="A149" s="1626"/>
      <c r="B149" s="1626"/>
      <c r="C149" s="1626"/>
      <c r="D149" s="1626"/>
      <c r="E149" s="1626"/>
      <c r="F149" s="1626"/>
      <c r="G149" s="1626"/>
      <c r="H149" s="1626"/>
      <c r="I149" s="1626"/>
      <c r="J149" s="1626"/>
      <c r="K149" s="1626"/>
      <c r="L149" s="1626"/>
      <c r="M149" s="1626"/>
      <c r="N149" s="1626"/>
      <c r="O149" s="1626"/>
      <c r="P149" s="1627"/>
      <c r="Q149" s="1627"/>
      <c r="R149" s="1626"/>
      <c r="S149" s="1626"/>
      <c r="T149" s="1626"/>
      <c r="U149" s="1626"/>
      <c r="V149" s="1626"/>
      <c r="W149" s="1626"/>
      <c r="X149" s="1626"/>
      <c r="Y149" s="1626"/>
      <c r="Z149" s="1626"/>
    </row>
    <row r="150" spans="1:26" ht="15.75" customHeight="1" x14ac:dyDescent="0.25">
      <c r="A150" s="1626"/>
      <c r="B150" s="1626"/>
      <c r="C150" s="1626"/>
      <c r="D150" s="1626"/>
      <c r="E150" s="1626"/>
      <c r="F150" s="1626"/>
      <c r="G150" s="1626"/>
      <c r="H150" s="1626"/>
      <c r="I150" s="1626"/>
      <c r="J150" s="1626"/>
      <c r="K150" s="1626"/>
      <c r="L150" s="1626"/>
      <c r="M150" s="1626"/>
      <c r="N150" s="1626"/>
      <c r="O150" s="1626"/>
      <c r="P150" s="1627"/>
      <c r="Q150" s="1627"/>
      <c r="R150" s="1626"/>
      <c r="S150" s="1626"/>
      <c r="T150" s="1626"/>
      <c r="U150" s="1626"/>
      <c r="V150" s="1626"/>
      <c r="W150" s="1626"/>
      <c r="X150" s="1626"/>
      <c r="Y150" s="1626"/>
      <c r="Z150" s="1626"/>
    </row>
    <row r="151" spans="1:26" ht="15.75" customHeight="1" x14ac:dyDescent="0.25">
      <c r="A151" s="1626"/>
      <c r="B151" s="1626"/>
      <c r="C151" s="1626"/>
      <c r="D151" s="1626"/>
      <c r="E151" s="1626"/>
      <c r="F151" s="1626"/>
      <c r="G151" s="1626"/>
      <c r="H151" s="1626"/>
      <c r="I151" s="1626"/>
      <c r="J151" s="1626"/>
      <c r="K151" s="1626"/>
      <c r="L151" s="1626"/>
      <c r="M151" s="1626"/>
      <c r="N151" s="1626"/>
      <c r="O151" s="1626"/>
      <c r="P151" s="1627"/>
      <c r="Q151" s="1627"/>
      <c r="R151" s="1626"/>
      <c r="S151" s="1626"/>
      <c r="T151" s="1626"/>
      <c r="U151" s="1626"/>
      <c r="V151" s="1626"/>
      <c r="W151" s="1626"/>
      <c r="X151" s="1626"/>
      <c r="Y151" s="1626"/>
      <c r="Z151" s="1626"/>
    </row>
    <row r="152" spans="1:26" ht="15.75" customHeight="1" x14ac:dyDescent="0.25">
      <c r="A152" s="1626"/>
      <c r="B152" s="1626"/>
      <c r="C152" s="1626"/>
      <c r="D152" s="1626"/>
      <c r="E152" s="1626"/>
      <c r="F152" s="1626"/>
      <c r="G152" s="1626"/>
      <c r="H152" s="1626"/>
      <c r="I152" s="1626"/>
      <c r="J152" s="1626"/>
      <c r="K152" s="1626"/>
      <c r="L152" s="1626"/>
      <c r="M152" s="1626"/>
      <c r="N152" s="1626"/>
      <c r="O152" s="1626"/>
      <c r="P152" s="1627"/>
      <c r="Q152" s="1627"/>
      <c r="R152" s="1626"/>
      <c r="S152" s="1626"/>
      <c r="T152" s="1626"/>
      <c r="U152" s="1626"/>
      <c r="V152" s="1626"/>
      <c r="W152" s="1626"/>
      <c r="X152" s="1626"/>
      <c r="Y152" s="1626"/>
      <c r="Z152" s="1626"/>
    </row>
    <row r="153" spans="1:26" ht="15.75" customHeight="1" x14ac:dyDescent="0.25">
      <c r="A153" s="1626"/>
      <c r="B153" s="1626"/>
      <c r="C153" s="1626"/>
      <c r="D153" s="1626"/>
      <c r="E153" s="1626"/>
      <c r="F153" s="1626"/>
      <c r="G153" s="1626"/>
      <c r="H153" s="1626"/>
      <c r="I153" s="1626"/>
      <c r="J153" s="1626"/>
      <c r="K153" s="1626"/>
      <c r="L153" s="1626"/>
      <c r="M153" s="1626"/>
      <c r="N153" s="1626"/>
      <c r="O153" s="1626"/>
      <c r="P153" s="1627"/>
      <c r="Q153" s="1627"/>
      <c r="R153" s="1626"/>
      <c r="S153" s="1626"/>
      <c r="T153" s="1626"/>
      <c r="U153" s="1626"/>
      <c r="V153" s="1626"/>
      <c r="W153" s="1626"/>
      <c r="X153" s="1626"/>
      <c r="Y153" s="1626"/>
      <c r="Z153" s="1626"/>
    </row>
    <row r="154" spans="1:26" ht="15.75" customHeight="1" x14ac:dyDescent="0.25">
      <c r="A154" s="1626"/>
      <c r="B154" s="1626"/>
      <c r="C154" s="1626"/>
      <c r="D154" s="1626"/>
      <c r="E154" s="1626"/>
      <c r="F154" s="1626"/>
      <c r="G154" s="1626"/>
      <c r="H154" s="1626"/>
      <c r="I154" s="1626"/>
      <c r="J154" s="1626"/>
      <c r="K154" s="1626"/>
      <c r="L154" s="1626"/>
      <c r="M154" s="1626"/>
      <c r="N154" s="1626"/>
      <c r="O154" s="1626"/>
      <c r="P154" s="1627"/>
      <c r="Q154" s="1627"/>
      <c r="R154" s="1626"/>
      <c r="S154" s="1626"/>
      <c r="T154" s="1626"/>
      <c r="U154" s="1626"/>
      <c r="V154" s="1626"/>
      <c r="W154" s="1626"/>
      <c r="X154" s="1626"/>
      <c r="Y154" s="1626"/>
      <c r="Z154" s="1626"/>
    </row>
    <row r="155" spans="1:26" ht="15.75" customHeight="1" x14ac:dyDescent="0.25">
      <c r="A155" s="1626"/>
      <c r="B155" s="1626"/>
      <c r="C155" s="1626"/>
      <c r="D155" s="1626"/>
      <c r="E155" s="1626"/>
      <c r="F155" s="1626"/>
      <c r="G155" s="1626"/>
      <c r="H155" s="1626"/>
      <c r="I155" s="1626"/>
      <c r="J155" s="1626"/>
      <c r="K155" s="1626"/>
      <c r="L155" s="1626"/>
      <c r="M155" s="1626"/>
      <c r="N155" s="1626"/>
      <c r="O155" s="1626"/>
      <c r="P155" s="1627"/>
      <c r="Q155" s="1627"/>
      <c r="R155" s="1626"/>
      <c r="S155" s="1626"/>
      <c r="T155" s="1626"/>
      <c r="U155" s="1626"/>
      <c r="V155" s="1626"/>
      <c r="W155" s="1626"/>
      <c r="X155" s="1626"/>
      <c r="Y155" s="1626"/>
      <c r="Z155" s="1626"/>
    </row>
    <row r="156" spans="1:26" ht="15.75" customHeight="1" x14ac:dyDescent="0.25">
      <c r="A156" s="1626"/>
      <c r="B156" s="1626"/>
      <c r="C156" s="1626"/>
      <c r="D156" s="1626"/>
      <c r="E156" s="1626"/>
      <c r="F156" s="1626"/>
      <c r="G156" s="1626"/>
      <c r="H156" s="1626"/>
      <c r="I156" s="1626"/>
      <c r="J156" s="1626"/>
      <c r="K156" s="1626"/>
      <c r="L156" s="1626"/>
      <c r="M156" s="1626"/>
      <c r="N156" s="1626"/>
      <c r="O156" s="1626"/>
      <c r="P156" s="1627"/>
      <c r="Q156" s="1627"/>
      <c r="R156" s="1626"/>
      <c r="S156" s="1626"/>
      <c r="T156" s="1626"/>
      <c r="U156" s="1626"/>
      <c r="V156" s="1626"/>
      <c r="W156" s="1626"/>
      <c r="X156" s="1626"/>
      <c r="Y156" s="1626"/>
      <c r="Z156" s="1626"/>
    </row>
    <row r="157" spans="1:26" ht="15.75" customHeight="1" x14ac:dyDescent="0.25">
      <c r="A157" s="1626"/>
      <c r="B157" s="1626"/>
      <c r="C157" s="1626"/>
      <c r="D157" s="1626"/>
      <c r="E157" s="1626"/>
      <c r="F157" s="1626"/>
      <c r="G157" s="1626"/>
      <c r="H157" s="1626"/>
      <c r="I157" s="1626"/>
      <c r="J157" s="1626"/>
      <c r="K157" s="1626"/>
      <c r="L157" s="1626"/>
      <c r="M157" s="1626"/>
      <c r="N157" s="1626"/>
      <c r="O157" s="1626"/>
      <c r="P157" s="1627"/>
      <c r="Q157" s="1627"/>
      <c r="R157" s="1626"/>
      <c r="S157" s="1626"/>
      <c r="T157" s="1626"/>
      <c r="U157" s="1626"/>
      <c r="V157" s="1626"/>
      <c r="W157" s="1626"/>
      <c r="X157" s="1626"/>
      <c r="Y157" s="1626"/>
      <c r="Z157" s="1626"/>
    </row>
    <row r="158" spans="1:26" ht="15.75" customHeight="1" x14ac:dyDescent="0.25">
      <c r="A158" s="1626"/>
      <c r="B158" s="1626"/>
      <c r="C158" s="1626"/>
      <c r="D158" s="1626"/>
      <c r="E158" s="1626"/>
      <c r="F158" s="1626"/>
      <c r="G158" s="1626"/>
      <c r="H158" s="1626"/>
      <c r="I158" s="1626"/>
      <c r="J158" s="1626"/>
      <c r="K158" s="1626"/>
      <c r="L158" s="1626"/>
      <c r="M158" s="1626"/>
      <c r="N158" s="1626"/>
      <c r="O158" s="1626"/>
      <c r="P158" s="1627"/>
      <c r="Q158" s="1627"/>
      <c r="R158" s="1626"/>
      <c r="S158" s="1626"/>
      <c r="T158" s="1626"/>
      <c r="U158" s="1626"/>
      <c r="V158" s="1626"/>
      <c r="W158" s="1626"/>
      <c r="X158" s="1626"/>
      <c r="Y158" s="1626"/>
      <c r="Z158" s="1626"/>
    </row>
    <row r="159" spans="1:26" ht="15.75" customHeight="1" x14ac:dyDescent="0.25">
      <c r="A159" s="1626"/>
      <c r="B159" s="1626"/>
      <c r="C159" s="1626"/>
      <c r="D159" s="1626"/>
      <c r="E159" s="1626"/>
      <c r="F159" s="1626"/>
      <c r="G159" s="1626"/>
      <c r="H159" s="1626"/>
      <c r="I159" s="1626"/>
      <c r="J159" s="1626"/>
      <c r="K159" s="1626"/>
      <c r="L159" s="1626"/>
      <c r="M159" s="1626"/>
      <c r="N159" s="1626"/>
      <c r="O159" s="1626"/>
      <c r="P159" s="1627"/>
      <c r="Q159" s="1627"/>
      <c r="R159" s="1626"/>
      <c r="S159" s="1626"/>
      <c r="T159" s="1626"/>
      <c r="U159" s="1626"/>
      <c r="V159" s="1626"/>
      <c r="W159" s="1626"/>
      <c r="X159" s="1626"/>
      <c r="Y159" s="1626"/>
      <c r="Z159" s="1626"/>
    </row>
    <row r="160" spans="1:26" ht="15.75" customHeight="1" x14ac:dyDescent="0.25">
      <c r="A160" s="1626"/>
      <c r="B160" s="1626"/>
      <c r="C160" s="1626"/>
      <c r="D160" s="1626"/>
      <c r="E160" s="1626"/>
      <c r="F160" s="1626"/>
      <c r="G160" s="1626"/>
      <c r="H160" s="1626"/>
      <c r="I160" s="1626"/>
      <c r="J160" s="1626"/>
      <c r="K160" s="1626"/>
      <c r="L160" s="1626"/>
      <c r="M160" s="1626"/>
      <c r="N160" s="1626"/>
      <c r="O160" s="1626"/>
      <c r="P160" s="1627"/>
      <c r="Q160" s="1627"/>
      <c r="R160" s="1626"/>
      <c r="S160" s="1626"/>
      <c r="T160" s="1626"/>
      <c r="U160" s="1626"/>
      <c r="V160" s="1626"/>
      <c r="W160" s="1626"/>
      <c r="X160" s="1626"/>
      <c r="Y160" s="1626"/>
      <c r="Z160" s="1626"/>
    </row>
    <row r="161" spans="1:26" ht="15.75" customHeight="1" x14ac:dyDescent="0.25">
      <c r="A161" s="1626"/>
      <c r="B161" s="1626"/>
      <c r="C161" s="1626"/>
      <c r="D161" s="1626"/>
      <c r="E161" s="1626"/>
      <c r="F161" s="1626"/>
      <c r="G161" s="1626"/>
      <c r="H161" s="1626"/>
      <c r="I161" s="1626"/>
      <c r="J161" s="1626"/>
      <c r="K161" s="1626"/>
      <c r="L161" s="1626"/>
      <c r="M161" s="1626"/>
      <c r="N161" s="1626"/>
      <c r="O161" s="1626"/>
      <c r="P161" s="1627"/>
      <c r="Q161" s="1627"/>
      <c r="R161" s="1626"/>
      <c r="S161" s="1626"/>
      <c r="T161" s="1626"/>
      <c r="U161" s="1626"/>
      <c r="V161" s="1626"/>
      <c r="W161" s="1626"/>
      <c r="X161" s="1626"/>
      <c r="Y161" s="1626"/>
      <c r="Z161" s="1626"/>
    </row>
    <row r="162" spans="1:26" ht="15.75" customHeight="1" x14ac:dyDescent="0.25">
      <c r="A162" s="1626"/>
      <c r="B162" s="1626"/>
      <c r="C162" s="1626"/>
      <c r="D162" s="1626"/>
      <c r="E162" s="1626"/>
      <c r="F162" s="1626"/>
      <c r="G162" s="1626"/>
      <c r="H162" s="1626"/>
      <c r="I162" s="1626"/>
      <c r="J162" s="1626"/>
      <c r="K162" s="1626"/>
      <c r="L162" s="1626"/>
      <c r="M162" s="1626"/>
      <c r="N162" s="1626"/>
      <c r="O162" s="1626"/>
      <c r="P162" s="1627"/>
      <c r="Q162" s="1627"/>
      <c r="R162" s="1626"/>
      <c r="S162" s="1626"/>
      <c r="T162" s="1626"/>
      <c r="U162" s="1626"/>
      <c r="V162" s="1626"/>
      <c r="W162" s="1626"/>
      <c r="X162" s="1626"/>
      <c r="Y162" s="1626"/>
      <c r="Z162" s="1626"/>
    </row>
    <row r="163" spans="1:26" ht="15.75" customHeight="1" x14ac:dyDescent="0.25">
      <c r="A163" s="1626"/>
      <c r="B163" s="1626"/>
      <c r="C163" s="1626"/>
      <c r="D163" s="1626"/>
      <c r="E163" s="1626"/>
      <c r="F163" s="1626"/>
      <c r="G163" s="1626"/>
      <c r="H163" s="1626"/>
      <c r="I163" s="1626"/>
      <c r="J163" s="1626"/>
      <c r="K163" s="1626"/>
      <c r="L163" s="1626"/>
      <c r="M163" s="1626"/>
      <c r="N163" s="1626"/>
      <c r="O163" s="1626"/>
      <c r="P163" s="1627"/>
      <c r="Q163" s="1627"/>
      <c r="R163" s="1626"/>
      <c r="S163" s="1626"/>
      <c r="T163" s="1626"/>
      <c r="U163" s="1626"/>
      <c r="V163" s="1626"/>
      <c r="W163" s="1626"/>
      <c r="X163" s="1626"/>
      <c r="Y163" s="1626"/>
      <c r="Z163" s="1626"/>
    </row>
    <row r="164" spans="1:26" ht="15.75" customHeight="1" x14ac:dyDescent="0.25">
      <c r="A164" s="1626"/>
      <c r="B164" s="1626"/>
      <c r="C164" s="1626"/>
      <c r="D164" s="1626"/>
      <c r="E164" s="1626"/>
      <c r="F164" s="1626"/>
      <c r="G164" s="1626"/>
      <c r="H164" s="1626"/>
      <c r="I164" s="1626"/>
      <c r="J164" s="1626"/>
      <c r="K164" s="1626"/>
      <c r="L164" s="1626"/>
      <c r="M164" s="1626"/>
      <c r="N164" s="1626"/>
      <c r="O164" s="1626"/>
      <c r="P164" s="1627"/>
      <c r="Q164" s="1627"/>
      <c r="R164" s="1626"/>
      <c r="S164" s="1626"/>
      <c r="T164" s="1626"/>
      <c r="U164" s="1626"/>
      <c r="V164" s="1626"/>
      <c r="W164" s="1626"/>
      <c r="X164" s="1626"/>
      <c r="Y164" s="1626"/>
      <c r="Z164" s="1626"/>
    </row>
    <row r="165" spans="1:26" ht="15.75" customHeight="1" x14ac:dyDescent="0.25">
      <c r="A165" s="1626"/>
      <c r="B165" s="1626"/>
      <c r="C165" s="1626"/>
      <c r="D165" s="1626"/>
      <c r="E165" s="1626"/>
      <c r="F165" s="1626"/>
      <c r="G165" s="1626"/>
      <c r="H165" s="1626"/>
      <c r="I165" s="1626"/>
      <c r="J165" s="1626"/>
      <c r="K165" s="1626"/>
      <c r="L165" s="1626"/>
      <c r="M165" s="1626"/>
      <c r="N165" s="1626"/>
      <c r="O165" s="1626"/>
      <c r="P165" s="1627"/>
      <c r="Q165" s="1627"/>
      <c r="R165" s="1626"/>
      <c r="S165" s="1626"/>
      <c r="T165" s="1626"/>
      <c r="U165" s="1626"/>
      <c r="V165" s="1626"/>
      <c r="W165" s="1626"/>
      <c r="X165" s="1626"/>
      <c r="Y165" s="1626"/>
      <c r="Z165" s="1626"/>
    </row>
    <row r="166" spans="1:26" ht="15.75" customHeight="1" x14ac:dyDescent="0.25">
      <c r="A166" s="1626"/>
      <c r="B166" s="1626"/>
      <c r="C166" s="1626"/>
      <c r="D166" s="1626"/>
      <c r="E166" s="1626"/>
      <c r="F166" s="1626"/>
      <c r="G166" s="1626"/>
      <c r="H166" s="1626"/>
      <c r="I166" s="1626"/>
      <c r="J166" s="1626"/>
      <c r="K166" s="1626"/>
      <c r="L166" s="1626"/>
      <c r="M166" s="1626"/>
      <c r="N166" s="1626"/>
      <c r="O166" s="1626"/>
      <c r="P166" s="1627"/>
      <c r="Q166" s="1627"/>
      <c r="R166" s="1626"/>
      <c r="S166" s="1626"/>
      <c r="T166" s="1626"/>
      <c r="U166" s="1626"/>
      <c r="V166" s="1626"/>
      <c r="W166" s="1626"/>
      <c r="X166" s="1626"/>
      <c r="Y166" s="1626"/>
      <c r="Z166" s="1626"/>
    </row>
    <row r="167" spans="1:26" ht="15.75" customHeight="1" x14ac:dyDescent="0.25">
      <c r="A167" s="1626"/>
      <c r="B167" s="1626"/>
      <c r="C167" s="1626"/>
      <c r="D167" s="1626"/>
      <c r="E167" s="1626"/>
      <c r="F167" s="1626"/>
      <c r="G167" s="1626"/>
      <c r="H167" s="1626"/>
      <c r="I167" s="1626"/>
      <c r="J167" s="1626"/>
      <c r="K167" s="1626"/>
      <c r="L167" s="1626"/>
      <c r="M167" s="1626"/>
      <c r="N167" s="1626"/>
      <c r="O167" s="1626"/>
      <c r="P167" s="1627"/>
      <c r="Q167" s="1627"/>
      <c r="R167" s="1626"/>
      <c r="S167" s="1626"/>
      <c r="T167" s="1626"/>
      <c r="U167" s="1626"/>
      <c r="V167" s="1626"/>
      <c r="W167" s="1626"/>
      <c r="X167" s="1626"/>
      <c r="Y167" s="1626"/>
      <c r="Z167" s="1626"/>
    </row>
    <row r="168" spans="1:26" ht="15.75" customHeight="1" x14ac:dyDescent="0.25">
      <c r="A168" s="1626"/>
      <c r="B168" s="1626"/>
      <c r="C168" s="1626"/>
      <c r="D168" s="1626"/>
      <c r="E168" s="1626"/>
      <c r="F168" s="1626"/>
      <c r="G168" s="1626"/>
      <c r="H168" s="1626"/>
      <c r="I168" s="1626"/>
      <c r="J168" s="1626"/>
      <c r="K168" s="1626"/>
      <c r="L168" s="1626"/>
      <c r="M168" s="1626"/>
      <c r="N168" s="1626"/>
      <c r="O168" s="1626"/>
      <c r="P168" s="1627"/>
      <c r="Q168" s="1627"/>
      <c r="R168" s="1626"/>
      <c r="S168" s="1626"/>
      <c r="T168" s="1626"/>
      <c r="U168" s="1626"/>
      <c r="V168" s="1626"/>
      <c r="W168" s="1626"/>
      <c r="X168" s="1626"/>
      <c r="Y168" s="1626"/>
      <c r="Z168" s="1626"/>
    </row>
    <row r="169" spans="1:26" ht="15.75" customHeight="1" x14ac:dyDescent="0.25">
      <c r="A169" s="1626"/>
      <c r="B169" s="1626"/>
      <c r="C169" s="1626"/>
      <c r="D169" s="1626"/>
      <c r="E169" s="1626"/>
      <c r="F169" s="1626"/>
      <c r="G169" s="1626"/>
      <c r="H169" s="1626"/>
      <c r="I169" s="1626"/>
      <c r="J169" s="1626"/>
      <c r="K169" s="1626"/>
      <c r="L169" s="1626"/>
      <c r="M169" s="1626"/>
      <c r="N169" s="1626"/>
      <c r="O169" s="1626"/>
      <c r="P169" s="1627"/>
      <c r="Q169" s="1627"/>
      <c r="R169" s="1626"/>
      <c r="S169" s="1626"/>
      <c r="T169" s="1626"/>
      <c r="U169" s="1626"/>
      <c r="V169" s="1626"/>
      <c r="W169" s="1626"/>
      <c r="X169" s="1626"/>
      <c r="Y169" s="1626"/>
      <c r="Z169" s="1626"/>
    </row>
    <row r="170" spans="1:26" ht="15.75" customHeight="1" x14ac:dyDescent="0.25">
      <c r="A170" s="1626"/>
      <c r="B170" s="1626"/>
      <c r="C170" s="1626"/>
      <c r="D170" s="1626"/>
      <c r="E170" s="1626"/>
      <c r="F170" s="1626"/>
      <c r="G170" s="1626"/>
      <c r="H170" s="1626"/>
      <c r="I170" s="1626"/>
      <c r="J170" s="1626"/>
      <c r="K170" s="1626"/>
      <c r="L170" s="1626"/>
      <c r="M170" s="1626"/>
      <c r="N170" s="1626"/>
      <c r="O170" s="1626"/>
      <c r="P170" s="1627"/>
      <c r="Q170" s="1627"/>
      <c r="R170" s="1626"/>
      <c r="S170" s="1626"/>
      <c r="T170" s="1626"/>
      <c r="U170" s="1626"/>
      <c r="V170" s="1626"/>
      <c r="W170" s="1626"/>
      <c r="X170" s="1626"/>
      <c r="Y170" s="1626"/>
      <c r="Z170" s="1626"/>
    </row>
    <row r="171" spans="1:26" ht="15.75" customHeight="1" x14ac:dyDescent="0.25">
      <c r="A171" s="1626"/>
      <c r="B171" s="1626"/>
      <c r="C171" s="1626"/>
      <c r="D171" s="1626"/>
      <c r="E171" s="1626"/>
      <c r="F171" s="1626"/>
      <c r="G171" s="1626"/>
      <c r="H171" s="1626"/>
      <c r="I171" s="1626"/>
      <c r="J171" s="1626"/>
      <c r="K171" s="1626"/>
      <c r="L171" s="1626"/>
      <c r="M171" s="1626"/>
      <c r="N171" s="1626"/>
      <c r="O171" s="1626"/>
      <c r="P171" s="1627"/>
      <c r="Q171" s="1627"/>
      <c r="R171" s="1626"/>
      <c r="S171" s="1626"/>
      <c r="T171" s="1626"/>
      <c r="U171" s="1626"/>
      <c r="V171" s="1626"/>
      <c r="W171" s="1626"/>
      <c r="X171" s="1626"/>
      <c r="Y171" s="1626"/>
      <c r="Z171" s="1626"/>
    </row>
    <row r="172" spans="1:26" ht="15.75" customHeight="1" x14ac:dyDescent="0.25">
      <c r="A172" s="1626"/>
      <c r="B172" s="1626"/>
      <c r="C172" s="1626"/>
      <c r="D172" s="1626"/>
      <c r="E172" s="1626"/>
      <c r="F172" s="1626"/>
      <c r="G172" s="1626"/>
      <c r="H172" s="1626"/>
      <c r="I172" s="1626"/>
      <c r="J172" s="1626"/>
      <c r="K172" s="1626"/>
      <c r="L172" s="1626"/>
      <c r="M172" s="1626"/>
      <c r="N172" s="1626"/>
      <c r="O172" s="1626"/>
      <c r="P172" s="1627"/>
      <c r="Q172" s="1627"/>
      <c r="R172" s="1626"/>
      <c r="S172" s="1626"/>
      <c r="T172" s="1626"/>
      <c r="U172" s="1626"/>
      <c r="V172" s="1626"/>
      <c r="W172" s="1626"/>
      <c r="X172" s="1626"/>
      <c r="Y172" s="1626"/>
      <c r="Z172" s="1626"/>
    </row>
    <row r="173" spans="1:26" ht="15.75" customHeight="1" x14ac:dyDescent="0.25">
      <c r="A173" s="1626"/>
      <c r="B173" s="1626"/>
      <c r="C173" s="1626"/>
      <c r="D173" s="1626"/>
      <c r="E173" s="1626"/>
      <c r="F173" s="1626"/>
      <c r="G173" s="1626"/>
      <c r="H173" s="1626"/>
      <c r="I173" s="1626"/>
      <c r="J173" s="1626"/>
      <c r="K173" s="1626"/>
      <c r="L173" s="1626"/>
      <c r="M173" s="1626"/>
      <c r="N173" s="1626"/>
      <c r="O173" s="1626"/>
      <c r="P173" s="1627"/>
      <c r="Q173" s="1627"/>
      <c r="R173" s="1626"/>
      <c r="S173" s="1626"/>
      <c r="T173" s="1626"/>
      <c r="U173" s="1626"/>
      <c r="V173" s="1626"/>
      <c r="W173" s="1626"/>
      <c r="X173" s="1626"/>
      <c r="Y173" s="1626"/>
      <c r="Z173" s="1626"/>
    </row>
    <row r="174" spans="1:26" ht="15.75" customHeight="1" x14ac:dyDescent="0.25">
      <c r="A174" s="1626"/>
      <c r="B174" s="1626"/>
      <c r="C174" s="1626"/>
      <c r="D174" s="1626"/>
      <c r="E174" s="1626"/>
      <c r="F174" s="1626"/>
      <c r="G174" s="1626"/>
      <c r="H174" s="1626"/>
      <c r="I174" s="1626"/>
      <c r="J174" s="1626"/>
      <c r="K174" s="1626"/>
      <c r="L174" s="1626"/>
      <c r="M174" s="1626"/>
      <c r="N174" s="1626"/>
      <c r="O174" s="1626"/>
      <c r="P174" s="1627"/>
      <c r="Q174" s="1627"/>
      <c r="R174" s="1626"/>
      <c r="S174" s="1626"/>
      <c r="T174" s="1626"/>
      <c r="U174" s="1626"/>
      <c r="V174" s="1626"/>
      <c r="W174" s="1626"/>
      <c r="X174" s="1626"/>
      <c r="Y174" s="1626"/>
      <c r="Z174" s="1626"/>
    </row>
    <row r="175" spans="1:26" ht="15.75" customHeight="1" x14ac:dyDescent="0.25">
      <c r="A175" s="1626"/>
      <c r="B175" s="1626"/>
      <c r="C175" s="1626"/>
      <c r="D175" s="1626"/>
      <c r="E175" s="1626"/>
      <c r="F175" s="1626"/>
      <c r="G175" s="1626"/>
      <c r="H175" s="1626"/>
      <c r="I175" s="1626"/>
      <c r="J175" s="1626"/>
      <c r="K175" s="1626"/>
      <c r="L175" s="1626"/>
      <c r="M175" s="1626"/>
      <c r="N175" s="1626"/>
      <c r="O175" s="1626"/>
      <c r="P175" s="1627"/>
      <c r="Q175" s="1627"/>
      <c r="R175" s="1626"/>
      <c r="S175" s="1626"/>
      <c r="T175" s="1626"/>
      <c r="U175" s="1626"/>
      <c r="V175" s="1626"/>
      <c r="W175" s="1626"/>
      <c r="X175" s="1626"/>
      <c r="Y175" s="1626"/>
      <c r="Z175" s="1626"/>
    </row>
    <row r="176" spans="1:26" ht="15.75" customHeight="1" x14ac:dyDescent="0.25">
      <c r="A176" s="1626"/>
      <c r="B176" s="1626"/>
      <c r="C176" s="1626"/>
      <c r="D176" s="1626"/>
      <c r="E176" s="1626"/>
      <c r="F176" s="1626"/>
      <c r="G176" s="1626"/>
      <c r="H176" s="1626"/>
      <c r="I176" s="1626"/>
      <c r="J176" s="1626"/>
      <c r="K176" s="1626"/>
      <c r="L176" s="1626"/>
      <c r="M176" s="1626"/>
      <c r="N176" s="1626"/>
      <c r="O176" s="1626"/>
      <c r="P176" s="1627"/>
      <c r="Q176" s="1627"/>
      <c r="R176" s="1626"/>
      <c r="S176" s="1626"/>
      <c r="T176" s="1626"/>
      <c r="U176" s="1626"/>
      <c r="V176" s="1626"/>
      <c r="W176" s="1626"/>
      <c r="X176" s="1626"/>
      <c r="Y176" s="1626"/>
      <c r="Z176" s="1626"/>
    </row>
    <row r="177" spans="1:26" ht="15.75" customHeight="1" x14ac:dyDescent="0.25">
      <c r="A177" s="1626"/>
      <c r="B177" s="1626"/>
      <c r="C177" s="1626"/>
      <c r="D177" s="1626"/>
      <c r="E177" s="1626"/>
      <c r="F177" s="1626"/>
      <c r="G177" s="1626"/>
      <c r="H177" s="1626"/>
      <c r="I177" s="1626"/>
      <c r="J177" s="1626"/>
      <c r="K177" s="1626"/>
      <c r="L177" s="1626"/>
      <c r="M177" s="1626"/>
      <c r="N177" s="1626"/>
      <c r="O177" s="1626"/>
      <c r="P177" s="1627"/>
      <c r="Q177" s="1627"/>
      <c r="R177" s="1626"/>
      <c r="S177" s="1626"/>
      <c r="T177" s="1626"/>
      <c r="U177" s="1626"/>
      <c r="V177" s="1626"/>
      <c r="W177" s="1626"/>
      <c r="X177" s="1626"/>
      <c r="Y177" s="1626"/>
      <c r="Z177" s="1626"/>
    </row>
    <row r="178" spans="1:26" ht="15.75" customHeight="1" x14ac:dyDescent="0.25">
      <c r="A178" s="1626"/>
      <c r="B178" s="1626"/>
      <c r="C178" s="1626"/>
      <c r="D178" s="1626"/>
      <c r="E178" s="1626"/>
      <c r="F178" s="1626"/>
      <c r="G178" s="1626"/>
      <c r="H178" s="1626"/>
      <c r="I178" s="1626"/>
      <c r="J178" s="1626"/>
      <c r="K178" s="1626"/>
      <c r="L178" s="1626"/>
      <c r="M178" s="1626"/>
      <c r="N178" s="1626"/>
      <c r="O178" s="1626"/>
      <c r="P178" s="1627"/>
      <c r="Q178" s="1627"/>
      <c r="R178" s="1626"/>
      <c r="S178" s="1626"/>
      <c r="T178" s="1626"/>
      <c r="U178" s="1626"/>
      <c r="V178" s="1626"/>
      <c r="W178" s="1626"/>
      <c r="X178" s="1626"/>
      <c r="Y178" s="1626"/>
      <c r="Z178" s="1626"/>
    </row>
    <row r="179" spans="1:26" ht="15.75" customHeight="1" x14ac:dyDescent="0.25">
      <c r="A179" s="1626"/>
      <c r="B179" s="1626"/>
      <c r="C179" s="1626"/>
      <c r="D179" s="1626"/>
      <c r="E179" s="1626"/>
      <c r="F179" s="1626"/>
      <c r="G179" s="1626"/>
      <c r="H179" s="1626"/>
      <c r="I179" s="1626"/>
      <c r="J179" s="1626"/>
      <c r="K179" s="1626"/>
      <c r="L179" s="1626"/>
      <c r="M179" s="1626"/>
      <c r="N179" s="1626"/>
      <c r="O179" s="1626"/>
      <c r="P179" s="1627"/>
      <c r="Q179" s="1627"/>
      <c r="R179" s="1626"/>
      <c r="S179" s="1626"/>
      <c r="T179" s="1626"/>
      <c r="U179" s="1626"/>
      <c r="V179" s="1626"/>
      <c r="W179" s="1626"/>
      <c r="X179" s="1626"/>
      <c r="Y179" s="1626"/>
      <c r="Z179" s="1626"/>
    </row>
    <row r="180" spans="1:26" ht="15.75" customHeight="1" x14ac:dyDescent="0.25">
      <c r="A180" s="1626"/>
      <c r="B180" s="1626"/>
      <c r="C180" s="1626"/>
      <c r="D180" s="1626"/>
      <c r="E180" s="1626"/>
      <c r="F180" s="1626"/>
      <c r="G180" s="1626"/>
      <c r="H180" s="1626"/>
      <c r="I180" s="1626"/>
      <c r="J180" s="1626"/>
      <c r="K180" s="1626"/>
      <c r="L180" s="1626"/>
      <c r="M180" s="1626"/>
      <c r="N180" s="1626"/>
      <c r="O180" s="1626"/>
      <c r="P180" s="1627"/>
      <c r="Q180" s="1627"/>
      <c r="R180" s="1626"/>
      <c r="S180" s="1626"/>
      <c r="T180" s="1626"/>
      <c r="U180" s="1626"/>
      <c r="V180" s="1626"/>
      <c r="W180" s="1626"/>
      <c r="X180" s="1626"/>
      <c r="Y180" s="1626"/>
      <c r="Z180" s="1626"/>
    </row>
    <row r="181" spans="1:26" ht="15.75" customHeight="1" x14ac:dyDescent="0.25">
      <c r="A181" s="1626"/>
      <c r="B181" s="1626"/>
      <c r="C181" s="1626"/>
      <c r="D181" s="1626"/>
      <c r="E181" s="1626"/>
      <c r="F181" s="1626"/>
      <c r="G181" s="1626"/>
      <c r="H181" s="1626"/>
      <c r="I181" s="1626"/>
      <c r="J181" s="1626"/>
      <c r="K181" s="1626"/>
      <c r="L181" s="1626"/>
      <c r="M181" s="1626"/>
      <c r="N181" s="1626"/>
      <c r="O181" s="1626"/>
      <c r="P181" s="1627"/>
      <c r="Q181" s="1627"/>
      <c r="R181" s="1626"/>
      <c r="S181" s="1626"/>
      <c r="T181" s="1626"/>
      <c r="U181" s="1626"/>
      <c r="V181" s="1626"/>
      <c r="W181" s="1626"/>
      <c r="X181" s="1626"/>
      <c r="Y181" s="1626"/>
      <c r="Z181" s="1626"/>
    </row>
    <row r="182" spans="1:26" ht="15.75" customHeight="1" x14ac:dyDescent="0.25">
      <c r="A182" s="1626"/>
      <c r="B182" s="1626"/>
      <c r="C182" s="1626"/>
      <c r="D182" s="1626"/>
      <c r="E182" s="1626"/>
      <c r="F182" s="1626"/>
      <c r="G182" s="1626"/>
      <c r="H182" s="1626"/>
      <c r="I182" s="1626"/>
      <c r="J182" s="1626"/>
      <c r="K182" s="1626"/>
      <c r="L182" s="1626"/>
      <c r="M182" s="1626"/>
      <c r="N182" s="1626"/>
      <c r="O182" s="1626"/>
      <c r="P182" s="1627"/>
      <c r="Q182" s="1627"/>
      <c r="R182" s="1626"/>
      <c r="S182" s="1626"/>
      <c r="T182" s="1626"/>
      <c r="U182" s="1626"/>
      <c r="V182" s="1626"/>
      <c r="W182" s="1626"/>
      <c r="X182" s="1626"/>
      <c r="Y182" s="1626"/>
      <c r="Z182" s="1626"/>
    </row>
    <row r="183" spans="1:26" ht="15.75" customHeight="1" x14ac:dyDescent="0.25">
      <c r="A183" s="1626"/>
      <c r="B183" s="1626"/>
      <c r="C183" s="1626"/>
      <c r="D183" s="1626"/>
      <c r="E183" s="1626"/>
      <c r="F183" s="1626"/>
      <c r="G183" s="1626"/>
      <c r="H183" s="1626"/>
      <c r="I183" s="1626"/>
      <c r="J183" s="1626"/>
      <c r="K183" s="1626"/>
      <c r="L183" s="1626"/>
      <c r="M183" s="1626"/>
      <c r="N183" s="1626"/>
      <c r="O183" s="1626"/>
      <c r="P183" s="1627"/>
      <c r="Q183" s="1627"/>
      <c r="R183" s="1626"/>
      <c r="S183" s="1626"/>
      <c r="T183" s="1626"/>
      <c r="U183" s="1626"/>
      <c r="V183" s="1626"/>
      <c r="W183" s="1626"/>
      <c r="X183" s="1626"/>
      <c r="Y183" s="1626"/>
      <c r="Z183" s="1626"/>
    </row>
    <row r="184" spans="1:26" ht="15.75" customHeight="1" x14ac:dyDescent="0.25">
      <c r="A184" s="1626"/>
      <c r="B184" s="1626"/>
      <c r="C184" s="1626"/>
      <c r="D184" s="1626"/>
      <c r="E184" s="1626"/>
      <c r="F184" s="1626"/>
      <c r="G184" s="1626"/>
      <c r="H184" s="1626"/>
      <c r="I184" s="1626"/>
      <c r="J184" s="1626"/>
      <c r="K184" s="1626"/>
      <c r="L184" s="1626"/>
      <c r="M184" s="1626"/>
      <c r="N184" s="1626"/>
      <c r="O184" s="1626"/>
      <c r="P184" s="1627"/>
      <c r="Q184" s="1627"/>
      <c r="R184" s="1626"/>
      <c r="S184" s="1626"/>
      <c r="T184" s="1626"/>
      <c r="U184" s="1626"/>
      <c r="V184" s="1626"/>
      <c r="W184" s="1626"/>
      <c r="X184" s="1626"/>
      <c r="Y184" s="1626"/>
      <c r="Z184" s="1626"/>
    </row>
    <row r="185" spans="1:26" ht="15.75" customHeight="1" x14ac:dyDescent="0.25">
      <c r="A185" s="1626"/>
      <c r="B185" s="1626"/>
      <c r="C185" s="1626"/>
      <c r="D185" s="1626"/>
      <c r="E185" s="1626"/>
      <c r="F185" s="1626"/>
      <c r="G185" s="1626"/>
      <c r="H185" s="1626"/>
      <c r="I185" s="1626"/>
      <c r="J185" s="1626"/>
      <c r="K185" s="1626"/>
      <c r="L185" s="1626"/>
      <c r="M185" s="1626"/>
      <c r="N185" s="1626"/>
      <c r="O185" s="1626"/>
      <c r="P185" s="1627"/>
      <c r="Q185" s="1627"/>
      <c r="R185" s="1626"/>
      <c r="S185" s="1626"/>
      <c r="T185" s="1626"/>
      <c r="U185" s="1626"/>
      <c r="V185" s="1626"/>
      <c r="W185" s="1626"/>
      <c r="X185" s="1626"/>
      <c r="Y185" s="1626"/>
      <c r="Z185" s="1626"/>
    </row>
    <row r="186" spans="1:26" ht="15.75" customHeight="1" x14ac:dyDescent="0.25">
      <c r="A186" s="1626"/>
      <c r="B186" s="1626"/>
      <c r="C186" s="1626"/>
      <c r="D186" s="1626"/>
      <c r="E186" s="1626"/>
      <c r="F186" s="1626"/>
      <c r="G186" s="1626"/>
      <c r="H186" s="1626"/>
      <c r="I186" s="1626"/>
      <c r="J186" s="1626"/>
      <c r="K186" s="1626"/>
      <c r="L186" s="1626"/>
      <c r="M186" s="1626"/>
      <c r="N186" s="1626"/>
      <c r="O186" s="1626"/>
      <c r="P186" s="1627"/>
      <c r="Q186" s="1627"/>
      <c r="R186" s="1626"/>
      <c r="S186" s="1626"/>
      <c r="T186" s="1626"/>
      <c r="U186" s="1626"/>
      <c r="V186" s="1626"/>
      <c r="W186" s="1626"/>
      <c r="X186" s="1626"/>
      <c r="Y186" s="1626"/>
      <c r="Z186" s="1626"/>
    </row>
    <row r="187" spans="1:26" ht="15.75" customHeight="1" x14ac:dyDescent="0.25">
      <c r="A187" s="1626"/>
      <c r="B187" s="1626"/>
      <c r="C187" s="1626"/>
      <c r="D187" s="1626"/>
      <c r="E187" s="1626"/>
      <c r="F187" s="1626"/>
      <c r="G187" s="1626"/>
      <c r="H187" s="1626"/>
      <c r="I187" s="1626"/>
      <c r="J187" s="1626"/>
      <c r="K187" s="1626"/>
      <c r="L187" s="1626"/>
      <c r="M187" s="1626"/>
      <c r="N187" s="1626"/>
      <c r="O187" s="1626"/>
      <c r="P187" s="1627"/>
      <c r="Q187" s="1627"/>
      <c r="R187" s="1626"/>
      <c r="S187" s="1626"/>
      <c r="T187" s="1626"/>
      <c r="U187" s="1626"/>
      <c r="V187" s="1626"/>
      <c r="W187" s="1626"/>
      <c r="X187" s="1626"/>
      <c r="Y187" s="1626"/>
      <c r="Z187" s="1626"/>
    </row>
    <row r="188" spans="1:26" ht="15.75" customHeight="1" x14ac:dyDescent="0.25">
      <c r="A188" s="1626"/>
      <c r="B188" s="1626"/>
      <c r="C188" s="1626"/>
      <c r="D188" s="1626"/>
      <c r="E188" s="1626"/>
      <c r="F188" s="1626"/>
      <c r="G188" s="1626"/>
      <c r="H188" s="1626"/>
      <c r="I188" s="1626"/>
      <c r="J188" s="1626"/>
      <c r="K188" s="1626"/>
      <c r="L188" s="1626"/>
      <c r="M188" s="1626"/>
      <c r="N188" s="1626"/>
      <c r="O188" s="1626"/>
      <c r="P188" s="1627"/>
      <c r="Q188" s="1627"/>
      <c r="R188" s="1626"/>
      <c r="S188" s="1626"/>
      <c r="T188" s="1626"/>
      <c r="U188" s="1626"/>
      <c r="V188" s="1626"/>
      <c r="W188" s="1626"/>
      <c r="X188" s="1626"/>
      <c r="Y188" s="1626"/>
      <c r="Z188" s="1626"/>
    </row>
    <row r="189" spans="1:26" ht="15.75" customHeight="1" x14ac:dyDescent="0.25">
      <c r="A189" s="1626"/>
      <c r="B189" s="1626"/>
      <c r="C189" s="1626"/>
      <c r="D189" s="1626"/>
      <c r="E189" s="1626"/>
      <c r="F189" s="1626"/>
      <c r="G189" s="1626"/>
      <c r="H189" s="1626"/>
      <c r="I189" s="1626"/>
      <c r="J189" s="1626"/>
      <c r="K189" s="1626"/>
      <c r="L189" s="1626"/>
      <c r="M189" s="1626"/>
      <c r="N189" s="1626"/>
      <c r="O189" s="1626"/>
      <c r="P189" s="1627"/>
      <c r="Q189" s="1627"/>
      <c r="R189" s="1626"/>
      <c r="S189" s="1626"/>
      <c r="T189" s="1626"/>
      <c r="U189" s="1626"/>
      <c r="V189" s="1626"/>
      <c r="W189" s="1626"/>
      <c r="X189" s="1626"/>
      <c r="Y189" s="1626"/>
      <c r="Z189" s="1626"/>
    </row>
    <row r="190" spans="1:26" ht="15.75" customHeight="1" x14ac:dyDescent="0.25">
      <c r="A190" s="1626"/>
      <c r="B190" s="1626"/>
      <c r="C190" s="1626"/>
      <c r="D190" s="1626"/>
      <c r="E190" s="1626"/>
      <c r="F190" s="1626"/>
      <c r="G190" s="1626"/>
      <c r="H190" s="1626"/>
      <c r="I190" s="1626"/>
      <c r="J190" s="1626"/>
      <c r="K190" s="1626"/>
      <c r="L190" s="1626"/>
      <c r="M190" s="1626"/>
      <c r="N190" s="1626"/>
      <c r="O190" s="1626"/>
      <c r="P190" s="1627"/>
      <c r="Q190" s="1627"/>
      <c r="R190" s="1626"/>
      <c r="S190" s="1626"/>
      <c r="T190" s="1626"/>
      <c r="U190" s="1626"/>
      <c r="V190" s="1626"/>
      <c r="W190" s="1626"/>
      <c r="X190" s="1626"/>
      <c r="Y190" s="1626"/>
      <c r="Z190" s="1626"/>
    </row>
    <row r="191" spans="1:26" ht="15.75" customHeight="1" x14ac:dyDescent="0.25">
      <c r="A191" s="1626"/>
      <c r="B191" s="1626"/>
      <c r="C191" s="1626"/>
      <c r="D191" s="1626"/>
      <c r="E191" s="1626"/>
      <c r="F191" s="1626"/>
      <c r="G191" s="1626"/>
      <c r="H191" s="1626"/>
      <c r="I191" s="1626"/>
      <c r="J191" s="1626"/>
      <c r="K191" s="1626"/>
      <c r="L191" s="1626"/>
      <c r="M191" s="1626"/>
      <c r="N191" s="1626"/>
      <c r="O191" s="1626"/>
      <c r="P191" s="1627"/>
      <c r="Q191" s="1627"/>
      <c r="R191" s="1626"/>
      <c r="S191" s="1626"/>
      <c r="T191" s="1626"/>
      <c r="U191" s="1626"/>
      <c r="V191" s="1626"/>
      <c r="W191" s="1626"/>
      <c r="X191" s="1626"/>
      <c r="Y191" s="1626"/>
      <c r="Z191" s="1626"/>
    </row>
    <row r="192" spans="1:26" ht="15.75" customHeight="1" x14ac:dyDescent="0.25">
      <c r="A192" s="1626"/>
      <c r="B192" s="1626"/>
      <c r="C192" s="1626"/>
      <c r="D192" s="1626"/>
      <c r="E192" s="1626"/>
      <c r="F192" s="1626"/>
      <c r="G192" s="1626"/>
      <c r="H192" s="1626"/>
      <c r="I192" s="1626"/>
      <c r="J192" s="1626"/>
      <c r="K192" s="1626"/>
      <c r="L192" s="1626"/>
      <c r="M192" s="1626"/>
      <c r="N192" s="1626"/>
      <c r="O192" s="1626"/>
      <c r="P192" s="1627"/>
      <c r="Q192" s="1627"/>
      <c r="R192" s="1626"/>
      <c r="S192" s="1626"/>
      <c r="T192" s="1626"/>
      <c r="U192" s="1626"/>
      <c r="V192" s="1626"/>
      <c r="W192" s="1626"/>
      <c r="X192" s="1626"/>
      <c r="Y192" s="1626"/>
      <c r="Z192" s="1626"/>
    </row>
    <row r="193" spans="1:26" ht="15.75" customHeight="1" x14ac:dyDescent="0.25">
      <c r="A193" s="1626"/>
      <c r="B193" s="1626"/>
      <c r="C193" s="1626"/>
      <c r="D193" s="1626"/>
      <c r="E193" s="1626"/>
      <c r="F193" s="1626"/>
      <c r="G193" s="1626"/>
      <c r="H193" s="1626"/>
      <c r="I193" s="1626"/>
      <c r="J193" s="1626"/>
      <c r="K193" s="1626"/>
      <c r="L193" s="1626"/>
      <c r="M193" s="1626"/>
      <c r="N193" s="1626"/>
      <c r="O193" s="1626"/>
      <c r="P193" s="1627"/>
      <c r="Q193" s="1627"/>
      <c r="R193" s="1626"/>
      <c r="S193" s="1626"/>
      <c r="T193" s="1626"/>
      <c r="U193" s="1626"/>
      <c r="V193" s="1626"/>
      <c r="W193" s="1626"/>
      <c r="X193" s="1626"/>
      <c r="Y193" s="1626"/>
      <c r="Z193" s="1626"/>
    </row>
    <row r="194" spans="1:26" ht="15.75" customHeight="1" x14ac:dyDescent="0.25">
      <c r="A194" s="1626"/>
      <c r="B194" s="1626"/>
      <c r="C194" s="1626"/>
      <c r="D194" s="1626"/>
      <c r="E194" s="1626"/>
      <c r="F194" s="1626"/>
      <c r="G194" s="1626"/>
      <c r="H194" s="1626"/>
      <c r="I194" s="1626"/>
      <c r="J194" s="1626"/>
      <c r="K194" s="1626"/>
      <c r="L194" s="1626"/>
      <c r="M194" s="1626"/>
      <c r="N194" s="1626"/>
      <c r="O194" s="1626"/>
      <c r="P194" s="1627"/>
      <c r="Q194" s="1627"/>
      <c r="R194" s="1626"/>
      <c r="S194" s="1626"/>
      <c r="T194" s="1626"/>
      <c r="U194" s="1626"/>
      <c r="V194" s="1626"/>
      <c r="W194" s="1626"/>
      <c r="X194" s="1626"/>
      <c r="Y194" s="1626"/>
      <c r="Z194" s="1626"/>
    </row>
    <row r="195" spans="1:26" ht="15.75" customHeight="1" x14ac:dyDescent="0.25">
      <c r="A195" s="1626"/>
      <c r="B195" s="1626"/>
      <c r="C195" s="1626"/>
      <c r="D195" s="1626"/>
      <c r="E195" s="1626"/>
      <c r="F195" s="1626"/>
      <c r="G195" s="1626"/>
      <c r="H195" s="1626"/>
      <c r="I195" s="1626"/>
      <c r="J195" s="1626"/>
      <c r="K195" s="1626"/>
      <c r="L195" s="1626"/>
      <c r="M195" s="1626"/>
      <c r="N195" s="1626"/>
      <c r="O195" s="1626"/>
      <c r="P195" s="1627"/>
      <c r="Q195" s="1627"/>
      <c r="R195" s="1626"/>
      <c r="S195" s="1626"/>
      <c r="T195" s="1626"/>
      <c r="U195" s="1626"/>
      <c r="V195" s="1626"/>
      <c r="W195" s="1626"/>
      <c r="X195" s="1626"/>
      <c r="Y195" s="1626"/>
      <c r="Z195" s="1626"/>
    </row>
    <row r="196" spans="1:26" ht="15.75" customHeight="1" x14ac:dyDescent="0.25">
      <c r="A196" s="1626"/>
      <c r="B196" s="1626"/>
      <c r="C196" s="1626"/>
      <c r="D196" s="1626"/>
      <c r="E196" s="1626"/>
      <c r="F196" s="1626"/>
      <c r="G196" s="1626"/>
      <c r="H196" s="1626"/>
      <c r="I196" s="1626"/>
      <c r="J196" s="1626"/>
      <c r="K196" s="1626"/>
      <c r="L196" s="1626"/>
      <c r="M196" s="1626"/>
      <c r="N196" s="1626"/>
      <c r="O196" s="1626"/>
      <c r="P196" s="1627"/>
      <c r="Q196" s="1627"/>
      <c r="R196" s="1626"/>
      <c r="S196" s="1626"/>
      <c r="T196" s="1626"/>
      <c r="U196" s="1626"/>
      <c r="V196" s="1626"/>
      <c r="W196" s="1626"/>
      <c r="X196" s="1626"/>
      <c r="Y196" s="1626"/>
      <c r="Z196" s="1626"/>
    </row>
    <row r="197" spans="1:26" ht="15.75" customHeight="1" x14ac:dyDescent="0.25">
      <c r="A197" s="1626"/>
      <c r="B197" s="1626"/>
      <c r="C197" s="1626"/>
      <c r="D197" s="1626"/>
      <c r="E197" s="1626"/>
      <c r="F197" s="1626"/>
      <c r="G197" s="1626"/>
      <c r="H197" s="1626"/>
      <c r="I197" s="1626"/>
      <c r="J197" s="1626"/>
      <c r="K197" s="1626"/>
      <c r="L197" s="1626"/>
      <c r="M197" s="1626"/>
      <c r="N197" s="1626"/>
      <c r="O197" s="1626"/>
      <c r="P197" s="1627"/>
      <c r="Q197" s="1627"/>
      <c r="R197" s="1626"/>
      <c r="S197" s="1626"/>
      <c r="T197" s="1626"/>
      <c r="U197" s="1626"/>
      <c r="V197" s="1626"/>
      <c r="W197" s="1626"/>
      <c r="X197" s="1626"/>
      <c r="Y197" s="1626"/>
      <c r="Z197" s="1626"/>
    </row>
    <row r="198" spans="1:26" ht="15.75" customHeight="1" x14ac:dyDescent="0.25">
      <c r="A198" s="1626"/>
      <c r="B198" s="1626"/>
      <c r="C198" s="1626"/>
      <c r="D198" s="1626"/>
      <c r="E198" s="1626"/>
      <c r="F198" s="1626"/>
      <c r="G198" s="1626"/>
      <c r="H198" s="1626"/>
      <c r="I198" s="1626"/>
      <c r="J198" s="1626"/>
      <c r="K198" s="1626"/>
      <c r="L198" s="1626"/>
      <c r="M198" s="1626"/>
      <c r="N198" s="1626"/>
      <c r="O198" s="1626"/>
      <c r="P198" s="1627"/>
      <c r="Q198" s="1627"/>
      <c r="R198" s="1626"/>
      <c r="S198" s="1626"/>
      <c r="T198" s="1626"/>
      <c r="U198" s="1626"/>
      <c r="V198" s="1626"/>
      <c r="W198" s="1626"/>
      <c r="X198" s="1626"/>
      <c r="Y198" s="1626"/>
      <c r="Z198" s="1626"/>
    </row>
    <row r="199" spans="1:26" ht="15.75" customHeight="1" x14ac:dyDescent="0.25">
      <c r="A199" s="1626"/>
      <c r="B199" s="1626"/>
      <c r="C199" s="1626"/>
      <c r="D199" s="1626"/>
      <c r="E199" s="1626"/>
      <c r="F199" s="1626"/>
      <c r="G199" s="1626"/>
      <c r="H199" s="1626"/>
      <c r="I199" s="1626"/>
      <c r="J199" s="1626"/>
      <c r="K199" s="1626"/>
      <c r="L199" s="1626"/>
      <c r="M199" s="1626"/>
      <c r="N199" s="1626"/>
      <c r="O199" s="1626"/>
      <c r="P199" s="1627"/>
      <c r="Q199" s="1627"/>
      <c r="R199" s="1626"/>
      <c r="S199" s="1626"/>
      <c r="T199" s="1626"/>
      <c r="U199" s="1626"/>
      <c r="V199" s="1626"/>
      <c r="W199" s="1626"/>
      <c r="X199" s="1626"/>
      <c r="Y199" s="1626"/>
      <c r="Z199" s="1626"/>
    </row>
    <row r="200" spans="1:26" ht="15.75" customHeight="1" x14ac:dyDescent="0.25">
      <c r="A200" s="1626"/>
      <c r="B200" s="1626"/>
      <c r="C200" s="1626"/>
      <c r="D200" s="1626"/>
      <c r="E200" s="1626"/>
      <c r="F200" s="1626"/>
      <c r="G200" s="1626"/>
      <c r="H200" s="1626"/>
      <c r="I200" s="1626"/>
      <c r="J200" s="1626"/>
      <c r="K200" s="1626"/>
      <c r="L200" s="1626"/>
      <c r="M200" s="1626"/>
      <c r="N200" s="1626"/>
      <c r="O200" s="1626"/>
      <c r="P200" s="1627"/>
      <c r="Q200" s="1627"/>
      <c r="R200" s="1626"/>
      <c r="S200" s="1626"/>
      <c r="T200" s="1626"/>
      <c r="U200" s="1626"/>
      <c r="V200" s="1626"/>
      <c r="W200" s="1626"/>
      <c r="X200" s="1626"/>
      <c r="Y200" s="1626"/>
      <c r="Z200" s="1626"/>
    </row>
    <row r="201" spans="1:26" ht="15.75" customHeight="1" x14ac:dyDescent="0.25">
      <c r="A201" s="1626"/>
      <c r="B201" s="1626"/>
      <c r="C201" s="1626"/>
      <c r="D201" s="1626"/>
      <c r="E201" s="1626"/>
      <c r="F201" s="1626"/>
      <c r="G201" s="1626"/>
      <c r="H201" s="1626"/>
      <c r="I201" s="1626"/>
      <c r="J201" s="1626"/>
      <c r="K201" s="1626"/>
      <c r="L201" s="1626"/>
      <c r="M201" s="1626"/>
      <c r="N201" s="1626"/>
      <c r="O201" s="1626"/>
      <c r="P201" s="1627"/>
      <c r="Q201" s="1627"/>
      <c r="R201" s="1626"/>
      <c r="S201" s="1626"/>
      <c r="T201" s="1626"/>
      <c r="U201" s="1626"/>
      <c r="V201" s="1626"/>
      <c r="W201" s="1626"/>
      <c r="X201" s="1626"/>
      <c r="Y201" s="1626"/>
      <c r="Z201" s="1626"/>
    </row>
    <row r="202" spans="1:26" ht="15.75" customHeight="1" x14ac:dyDescent="0.25">
      <c r="A202" s="1626"/>
      <c r="B202" s="1626"/>
      <c r="C202" s="1626"/>
      <c r="D202" s="1626"/>
      <c r="E202" s="1626"/>
      <c r="F202" s="1626"/>
      <c r="G202" s="1626"/>
      <c r="H202" s="1626"/>
      <c r="I202" s="1626"/>
      <c r="J202" s="1626"/>
      <c r="K202" s="1626"/>
      <c r="L202" s="1626"/>
      <c r="M202" s="1626"/>
      <c r="N202" s="1626"/>
      <c r="O202" s="1626"/>
      <c r="P202" s="1627"/>
      <c r="Q202" s="1627"/>
      <c r="R202" s="1626"/>
      <c r="S202" s="1626"/>
      <c r="T202" s="1626"/>
      <c r="U202" s="1626"/>
      <c r="V202" s="1626"/>
      <c r="W202" s="1626"/>
      <c r="X202" s="1626"/>
      <c r="Y202" s="1626"/>
      <c r="Z202" s="1626"/>
    </row>
    <row r="203" spans="1:26" ht="15.75" customHeight="1" x14ac:dyDescent="0.25">
      <c r="A203" s="1626"/>
      <c r="B203" s="1626"/>
      <c r="C203" s="1626"/>
      <c r="D203" s="1626"/>
      <c r="E203" s="1626"/>
      <c r="F203" s="1626"/>
      <c r="G203" s="1626"/>
      <c r="H203" s="1626"/>
      <c r="I203" s="1626"/>
      <c r="J203" s="1626"/>
      <c r="K203" s="1626"/>
      <c r="L203" s="1626"/>
      <c r="M203" s="1626"/>
      <c r="N203" s="1626"/>
      <c r="O203" s="1626"/>
      <c r="P203" s="1627"/>
      <c r="Q203" s="1627"/>
      <c r="R203" s="1626"/>
      <c r="S203" s="1626"/>
      <c r="T203" s="1626"/>
      <c r="U203" s="1626"/>
      <c r="V203" s="1626"/>
      <c r="W203" s="1626"/>
      <c r="X203" s="1626"/>
      <c r="Y203" s="1626"/>
      <c r="Z203" s="1626"/>
    </row>
    <row r="204" spans="1:26" ht="15.75" customHeight="1" x14ac:dyDescent="0.25">
      <c r="A204" s="1626"/>
      <c r="B204" s="1626"/>
      <c r="C204" s="1626"/>
      <c r="D204" s="1626"/>
      <c r="E204" s="1626"/>
      <c r="F204" s="1626"/>
      <c r="G204" s="1626"/>
      <c r="H204" s="1626"/>
      <c r="I204" s="1626"/>
      <c r="J204" s="1626"/>
      <c r="K204" s="1626"/>
      <c r="L204" s="1626"/>
      <c r="M204" s="1626"/>
      <c r="N204" s="1626"/>
      <c r="O204" s="1626"/>
      <c r="P204" s="1627"/>
      <c r="Q204" s="1627"/>
      <c r="R204" s="1626"/>
      <c r="S204" s="1626"/>
      <c r="T204" s="1626"/>
      <c r="U204" s="1626"/>
      <c r="V204" s="1626"/>
      <c r="W204" s="1626"/>
      <c r="X204" s="1626"/>
      <c r="Y204" s="1626"/>
      <c r="Z204" s="1626"/>
    </row>
    <row r="205" spans="1:26" ht="15.75" customHeight="1" x14ac:dyDescent="0.25">
      <c r="A205" s="1626"/>
      <c r="B205" s="1626"/>
      <c r="C205" s="1626"/>
      <c r="D205" s="1626"/>
      <c r="E205" s="1626"/>
      <c r="F205" s="1626"/>
      <c r="G205" s="1626"/>
      <c r="H205" s="1626"/>
      <c r="I205" s="1626"/>
      <c r="J205" s="1626"/>
      <c r="K205" s="1626"/>
      <c r="L205" s="1626"/>
      <c r="M205" s="1626"/>
      <c r="N205" s="1626"/>
      <c r="O205" s="1626"/>
      <c r="P205" s="1627"/>
      <c r="Q205" s="1627"/>
      <c r="R205" s="1626"/>
      <c r="S205" s="1626"/>
      <c r="T205" s="1626"/>
      <c r="U205" s="1626"/>
      <c r="V205" s="1626"/>
      <c r="W205" s="1626"/>
      <c r="X205" s="1626"/>
      <c r="Y205" s="1626"/>
      <c r="Z205" s="1626"/>
    </row>
    <row r="206" spans="1:26" ht="15.75" customHeight="1" x14ac:dyDescent="0.25">
      <c r="A206" s="1626"/>
      <c r="B206" s="1626"/>
      <c r="C206" s="1626"/>
      <c r="D206" s="1626"/>
      <c r="E206" s="1626"/>
      <c r="F206" s="1626"/>
      <c r="G206" s="1626"/>
      <c r="H206" s="1626"/>
      <c r="I206" s="1626"/>
      <c r="J206" s="1626"/>
      <c r="K206" s="1626"/>
      <c r="L206" s="1626"/>
      <c r="M206" s="1626"/>
      <c r="N206" s="1626"/>
      <c r="O206" s="1626"/>
      <c r="P206" s="1627"/>
      <c r="Q206" s="1627"/>
      <c r="R206" s="1626"/>
      <c r="S206" s="1626"/>
      <c r="T206" s="1626"/>
      <c r="U206" s="1626"/>
      <c r="V206" s="1626"/>
      <c r="W206" s="1626"/>
      <c r="X206" s="1626"/>
      <c r="Y206" s="1626"/>
      <c r="Z206" s="1626"/>
    </row>
    <row r="207" spans="1:26" ht="15.75" customHeight="1" x14ac:dyDescent="0.25">
      <c r="A207" s="1626"/>
      <c r="B207" s="1626"/>
      <c r="C207" s="1626"/>
      <c r="D207" s="1626"/>
      <c r="E207" s="1626"/>
      <c r="F207" s="1626"/>
      <c r="G207" s="1626"/>
      <c r="H207" s="1626"/>
      <c r="I207" s="1626"/>
      <c r="J207" s="1626"/>
      <c r="K207" s="1626"/>
      <c r="L207" s="1626"/>
      <c r="M207" s="1626"/>
      <c r="N207" s="1626"/>
      <c r="O207" s="1626"/>
      <c r="P207" s="1627"/>
      <c r="Q207" s="1627"/>
      <c r="R207" s="1626"/>
      <c r="S207" s="1626"/>
      <c r="T207" s="1626"/>
      <c r="U207" s="1626"/>
      <c r="V207" s="1626"/>
      <c r="W207" s="1626"/>
      <c r="X207" s="1626"/>
      <c r="Y207" s="1626"/>
      <c r="Z207" s="1626"/>
    </row>
    <row r="208" spans="1:26" ht="15.75" customHeight="1" x14ac:dyDescent="0.25">
      <c r="A208" s="1626"/>
      <c r="B208" s="1626"/>
      <c r="C208" s="1626"/>
      <c r="D208" s="1626"/>
      <c r="E208" s="1626"/>
      <c r="F208" s="1626"/>
      <c r="G208" s="1626"/>
      <c r="H208" s="1626"/>
      <c r="I208" s="1626"/>
      <c r="J208" s="1626"/>
      <c r="K208" s="1626"/>
      <c r="L208" s="1626"/>
      <c r="M208" s="1626"/>
      <c r="N208" s="1626"/>
      <c r="O208" s="1626"/>
      <c r="P208" s="1627"/>
      <c r="Q208" s="1627"/>
      <c r="R208" s="1626"/>
      <c r="S208" s="1626"/>
      <c r="T208" s="1626"/>
      <c r="U208" s="1626"/>
      <c r="V208" s="1626"/>
      <c r="W208" s="1626"/>
      <c r="X208" s="1626"/>
      <c r="Y208" s="1626"/>
      <c r="Z208" s="1626"/>
    </row>
    <row r="209" spans="1:26" ht="15.75" customHeight="1" x14ac:dyDescent="0.25">
      <c r="A209" s="1626"/>
      <c r="B209" s="1626"/>
      <c r="C209" s="1626"/>
      <c r="D209" s="1626"/>
      <c r="E209" s="1626"/>
      <c r="F209" s="1626"/>
      <c r="G209" s="1626"/>
      <c r="H209" s="1626"/>
      <c r="I209" s="1626"/>
      <c r="J209" s="1626"/>
      <c r="K209" s="1626"/>
      <c r="L209" s="1626"/>
      <c r="M209" s="1626"/>
      <c r="N209" s="1626"/>
      <c r="O209" s="1626"/>
      <c r="P209" s="1627"/>
      <c r="Q209" s="1627"/>
      <c r="R209" s="1626"/>
      <c r="S209" s="1626"/>
      <c r="T209" s="1626"/>
      <c r="U209" s="1626"/>
      <c r="V209" s="1626"/>
      <c r="W209" s="1626"/>
      <c r="X209" s="1626"/>
      <c r="Y209" s="1626"/>
      <c r="Z209" s="1626"/>
    </row>
    <row r="210" spans="1:26" ht="15.75" customHeight="1" x14ac:dyDescent="0.25">
      <c r="A210" s="1626"/>
      <c r="B210" s="1626"/>
      <c r="C210" s="1626"/>
      <c r="D210" s="1626"/>
      <c r="E210" s="1626"/>
      <c r="F210" s="1626"/>
      <c r="G210" s="1626"/>
      <c r="H210" s="1626"/>
      <c r="I210" s="1626"/>
      <c r="J210" s="1626"/>
      <c r="K210" s="1626"/>
      <c r="L210" s="1626"/>
      <c r="M210" s="1626"/>
      <c r="N210" s="1626"/>
      <c r="O210" s="1626"/>
      <c r="P210" s="1627"/>
      <c r="Q210" s="1627"/>
      <c r="R210" s="1626"/>
      <c r="S210" s="1626"/>
      <c r="T210" s="1626"/>
      <c r="U210" s="1626"/>
      <c r="V210" s="1626"/>
      <c r="W210" s="1626"/>
      <c r="X210" s="1626"/>
      <c r="Y210" s="1626"/>
      <c r="Z210" s="1626"/>
    </row>
    <row r="211" spans="1:26" ht="15.75" customHeight="1" x14ac:dyDescent="0.25">
      <c r="A211" s="1626"/>
      <c r="B211" s="1626"/>
      <c r="C211" s="1626"/>
      <c r="D211" s="1626"/>
      <c r="E211" s="1626"/>
      <c r="F211" s="1626"/>
      <c r="G211" s="1626"/>
      <c r="H211" s="1626"/>
      <c r="I211" s="1626"/>
      <c r="J211" s="1626"/>
      <c r="K211" s="1626"/>
      <c r="L211" s="1626"/>
      <c r="M211" s="1626"/>
      <c r="N211" s="1626"/>
      <c r="O211" s="1626"/>
      <c r="P211" s="1627"/>
      <c r="Q211" s="1627"/>
      <c r="R211" s="1626"/>
      <c r="S211" s="1626"/>
      <c r="T211" s="1626"/>
      <c r="U211" s="1626"/>
      <c r="V211" s="1626"/>
      <c r="W211" s="1626"/>
      <c r="X211" s="1626"/>
      <c r="Y211" s="1626"/>
      <c r="Z211" s="1626"/>
    </row>
    <row r="212" spans="1:26" ht="15.75" customHeight="1" x14ac:dyDescent="0.25">
      <c r="A212" s="1626"/>
      <c r="B212" s="1626"/>
      <c r="C212" s="1626"/>
      <c r="D212" s="1626"/>
      <c r="E212" s="1626"/>
      <c r="F212" s="1626"/>
      <c r="G212" s="1626"/>
      <c r="H212" s="1626"/>
      <c r="I212" s="1626"/>
      <c r="J212" s="1626"/>
      <c r="K212" s="1626"/>
      <c r="L212" s="1626"/>
      <c r="M212" s="1626"/>
      <c r="N212" s="1626"/>
      <c r="O212" s="1626"/>
      <c r="P212" s="1627"/>
      <c r="Q212" s="1627"/>
      <c r="R212" s="1626"/>
      <c r="S212" s="1626"/>
      <c r="T212" s="1626"/>
      <c r="U212" s="1626"/>
      <c r="V212" s="1626"/>
      <c r="W212" s="1626"/>
      <c r="X212" s="1626"/>
      <c r="Y212" s="1626"/>
      <c r="Z212" s="1626"/>
    </row>
    <row r="213" spans="1:26" ht="15.75" customHeight="1" x14ac:dyDescent="0.25">
      <c r="A213" s="1626"/>
      <c r="B213" s="1626"/>
      <c r="C213" s="1626"/>
      <c r="D213" s="1626"/>
      <c r="E213" s="1626"/>
      <c r="F213" s="1626"/>
      <c r="G213" s="1626"/>
      <c r="H213" s="1626"/>
      <c r="I213" s="1626"/>
      <c r="J213" s="1626"/>
      <c r="K213" s="1626"/>
      <c r="L213" s="1626"/>
      <c r="M213" s="1626"/>
      <c r="N213" s="1626"/>
      <c r="O213" s="1626"/>
      <c r="P213" s="1627"/>
      <c r="Q213" s="1627"/>
      <c r="R213" s="1626"/>
      <c r="S213" s="1626"/>
      <c r="T213" s="1626"/>
      <c r="U213" s="1626"/>
      <c r="V213" s="1626"/>
      <c r="W213" s="1626"/>
      <c r="X213" s="1626"/>
      <c r="Y213" s="1626"/>
      <c r="Z213" s="1626"/>
    </row>
    <row r="214" spans="1:26" ht="15.75" customHeight="1" x14ac:dyDescent="0.25">
      <c r="A214" s="1626"/>
      <c r="B214" s="1626"/>
      <c r="C214" s="1626"/>
      <c r="D214" s="1626"/>
      <c r="E214" s="1626"/>
      <c r="F214" s="1626"/>
      <c r="G214" s="1626"/>
      <c r="H214" s="1626"/>
      <c r="I214" s="1626"/>
      <c r="J214" s="1626"/>
      <c r="K214" s="1626"/>
      <c r="L214" s="1626"/>
      <c r="M214" s="1626"/>
      <c r="N214" s="1626"/>
      <c r="O214" s="1626"/>
      <c r="P214" s="1627"/>
      <c r="Q214" s="1627"/>
      <c r="R214" s="1626"/>
      <c r="S214" s="1626"/>
      <c r="T214" s="1626"/>
      <c r="U214" s="1626"/>
      <c r="V214" s="1626"/>
      <c r="W214" s="1626"/>
      <c r="X214" s="1626"/>
      <c r="Y214" s="1626"/>
      <c r="Z214" s="1626"/>
    </row>
    <row r="215" spans="1:26" ht="15.75" customHeight="1" x14ac:dyDescent="0.25">
      <c r="A215" s="1626"/>
      <c r="B215" s="1626"/>
      <c r="C215" s="1626"/>
      <c r="D215" s="1626"/>
      <c r="E215" s="1626"/>
      <c r="F215" s="1626"/>
      <c r="G215" s="1626"/>
      <c r="H215" s="1626"/>
      <c r="I215" s="1626"/>
      <c r="J215" s="1626"/>
      <c r="K215" s="1626"/>
      <c r="L215" s="1626"/>
      <c r="M215" s="1626"/>
      <c r="N215" s="1626"/>
      <c r="O215" s="1626"/>
      <c r="P215" s="1627"/>
      <c r="Q215" s="1627"/>
      <c r="R215" s="1626"/>
      <c r="S215" s="1626"/>
      <c r="T215" s="1626"/>
      <c r="U215" s="1626"/>
      <c r="V215" s="1626"/>
      <c r="W215" s="1626"/>
      <c r="X215" s="1626"/>
      <c r="Y215" s="1626"/>
      <c r="Z215" s="1626"/>
    </row>
    <row r="216" spans="1:26" ht="15.75" customHeight="1" x14ac:dyDescent="0.25">
      <c r="A216" s="1626"/>
      <c r="B216" s="1626"/>
      <c r="C216" s="1626"/>
      <c r="D216" s="1626"/>
      <c r="E216" s="1626"/>
      <c r="F216" s="1626"/>
      <c r="G216" s="1626"/>
      <c r="H216" s="1626"/>
      <c r="I216" s="1626"/>
      <c r="J216" s="1626"/>
      <c r="K216" s="1626"/>
      <c r="L216" s="1626"/>
      <c r="M216" s="1626"/>
      <c r="N216" s="1626"/>
      <c r="O216" s="1626"/>
      <c r="P216" s="1627"/>
      <c r="Q216" s="1627"/>
      <c r="R216" s="1626"/>
      <c r="S216" s="1626"/>
      <c r="T216" s="1626"/>
      <c r="U216" s="1626"/>
      <c r="V216" s="1626"/>
      <c r="W216" s="1626"/>
      <c r="X216" s="1626"/>
      <c r="Y216" s="1626"/>
      <c r="Z216" s="1626"/>
    </row>
    <row r="217" spans="1:26" ht="15.75" customHeight="1" x14ac:dyDescent="0.25">
      <c r="A217" s="1626"/>
      <c r="B217" s="1626"/>
      <c r="C217" s="1626"/>
      <c r="D217" s="1626"/>
      <c r="E217" s="1626"/>
      <c r="F217" s="1626"/>
      <c r="G217" s="1626"/>
      <c r="H217" s="1626"/>
      <c r="I217" s="1626"/>
      <c r="J217" s="1626"/>
      <c r="K217" s="1626"/>
      <c r="L217" s="1626"/>
      <c r="M217" s="1626"/>
      <c r="N217" s="1626"/>
      <c r="O217" s="1626"/>
      <c r="P217" s="1627"/>
      <c r="Q217" s="1627"/>
      <c r="R217" s="1626"/>
      <c r="S217" s="1626"/>
      <c r="T217" s="1626"/>
      <c r="U217" s="1626"/>
      <c r="V217" s="1626"/>
      <c r="W217" s="1626"/>
      <c r="X217" s="1626"/>
      <c r="Y217" s="1626"/>
      <c r="Z217" s="1626"/>
    </row>
    <row r="218" spans="1:26" ht="15.75" customHeight="1" x14ac:dyDescent="0.25">
      <c r="A218" s="1626"/>
      <c r="B218" s="1626"/>
      <c r="C218" s="1626"/>
      <c r="D218" s="1626"/>
      <c r="E218" s="1626"/>
      <c r="F218" s="1626"/>
      <c r="G218" s="1626"/>
      <c r="H218" s="1626"/>
      <c r="I218" s="1626"/>
      <c r="J218" s="1626"/>
      <c r="K218" s="1626"/>
      <c r="L218" s="1626"/>
      <c r="M218" s="1626"/>
      <c r="N218" s="1626"/>
      <c r="O218" s="1626"/>
      <c r="P218" s="1627"/>
      <c r="Q218" s="1627"/>
      <c r="R218" s="1626"/>
      <c r="S218" s="1626"/>
      <c r="T218" s="1626"/>
      <c r="U218" s="1626"/>
      <c r="V218" s="1626"/>
      <c r="W218" s="1626"/>
      <c r="X218" s="1626"/>
      <c r="Y218" s="1626"/>
      <c r="Z218" s="1626"/>
    </row>
    <row r="219" spans="1:26" ht="15.75" customHeight="1" x14ac:dyDescent="0.25">
      <c r="A219" s="1626"/>
      <c r="B219" s="1626"/>
      <c r="C219" s="1626"/>
      <c r="D219" s="1626"/>
      <c r="E219" s="1626"/>
      <c r="F219" s="1626"/>
      <c r="G219" s="1626"/>
      <c r="H219" s="1626"/>
      <c r="I219" s="1626"/>
      <c r="J219" s="1626"/>
      <c r="K219" s="1626"/>
      <c r="L219" s="1626"/>
      <c r="M219" s="1626"/>
      <c r="N219" s="1626"/>
      <c r="O219" s="1626"/>
      <c r="P219" s="1627"/>
      <c r="Q219" s="1627"/>
      <c r="R219" s="1626"/>
      <c r="S219" s="1626"/>
      <c r="T219" s="1626"/>
      <c r="U219" s="1626"/>
      <c r="V219" s="1626"/>
      <c r="W219" s="1626"/>
      <c r="X219" s="1626"/>
      <c r="Y219" s="1626"/>
      <c r="Z219" s="1626"/>
    </row>
    <row r="220" spans="1:26" ht="15.75" customHeight="1" x14ac:dyDescent="0.25">
      <c r="A220" s="1626"/>
      <c r="B220" s="1626"/>
      <c r="C220" s="1626"/>
      <c r="D220" s="1626"/>
      <c r="E220" s="1626"/>
      <c r="F220" s="1626"/>
      <c r="G220" s="1626"/>
      <c r="H220" s="1626"/>
      <c r="I220" s="1626"/>
      <c r="J220" s="1626"/>
      <c r="K220" s="1626"/>
      <c r="L220" s="1626"/>
      <c r="M220" s="1626"/>
      <c r="N220" s="1626"/>
      <c r="O220" s="1626"/>
      <c r="P220" s="1627"/>
      <c r="Q220" s="1627"/>
      <c r="R220" s="1626"/>
      <c r="S220" s="1626"/>
      <c r="T220" s="1626"/>
      <c r="U220" s="1626"/>
      <c r="V220" s="1626"/>
      <c r="W220" s="1626"/>
      <c r="X220" s="1626"/>
      <c r="Y220" s="1626"/>
      <c r="Z220" s="1626"/>
    </row>
    <row r="221" spans="1:26" ht="15.75" customHeight="1" x14ac:dyDescent="0.25">
      <c r="A221" s="1626"/>
      <c r="B221" s="1626"/>
      <c r="C221" s="1626"/>
      <c r="D221" s="1626"/>
      <c r="E221" s="1626"/>
      <c r="F221" s="1626"/>
      <c r="G221" s="1626"/>
      <c r="H221" s="1626"/>
      <c r="I221" s="1626"/>
      <c r="J221" s="1626"/>
      <c r="K221" s="1626"/>
      <c r="L221" s="1626"/>
      <c r="M221" s="1626"/>
      <c r="N221" s="1626"/>
      <c r="O221" s="1626"/>
      <c r="P221" s="1627"/>
      <c r="Q221" s="1627"/>
      <c r="R221" s="1626"/>
      <c r="S221" s="1626"/>
      <c r="T221" s="1626"/>
      <c r="U221" s="1626"/>
      <c r="V221" s="1626"/>
      <c r="W221" s="1626"/>
      <c r="X221" s="1626"/>
      <c r="Y221" s="1626"/>
      <c r="Z221" s="1626"/>
    </row>
    <row r="222" spans="1:26" ht="15.75" customHeight="1" x14ac:dyDescent="0.25">
      <c r="A222" s="1626"/>
      <c r="B222" s="1626"/>
      <c r="C222" s="1626"/>
      <c r="D222" s="1626"/>
      <c r="E222" s="1626"/>
      <c r="F222" s="1626"/>
      <c r="G222" s="1626"/>
      <c r="H222" s="1626"/>
      <c r="I222" s="1626"/>
      <c r="J222" s="1626"/>
      <c r="K222" s="1626"/>
      <c r="L222" s="1626"/>
      <c r="M222" s="1626"/>
      <c r="N222" s="1626"/>
      <c r="O222" s="1626"/>
      <c r="P222" s="1627"/>
      <c r="Q222" s="1627"/>
      <c r="R222" s="1626"/>
      <c r="S222" s="1626"/>
      <c r="T222" s="1626"/>
      <c r="U222" s="1626"/>
      <c r="V222" s="1626"/>
      <c r="W222" s="1626"/>
      <c r="X222" s="1626"/>
      <c r="Y222" s="1626"/>
      <c r="Z222" s="1626"/>
    </row>
    <row r="223" spans="1:26" ht="15.75" customHeight="1" x14ac:dyDescent="0.25">
      <c r="A223" s="1626"/>
      <c r="B223" s="1626"/>
      <c r="C223" s="1626"/>
      <c r="D223" s="1626"/>
      <c r="E223" s="1626"/>
      <c r="F223" s="1626"/>
      <c r="G223" s="1626"/>
      <c r="H223" s="1626"/>
      <c r="I223" s="1626"/>
      <c r="J223" s="1626"/>
      <c r="K223" s="1626"/>
      <c r="L223" s="1626"/>
      <c r="M223" s="1626"/>
      <c r="N223" s="1626"/>
      <c r="O223" s="1626"/>
      <c r="P223" s="1627"/>
      <c r="Q223" s="1627"/>
      <c r="R223" s="1626"/>
      <c r="S223" s="1626"/>
      <c r="T223" s="1626"/>
      <c r="U223" s="1626"/>
      <c r="V223" s="1626"/>
      <c r="W223" s="1626"/>
      <c r="X223" s="1626"/>
      <c r="Y223" s="1626"/>
      <c r="Z223" s="1626"/>
    </row>
    <row r="224" spans="1:26" ht="15.75" customHeight="1" x14ac:dyDescent="0.25">
      <c r="A224" s="1626"/>
      <c r="B224" s="1626"/>
      <c r="C224" s="1626"/>
      <c r="D224" s="1626"/>
      <c r="E224" s="1626"/>
      <c r="F224" s="1626"/>
      <c r="G224" s="1626"/>
      <c r="H224" s="1626"/>
      <c r="I224" s="1626"/>
      <c r="J224" s="1626"/>
      <c r="K224" s="1626"/>
      <c r="L224" s="1626"/>
      <c r="M224" s="1626"/>
      <c r="N224" s="1626"/>
      <c r="O224" s="1626"/>
      <c r="P224" s="1627"/>
      <c r="Q224" s="1627"/>
      <c r="R224" s="1626"/>
      <c r="S224" s="1626"/>
      <c r="T224" s="1626"/>
      <c r="U224" s="1626"/>
      <c r="V224" s="1626"/>
      <c r="W224" s="1626"/>
      <c r="X224" s="1626"/>
      <c r="Y224" s="1626"/>
      <c r="Z224" s="1626"/>
    </row>
    <row r="225" spans="1:26" ht="15.75" customHeight="1" x14ac:dyDescent="0.25">
      <c r="A225" s="1626"/>
      <c r="B225" s="1626"/>
      <c r="C225" s="1626"/>
      <c r="D225" s="1626"/>
      <c r="E225" s="1626"/>
      <c r="F225" s="1626"/>
      <c r="G225" s="1626"/>
      <c r="H225" s="1626"/>
      <c r="I225" s="1626"/>
      <c r="J225" s="1626"/>
      <c r="K225" s="1626"/>
      <c r="L225" s="1626"/>
      <c r="M225" s="1626"/>
      <c r="N225" s="1626"/>
      <c r="O225" s="1626"/>
      <c r="P225" s="1627"/>
      <c r="Q225" s="1627"/>
      <c r="R225" s="1626"/>
      <c r="S225" s="1626"/>
      <c r="T225" s="1626"/>
      <c r="U225" s="1626"/>
      <c r="V225" s="1626"/>
      <c r="W225" s="1626"/>
      <c r="X225" s="1626"/>
      <c r="Y225" s="1626"/>
      <c r="Z225" s="1626"/>
    </row>
    <row r="226" spans="1:26" ht="15.75" customHeight="1" x14ac:dyDescent="0.25">
      <c r="A226" s="1626"/>
      <c r="B226" s="1626"/>
      <c r="C226" s="1626"/>
      <c r="D226" s="1626"/>
      <c r="E226" s="1626"/>
      <c r="F226" s="1626"/>
      <c r="G226" s="1626"/>
      <c r="H226" s="1626"/>
      <c r="I226" s="1626"/>
      <c r="J226" s="1626"/>
      <c r="K226" s="1626"/>
      <c r="L226" s="1626"/>
      <c r="M226" s="1626"/>
      <c r="N226" s="1626"/>
      <c r="O226" s="1626"/>
      <c r="P226" s="1627"/>
      <c r="Q226" s="1627"/>
      <c r="R226" s="1626"/>
      <c r="S226" s="1626"/>
      <c r="T226" s="1626"/>
      <c r="U226" s="1626"/>
      <c r="V226" s="1626"/>
      <c r="W226" s="1626"/>
      <c r="X226" s="1626"/>
      <c r="Y226" s="1626"/>
      <c r="Z226" s="1626"/>
    </row>
    <row r="227" spans="1:26" ht="15.75" customHeight="1" x14ac:dyDescent="0.25">
      <c r="A227" s="1626"/>
      <c r="B227" s="1626"/>
      <c r="C227" s="1626"/>
      <c r="D227" s="1626"/>
      <c r="E227" s="1626"/>
      <c r="F227" s="1626"/>
      <c r="G227" s="1626"/>
      <c r="H227" s="1626"/>
      <c r="I227" s="1626"/>
      <c r="J227" s="1626"/>
      <c r="K227" s="1626"/>
      <c r="L227" s="1626"/>
      <c r="M227" s="1626"/>
      <c r="N227" s="1626"/>
      <c r="O227" s="1626"/>
      <c r="P227" s="1627"/>
      <c r="Q227" s="1627"/>
      <c r="R227" s="1626"/>
      <c r="S227" s="1626"/>
      <c r="T227" s="1626"/>
      <c r="U227" s="1626"/>
      <c r="V227" s="1626"/>
      <c r="W227" s="1626"/>
      <c r="X227" s="1626"/>
      <c r="Y227" s="1626"/>
      <c r="Z227" s="1626"/>
    </row>
    <row r="228" spans="1:26" ht="15.75" customHeight="1" x14ac:dyDescent="0.25">
      <c r="A228" s="1626"/>
      <c r="B228" s="1626"/>
      <c r="C228" s="1626"/>
      <c r="D228" s="1626"/>
      <c r="E228" s="1626"/>
      <c r="F228" s="1626"/>
      <c r="G228" s="1626"/>
      <c r="H228" s="1626"/>
      <c r="I228" s="1626"/>
      <c r="J228" s="1626"/>
      <c r="K228" s="1626"/>
      <c r="L228" s="1626"/>
      <c r="M228" s="1626"/>
      <c r="N228" s="1626"/>
      <c r="O228" s="1626"/>
      <c r="P228" s="1627"/>
      <c r="Q228" s="1627"/>
      <c r="R228" s="1626"/>
      <c r="S228" s="1626"/>
      <c r="T228" s="1626"/>
      <c r="U228" s="1626"/>
      <c r="V228" s="1626"/>
      <c r="W228" s="1626"/>
      <c r="X228" s="1626"/>
      <c r="Y228" s="1626"/>
      <c r="Z228" s="1626"/>
    </row>
    <row r="229" spans="1:26" ht="15.75" customHeight="1" x14ac:dyDescent="0.25">
      <c r="A229" s="1626"/>
      <c r="B229" s="1626"/>
      <c r="C229" s="1626"/>
      <c r="D229" s="1626"/>
      <c r="E229" s="1626"/>
      <c r="F229" s="1626"/>
      <c r="G229" s="1626"/>
      <c r="H229" s="1626"/>
      <c r="I229" s="1626"/>
      <c r="J229" s="1626"/>
      <c r="K229" s="1626"/>
      <c r="L229" s="1626"/>
      <c r="M229" s="1626"/>
      <c r="N229" s="1626"/>
      <c r="O229" s="1626"/>
      <c r="P229" s="1627"/>
      <c r="Q229" s="1627"/>
      <c r="R229" s="1626"/>
      <c r="S229" s="1626"/>
      <c r="T229" s="1626"/>
      <c r="U229" s="1626"/>
      <c r="V229" s="1626"/>
      <c r="W229" s="1626"/>
      <c r="X229" s="1626"/>
      <c r="Y229" s="1626"/>
      <c r="Z229" s="1626"/>
    </row>
    <row r="230" spans="1:26" ht="15.75" customHeight="1" x14ac:dyDescent="0.25">
      <c r="A230" s="1626"/>
      <c r="B230" s="1626"/>
      <c r="C230" s="1626"/>
      <c r="D230" s="1626"/>
      <c r="E230" s="1626"/>
      <c r="F230" s="1626"/>
      <c r="G230" s="1626"/>
      <c r="H230" s="1626"/>
      <c r="I230" s="1626"/>
      <c r="J230" s="1626"/>
      <c r="K230" s="1626"/>
      <c r="L230" s="1626"/>
      <c r="M230" s="1626"/>
      <c r="N230" s="1626"/>
      <c r="O230" s="1626"/>
      <c r="P230" s="1627"/>
      <c r="Q230" s="1627"/>
      <c r="R230" s="1626"/>
      <c r="S230" s="1626"/>
      <c r="T230" s="1626"/>
      <c r="U230" s="1626"/>
      <c r="V230" s="1626"/>
      <c r="W230" s="1626"/>
      <c r="X230" s="1626"/>
      <c r="Y230" s="1626"/>
      <c r="Z230" s="1626"/>
    </row>
    <row r="231" spans="1:26" ht="15.75" customHeight="1" x14ac:dyDescent="0.25">
      <c r="A231" s="1626"/>
      <c r="B231" s="1626"/>
      <c r="C231" s="1626"/>
      <c r="D231" s="1626"/>
      <c r="E231" s="1626"/>
      <c r="F231" s="1626"/>
      <c r="G231" s="1626"/>
      <c r="H231" s="1626"/>
      <c r="I231" s="1626"/>
      <c r="J231" s="1626"/>
      <c r="K231" s="1626"/>
      <c r="L231" s="1626"/>
      <c r="M231" s="1626"/>
      <c r="N231" s="1626"/>
      <c r="O231" s="1626"/>
      <c r="P231" s="1627"/>
      <c r="Q231" s="1627"/>
      <c r="R231" s="1626"/>
      <c r="S231" s="1626"/>
      <c r="T231" s="1626"/>
      <c r="U231" s="1626"/>
      <c r="V231" s="1626"/>
      <c r="W231" s="1626"/>
      <c r="X231" s="1626"/>
      <c r="Y231" s="1626"/>
      <c r="Z231" s="1626"/>
    </row>
    <row r="232" spans="1:26" ht="15.75" customHeight="1" x14ac:dyDescent="0.25">
      <c r="A232" s="1626"/>
      <c r="B232" s="1626"/>
      <c r="C232" s="1626"/>
      <c r="D232" s="1626"/>
      <c r="E232" s="1626"/>
      <c r="F232" s="1626"/>
      <c r="G232" s="1626"/>
      <c r="H232" s="1626"/>
      <c r="I232" s="1626"/>
      <c r="J232" s="1626"/>
      <c r="K232" s="1626"/>
      <c r="L232" s="1626"/>
      <c r="M232" s="1626"/>
      <c r="N232" s="1626"/>
      <c r="O232" s="1626"/>
      <c r="P232" s="1627"/>
      <c r="Q232" s="1627"/>
      <c r="R232" s="1626"/>
      <c r="S232" s="1626"/>
      <c r="T232" s="1626"/>
      <c r="U232" s="1626"/>
      <c r="V232" s="1626"/>
      <c r="W232" s="1626"/>
      <c r="X232" s="1626"/>
      <c r="Y232" s="1626"/>
      <c r="Z232" s="1626"/>
    </row>
    <row r="233" spans="1:26" ht="15.75" customHeight="1" x14ac:dyDescent="0.25">
      <c r="A233" s="1626"/>
      <c r="B233" s="1626"/>
      <c r="C233" s="1626"/>
      <c r="D233" s="1626"/>
      <c r="E233" s="1626"/>
      <c r="F233" s="1626"/>
      <c r="G233" s="1626"/>
      <c r="H233" s="1626"/>
      <c r="I233" s="1626"/>
      <c r="J233" s="1626"/>
      <c r="K233" s="1626"/>
      <c r="L233" s="1626"/>
      <c r="M233" s="1626"/>
      <c r="N233" s="1626"/>
      <c r="O233" s="1626"/>
      <c r="P233" s="1627"/>
      <c r="Q233" s="1627"/>
      <c r="R233" s="1626"/>
      <c r="S233" s="1626"/>
      <c r="T233" s="1626"/>
      <c r="U233" s="1626"/>
      <c r="V233" s="1626"/>
      <c r="W233" s="1626"/>
      <c r="X233" s="1626"/>
      <c r="Y233" s="1626"/>
      <c r="Z233" s="1626"/>
    </row>
    <row r="234" spans="1:26" ht="15.75" customHeight="1" x14ac:dyDescent="0.25">
      <c r="A234" s="1626"/>
      <c r="B234" s="1626"/>
      <c r="C234" s="1626"/>
      <c r="D234" s="1626"/>
      <c r="E234" s="1626"/>
      <c r="F234" s="1626"/>
      <c r="G234" s="1626"/>
      <c r="H234" s="1626"/>
      <c r="I234" s="1626"/>
      <c r="J234" s="1626"/>
      <c r="K234" s="1626"/>
      <c r="L234" s="1626"/>
      <c r="M234" s="1626"/>
      <c r="N234" s="1626"/>
      <c r="O234" s="1626"/>
      <c r="P234" s="1627"/>
      <c r="Q234" s="1627"/>
      <c r="R234" s="1626"/>
      <c r="S234" s="1626"/>
      <c r="T234" s="1626"/>
      <c r="U234" s="1626"/>
      <c r="V234" s="1626"/>
      <c r="W234" s="1626"/>
      <c r="X234" s="1626"/>
      <c r="Y234" s="1626"/>
      <c r="Z234" s="1626"/>
    </row>
    <row r="235" spans="1:26" ht="15.75" customHeight="1" x14ac:dyDescent="0.25">
      <c r="A235" s="1626"/>
      <c r="B235" s="1626"/>
      <c r="C235" s="1626"/>
      <c r="D235" s="1626"/>
      <c r="E235" s="1626"/>
      <c r="F235" s="1626"/>
      <c r="G235" s="1626"/>
      <c r="H235" s="1626"/>
      <c r="I235" s="1626"/>
      <c r="J235" s="1626"/>
      <c r="K235" s="1626"/>
      <c r="L235" s="1626"/>
      <c r="M235" s="1626"/>
      <c r="N235" s="1626"/>
      <c r="O235" s="1626"/>
      <c r="P235" s="1627"/>
      <c r="Q235" s="1627"/>
      <c r="R235" s="1626"/>
      <c r="S235" s="1626"/>
      <c r="T235" s="1626"/>
      <c r="U235" s="1626"/>
      <c r="V235" s="1626"/>
      <c r="W235" s="1626"/>
      <c r="X235" s="1626"/>
      <c r="Y235" s="1626"/>
      <c r="Z235" s="1626"/>
    </row>
    <row r="236" spans="1:26" ht="15.75" customHeight="1" x14ac:dyDescent="0.25">
      <c r="A236" s="1626"/>
      <c r="B236" s="1626"/>
      <c r="C236" s="1626"/>
      <c r="D236" s="1626"/>
      <c r="E236" s="1626"/>
      <c r="F236" s="1626"/>
      <c r="G236" s="1626"/>
      <c r="H236" s="1626"/>
      <c r="I236" s="1626"/>
      <c r="J236" s="1626"/>
      <c r="K236" s="1626"/>
      <c r="L236" s="1626"/>
      <c r="M236" s="1626"/>
      <c r="N236" s="1626"/>
      <c r="O236" s="1626"/>
      <c r="P236" s="1627"/>
      <c r="Q236" s="1627"/>
      <c r="R236" s="1626"/>
      <c r="S236" s="1626"/>
      <c r="T236" s="1626"/>
      <c r="U236" s="1626"/>
      <c r="V236" s="1626"/>
      <c r="W236" s="1626"/>
      <c r="X236" s="1626"/>
      <c r="Y236" s="1626"/>
      <c r="Z236" s="1626"/>
    </row>
    <row r="237" spans="1:26" ht="15.75" customHeight="1" x14ac:dyDescent="0.25">
      <c r="A237" s="1626"/>
      <c r="B237" s="1626"/>
      <c r="C237" s="1626"/>
      <c r="D237" s="1626"/>
      <c r="E237" s="1626"/>
      <c r="F237" s="1626"/>
      <c r="G237" s="1626"/>
      <c r="H237" s="1626"/>
      <c r="I237" s="1626"/>
      <c r="J237" s="1626"/>
      <c r="K237" s="1626"/>
      <c r="L237" s="1626"/>
      <c r="M237" s="1626"/>
      <c r="N237" s="1626"/>
      <c r="O237" s="1626"/>
      <c r="P237" s="1627"/>
      <c r="Q237" s="1627"/>
      <c r="R237" s="1626"/>
      <c r="S237" s="1626"/>
      <c r="T237" s="1626"/>
      <c r="U237" s="1626"/>
      <c r="V237" s="1626"/>
      <c r="W237" s="1626"/>
      <c r="X237" s="1626"/>
      <c r="Y237" s="1626"/>
      <c r="Z237" s="1626"/>
    </row>
    <row r="238" spans="1:26" ht="15.75" customHeight="1" x14ac:dyDescent="0.25">
      <c r="A238" s="1626"/>
      <c r="B238" s="1626"/>
      <c r="C238" s="1626"/>
      <c r="D238" s="1626"/>
      <c r="E238" s="1626"/>
      <c r="F238" s="1626"/>
      <c r="G238" s="1626"/>
      <c r="H238" s="1626"/>
      <c r="I238" s="1626"/>
      <c r="J238" s="1626"/>
      <c r="K238" s="1626"/>
      <c r="L238" s="1626"/>
      <c r="M238" s="1626"/>
      <c r="N238" s="1626"/>
      <c r="O238" s="1626"/>
      <c r="P238" s="1627"/>
      <c r="Q238" s="1627"/>
      <c r="R238" s="1626"/>
      <c r="S238" s="1626"/>
      <c r="T238" s="1626"/>
      <c r="U238" s="1626"/>
      <c r="V238" s="1626"/>
      <c r="W238" s="1626"/>
      <c r="X238" s="1626"/>
      <c r="Y238" s="1626"/>
      <c r="Z238" s="1626"/>
    </row>
    <row r="239" spans="1:26" ht="15.75" customHeight="1" x14ac:dyDescent="0.25">
      <c r="A239" s="1626"/>
      <c r="B239" s="1626"/>
      <c r="C239" s="1626"/>
      <c r="D239" s="1626"/>
      <c r="E239" s="1626"/>
      <c r="F239" s="1626"/>
      <c r="G239" s="1626"/>
      <c r="H239" s="1626"/>
      <c r="I239" s="1626"/>
      <c r="J239" s="1626"/>
      <c r="K239" s="1626"/>
      <c r="L239" s="1626"/>
      <c r="M239" s="1626"/>
      <c r="N239" s="1626"/>
      <c r="O239" s="1626"/>
      <c r="P239" s="1627"/>
      <c r="Q239" s="1627"/>
      <c r="R239" s="1626"/>
      <c r="S239" s="1626"/>
      <c r="T239" s="1626"/>
      <c r="U239" s="1626"/>
      <c r="V239" s="1626"/>
      <c r="W239" s="1626"/>
      <c r="X239" s="1626"/>
      <c r="Y239" s="1626"/>
      <c r="Z239" s="1626"/>
    </row>
    <row r="240" spans="1:26" ht="15.75" customHeight="1" x14ac:dyDescent="0.25">
      <c r="A240" s="1626"/>
      <c r="B240" s="1626"/>
      <c r="C240" s="1626"/>
      <c r="D240" s="1626"/>
      <c r="E240" s="1626"/>
      <c r="F240" s="1626"/>
      <c r="G240" s="1626"/>
      <c r="H240" s="1626"/>
      <c r="I240" s="1626"/>
      <c r="J240" s="1626"/>
      <c r="K240" s="1626"/>
      <c r="L240" s="1626"/>
      <c r="M240" s="1626"/>
      <c r="N240" s="1626"/>
      <c r="O240" s="1626"/>
      <c r="P240" s="1627"/>
      <c r="Q240" s="1627"/>
      <c r="R240" s="1626"/>
      <c r="S240" s="1626"/>
      <c r="T240" s="1626"/>
      <c r="U240" s="1626"/>
      <c r="V240" s="1626"/>
      <c r="W240" s="1626"/>
      <c r="X240" s="1626"/>
      <c r="Y240" s="1626"/>
      <c r="Z240" s="1626"/>
    </row>
    <row r="241" spans="1:26" ht="15.75" customHeight="1" x14ac:dyDescent="0.25">
      <c r="A241" s="1626"/>
      <c r="B241" s="1626"/>
      <c r="C241" s="1626"/>
      <c r="D241" s="1626"/>
      <c r="E241" s="1626"/>
      <c r="F241" s="1626"/>
      <c r="G241" s="1626"/>
      <c r="H241" s="1626"/>
      <c r="I241" s="1626"/>
      <c r="J241" s="1626"/>
      <c r="K241" s="1626"/>
      <c r="L241" s="1626"/>
      <c r="M241" s="1626"/>
      <c r="N241" s="1626"/>
      <c r="O241" s="1626"/>
      <c r="P241" s="1627"/>
      <c r="Q241" s="1627"/>
      <c r="R241" s="1626"/>
      <c r="S241" s="1626"/>
      <c r="T241" s="1626"/>
      <c r="U241" s="1626"/>
      <c r="V241" s="1626"/>
      <c r="W241" s="1626"/>
      <c r="X241" s="1626"/>
      <c r="Y241" s="1626"/>
      <c r="Z241" s="1626"/>
    </row>
    <row r="242" spans="1:26" ht="15.75" customHeight="1" x14ac:dyDescent="0.25">
      <c r="A242" s="1626"/>
      <c r="B242" s="1626"/>
      <c r="C242" s="1626"/>
      <c r="D242" s="1626"/>
      <c r="E242" s="1626"/>
      <c r="F242" s="1626"/>
      <c r="G242" s="1626"/>
      <c r="H242" s="1626"/>
      <c r="I242" s="1626"/>
      <c r="J242" s="1626"/>
      <c r="K242" s="1626"/>
      <c r="L242" s="1626"/>
      <c r="M242" s="1626"/>
      <c r="N242" s="1626"/>
      <c r="O242" s="1626"/>
      <c r="P242" s="1627"/>
      <c r="Q242" s="1627"/>
      <c r="R242" s="1626"/>
      <c r="S242" s="1626"/>
      <c r="T242" s="1626"/>
      <c r="U242" s="1626"/>
      <c r="V242" s="1626"/>
      <c r="W242" s="1626"/>
      <c r="X242" s="1626"/>
      <c r="Y242" s="1626"/>
      <c r="Z242" s="1626"/>
    </row>
    <row r="243" spans="1:26" ht="15.75" customHeight="1" x14ac:dyDescent="0.25">
      <c r="A243" s="1626"/>
      <c r="B243" s="1626"/>
      <c r="C243" s="1626"/>
      <c r="D243" s="1626"/>
      <c r="E243" s="1626"/>
      <c r="F243" s="1626"/>
      <c r="G243" s="1626"/>
      <c r="H243" s="1626"/>
      <c r="I243" s="1626"/>
      <c r="J243" s="1626"/>
      <c r="K243" s="1626"/>
      <c r="L243" s="1626"/>
      <c r="M243" s="1626"/>
      <c r="N243" s="1626"/>
      <c r="O243" s="1626"/>
      <c r="P243" s="1627"/>
      <c r="Q243" s="1627"/>
      <c r="R243" s="1626"/>
      <c r="S243" s="1626"/>
      <c r="T243" s="1626"/>
      <c r="U243" s="1626"/>
      <c r="V243" s="1626"/>
      <c r="W243" s="1626"/>
      <c r="X243" s="1626"/>
      <c r="Y243" s="1626"/>
      <c r="Z243" s="1626"/>
    </row>
    <row r="244" spans="1:26" ht="15.75" customHeight="1" x14ac:dyDescent="0.25">
      <c r="A244" s="1626"/>
      <c r="B244" s="1626"/>
      <c r="C244" s="1626"/>
      <c r="D244" s="1626"/>
      <c r="E244" s="1626"/>
      <c r="F244" s="1626"/>
      <c r="G244" s="1626"/>
      <c r="H244" s="1626"/>
      <c r="I244" s="1626"/>
      <c r="J244" s="1626"/>
      <c r="K244" s="1626"/>
      <c r="L244" s="1626"/>
      <c r="M244" s="1626"/>
      <c r="N244" s="1626"/>
      <c r="O244" s="1626"/>
      <c r="P244" s="1627"/>
      <c r="Q244" s="1627"/>
      <c r="R244" s="1626"/>
      <c r="S244" s="1626"/>
      <c r="T244" s="1626"/>
      <c r="U244" s="1626"/>
      <c r="V244" s="1626"/>
      <c r="W244" s="1626"/>
      <c r="X244" s="1626"/>
      <c r="Y244" s="1626"/>
      <c r="Z244" s="1626"/>
    </row>
    <row r="245" spans="1:26" ht="15.75" customHeight="1" x14ac:dyDescent="0.25">
      <c r="A245" s="1626"/>
      <c r="B245" s="1626"/>
      <c r="C245" s="1626"/>
      <c r="D245" s="1626"/>
      <c r="E245" s="1626"/>
      <c r="F245" s="1626"/>
      <c r="G245" s="1626"/>
      <c r="H245" s="1626"/>
      <c r="I245" s="1626"/>
      <c r="J245" s="1626"/>
      <c r="K245" s="1626"/>
      <c r="L245" s="1626"/>
      <c r="M245" s="1626"/>
      <c r="N245" s="1626"/>
      <c r="O245" s="1626"/>
      <c r="P245" s="1627"/>
      <c r="Q245" s="1627"/>
      <c r="R245" s="1626"/>
      <c r="S245" s="1626"/>
      <c r="T245" s="1626"/>
      <c r="U245" s="1626"/>
      <c r="V245" s="1626"/>
      <c r="W245" s="1626"/>
      <c r="X245" s="1626"/>
      <c r="Y245" s="1626"/>
      <c r="Z245" s="1626"/>
    </row>
    <row r="246" spans="1:26" ht="15.75" customHeight="1" x14ac:dyDescent="0.25">
      <c r="A246" s="1626"/>
      <c r="B246" s="1626"/>
      <c r="C246" s="1626"/>
      <c r="D246" s="1626"/>
      <c r="E246" s="1626"/>
      <c r="F246" s="1626"/>
      <c r="G246" s="1626"/>
      <c r="H246" s="1626"/>
      <c r="I246" s="1626"/>
      <c r="J246" s="1626"/>
      <c r="K246" s="1626"/>
      <c r="L246" s="1626"/>
      <c r="M246" s="1626"/>
      <c r="N246" s="1626"/>
      <c r="O246" s="1626"/>
      <c r="P246" s="1627"/>
      <c r="Q246" s="1627"/>
      <c r="R246" s="1626"/>
      <c r="S246" s="1626"/>
      <c r="T246" s="1626"/>
      <c r="U246" s="1626"/>
      <c r="V246" s="1626"/>
      <c r="W246" s="1626"/>
      <c r="X246" s="1626"/>
      <c r="Y246" s="1626"/>
      <c r="Z246" s="1626"/>
    </row>
    <row r="247" spans="1:26" ht="15.75" customHeight="1" x14ac:dyDescent="0.25">
      <c r="A247" s="1626"/>
      <c r="B247" s="1626"/>
      <c r="C247" s="1626"/>
      <c r="D247" s="1626"/>
      <c r="E247" s="1626"/>
      <c r="F247" s="1626"/>
      <c r="G247" s="1626"/>
      <c r="H247" s="1626"/>
      <c r="I247" s="1626"/>
      <c r="J247" s="1626"/>
      <c r="K247" s="1626"/>
      <c r="L247" s="1626"/>
      <c r="M247" s="1626"/>
      <c r="N247" s="1626"/>
      <c r="O247" s="1626"/>
      <c r="P247" s="1627"/>
      <c r="Q247" s="1627"/>
      <c r="R247" s="1626"/>
      <c r="S247" s="1626"/>
      <c r="T247" s="1626"/>
      <c r="U247" s="1626"/>
      <c r="V247" s="1626"/>
      <c r="W247" s="1626"/>
      <c r="X247" s="1626"/>
      <c r="Y247" s="1626"/>
      <c r="Z247" s="1626"/>
    </row>
    <row r="248" spans="1:26" ht="15.75" customHeight="1" x14ac:dyDescent="0.25">
      <c r="A248" s="1626"/>
      <c r="B248" s="1626"/>
      <c r="C248" s="1626"/>
      <c r="D248" s="1626"/>
      <c r="E248" s="1626"/>
      <c r="F248" s="1626"/>
      <c r="G248" s="1626"/>
      <c r="H248" s="1626"/>
      <c r="I248" s="1626"/>
      <c r="J248" s="1626"/>
      <c r="K248" s="1626"/>
      <c r="L248" s="1626"/>
      <c r="M248" s="1626"/>
      <c r="N248" s="1626"/>
      <c r="O248" s="1626"/>
      <c r="P248" s="1627"/>
      <c r="Q248" s="1627"/>
      <c r="R248" s="1626"/>
      <c r="S248" s="1626"/>
      <c r="T248" s="1626"/>
      <c r="U248" s="1626"/>
      <c r="V248" s="1626"/>
      <c r="W248" s="1626"/>
      <c r="X248" s="1626"/>
      <c r="Y248" s="1626"/>
      <c r="Z248" s="1626"/>
    </row>
    <row r="249" spans="1:26" ht="15.75" customHeight="1" x14ac:dyDescent="0.25">
      <c r="A249" s="1626"/>
      <c r="B249" s="1626"/>
      <c r="C249" s="1626"/>
      <c r="D249" s="1626"/>
      <c r="E249" s="1626"/>
      <c r="F249" s="1626"/>
      <c r="G249" s="1626"/>
      <c r="H249" s="1626"/>
      <c r="I249" s="1626"/>
      <c r="J249" s="1626"/>
      <c r="K249" s="1626"/>
      <c r="L249" s="1626"/>
      <c r="M249" s="1626"/>
      <c r="N249" s="1626"/>
      <c r="O249" s="1626"/>
      <c r="P249" s="1627"/>
      <c r="Q249" s="1627"/>
      <c r="R249" s="1626"/>
      <c r="S249" s="1626"/>
      <c r="T249" s="1626"/>
      <c r="U249" s="1626"/>
      <c r="V249" s="1626"/>
      <c r="W249" s="1626"/>
      <c r="X249" s="1626"/>
      <c r="Y249" s="1626"/>
      <c r="Z249" s="1626"/>
    </row>
    <row r="250" spans="1:26" ht="15.75" customHeight="1" x14ac:dyDescent="0.25">
      <c r="A250" s="1626"/>
      <c r="B250" s="1626"/>
      <c r="C250" s="1626"/>
      <c r="D250" s="1626"/>
      <c r="E250" s="1626"/>
      <c r="F250" s="1626"/>
      <c r="G250" s="1626"/>
      <c r="H250" s="1626"/>
      <c r="I250" s="1626"/>
      <c r="J250" s="1626"/>
      <c r="K250" s="1626"/>
      <c r="L250" s="1626"/>
      <c r="M250" s="1626"/>
      <c r="N250" s="1626"/>
      <c r="O250" s="1626"/>
      <c r="P250" s="1627"/>
      <c r="Q250" s="1627"/>
      <c r="R250" s="1626"/>
      <c r="S250" s="1626"/>
      <c r="T250" s="1626"/>
      <c r="U250" s="1626"/>
      <c r="V250" s="1626"/>
      <c r="W250" s="1626"/>
      <c r="X250" s="1626"/>
      <c r="Y250" s="1626"/>
      <c r="Z250" s="1626"/>
    </row>
    <row r="251" spans="1:26" ht="15.75" customHeight="1" x14ac:dyDescent="0.25">
      <c r="A251" s="1626"/>
      <c r="B251" s="1626"/>
      <c r="C251" s="1626"/>
      <c r="D251" s="1626"/>
      <c r="E251" s="1626"/>
      <c r="F251" s="1626"/>
      <c r="G251" s="1626"/>
      <c r="H251" s="1626"/>
      <c r="I251" s="1626"/>
      <c r="J251" s="1626"/>
      <c r="K251" s="1626"/>
      <c r="L251" s="1626"/>
      <c r="M251" s="1626"/>
      <c r="N251" s="1626"/>
      <c r="O251" s="1626"/>
      <c r="P251" s="1627"/>
      <c r="Q251" s="1627"/>
      <c r="R251" s="1626"/>
      <c r="S251" s="1626"/>
      <c r="T251" s="1626"/>
      <c r="U251" s="1626"/>
      <c r="V251" s="1626"/>
      <c r="W251" s="1626"/>
      <c r="X251" s="1626"/>
      <c r="Y251" s="1626"/>
      <c r="Z251" s="1626"/>
    </row>
    <row r="252" spans="1:26" ht="15.75" customHeight="1" x14ac:dyDescent="0.25">
      <c r="A252" s="1626"/>
      <c r="B252" s="1626"/>
      <c r="C252" s="1626"/>
      <c r="D252" s="1626"/>
      <c r="E252" s="1626"/>
      <c r="F252" s="1626"/>
      <c r="G252" s="1626"/>
      <c r="H252" s="1626"/>
      <c r="I252" s="1626"/>
      <c r="J252" s="1626"/>
      <c r="K252" s="1626"/>
      <c r="L252" s="1626"/>
      <c r="M252" s="1626"/>
      <c r="N252" s="1626"/>
      <c r="O252" s="1626"/>
      <c r="P252" s="1627"/>
      <c r="Q252" s="1627"/>
      <c r="R252" s="1626"/>
      <c r="S252" s="1626"/>
      <c r="T252" s="1626"/>
      <c r="U252" s="1626"/>
      <c r="V252" s="1626"/>
      <c r="W252" s="1626"/>
      <c r="X252" s="1626"/>
      <c r="Y252" s="1626"/>
      <c r="Z252" s="1626"/>
    </row>
    <row r="253" spans="1:26" ht="15.75" customHeight="1" x14ac:dyDescent="0.25">
      <c r="A253" s="1626"/>
      <c r="B253" s="1626"/>
      <c r="C253" s="1626"/>
      <c r="D253" s="1626"/>
      <c r="E253" s="1626"/>
      <c r="F253" s="1626"/>
      <c r="G253" s="1626"/>
      <c r="H253" s="1626"/>
      <c r="I253" s="1626"/>
      <c r="J253" s="1626"/>
      <c r="K253" s="1626"/>
      <c r="L253" s="1626"/>
      <c r="M253" s="1626"/>
      <c r="N253" s="1626"/>
      <c r="O253" s="1626"/>
      <c r="P253" s="1627"/>
      <c r="Q253" s="1627"/>
      <c r="R253" s="1626"/>
      <c r="S253" s="1626"/>
      <c r="T253" s="1626"/>
      <c r="U253" s="1626"/>
      <c r="V253" s="1626"/>
      <c r="W253" s="1626"/>
      <c r="X253" s="1626"/>
      <c r="Y253" s="1626"/>
      <c r="Z253" s="1626"/>
    </row>
    <row r="254" spans="1:26" ht="15.75" customHeight="1" x14ac:dyDescent="0.25">
      <c r="A254" s="1626"/>
      <c r="B254" s="1626"/>
      <c r="C254" s="1626"/>
      <c r="D254" s="1626"/>
      <c r="E254" s="1626"/>
      <c r="F254" s="1626"/>
      <c r="G254" s="1626"/>
      <c r="H254" s="1626"/>
      <c r="I254" s="1626"/>
      <c r="J254" s="1626"/>
      <c r="K254" s="1626"/>
      <c r="L254" s="1626"/>
      <c r="M254" s="1626"/>
      <c r="N254" s="1626"/>
      <c r="O254" s="1626"/>
      <c r="P254" s="1627"/>
      <c r="Q254" s="1627"/>
      <c r="R254" s="1626"/>
      <c r="S254" s="1626"/>
      <c r="T254" s="1626"/>
      <c r="U254" s="1626"/>
      <c r="V254" s="1626"/>
      <c r="W254" s="1626"/>
      <c r="X254" s="1626"/>
      <c r="Y254" s="1626"/>
      <c r="Z254" s="1626"/>
    </row>
    <row r="255" spans="1:26" ht="15.75" customHeight="1" x14ac:dyDescent="0.25">
      <c r="A255" s="1626"/>
      <c r="B255" s="1626"/>
      <c r="C255" s="1626"/>
      <c r="D255" s="1626"/>
      <c r="E255" s="1626"/>
      <c r="F255" s="1626"/>
      <c r="G255" s="1626"/>
      <c r="H255" s="1626"/>
      <c r="I255" s="1626"/>
      <c r="J255" s="1626"/>
      <c r="K255" s="1626"/>
      <c r="L255" s="1626"/>
      <c r="M255" s="1626"/>
      <c r="N255" s="1626"/>
      <c r="O255" s="1626"/>
      <c r="P255" s="1627"/>
      <c r="Q255" s="1627"/>
      <c r="R255" s="1626"/>
      <c r="S255" s="1626"/>
      <c r="T255" s="1626"/>
      <c r="U255" s="1626"/>
      <c r="V255" s="1626"/>
      <c r="W255" s="1626"/>
      <c r="X255" s="1626"/>
      <c r="Y255" s="1626"/>
      <c r="Z255" s="1626"/>
    </row>
    <row r="256" spans="1:26" ht="15.75" customHeight="1" x14ac:dyDescent="0.25">
      <c r="A256" s="1626"/>
      <c r="B256" s="1626"/>
      <c r="C256" s="1626"/>
      <c r="D256" s="1626"/>
      <c r="E256" s="1626"/>
      <c r="F256" s="1626"/>
      <c r="G256" s="1626"/>
      <c r="H256" s="1626"/>
      <c r="I256" s="1626"/>
      <c r="J256" s="1626"/>
      <c r="K256" s="1626"/>
      <c r="L256" s="1626"/>
      <c r="M256" s="1626"/>
      <c r="N256" s="1626"/>
      <c r="O256" s="1626"/>
      <c r="P256" s="1627"/>
      <c r="Q256" s="1627"/>
      <c r="R256" s="1626"/>
      <c r="S256" s="1626"/>
      <c r="T256" s="1626"/>
      <c r="U256" s="1626"/>
      <c r="V256" s="1626"/>
      <c r="W256" s="1626"/>
      <c r="X256" s="1626"/>
      <c r="Y256" s="1626"/>
      <c r="Z256" s="1626"/>
    </row>
    <row r="257" spans="1:26" ht="15.75" customHeight="1" x14ac:dyDescent="0.25">
      <c r="A257" s="1626"/>
      <c r="B257" s="1626"/>
      <c r="C257" s="1626"/>
      <c r="D257" s="1626"/>
      <c r="E257" s="1626"/>
      <c r="F257" s="1626"/>
      <c r="G257" s="1626"/>
      <c r="H257" s="1626"/>
      <c r="I257" s="1626"/>
      <c r="J257" s="1626"/>
      <c r="K257" s="1626"/>
      <c r="L257" s="1626"/>
      <c r="M257" s="1626"/>
      <c r="N257" s="1626"/>
      <c r="O257" s="1626"/>
      <c r="P257" s="1627"/>
      <c r="Q257" s="1627"/>
      <c r="R257" s="1626"/>
      <c r="S257" s="1626"/>
      <c r="T257" s="1626"/>
      <c r="U257" s="1626"/>
      <c r="V257" s="1626"/>
      <c r="W257" s="1626"/>
      <c r="X257" s="1626"/>
      <c r="Y257" s="1626"/>
      <c r="Z257" s="1626"/>
    </row>
    <row r="258" spans="1:26" ht="15.75" customHeight="1" x14ac:dyDescent="0.25">
      <c r="A258" s="1626"/>
      <c r="B258" s="1626"/>
      <c r="C258" s="1626"/>
      <c r="D258" s="1626"/>
      <c r="E258" s="1626"/>
      <c r="F258" s="1626"/>
      <c r="G258" s="1626"/>
      <c r="H258" s="1626"/>
      <c r="I258" s="1626"/>
      <c r="J258" s="1626"/>
      <c r="K258" s="1626"/>
      <c r="L258" s="1626"/>
      <c r="M258" s="1626"/>
      <c r="N258" s="1626"/>
      <c r="O258" s="1626"/>
      <c r="P258" s="1627"/>
      <c r="Q258" s="1627"/>
      <c r="R258" s="1626"/>
      <c r="S258" s="1626"/>
      <c r="T258" s="1626"/>
      <c r="U258" s="1626"/>
      <c r="V258" s="1626"/>
      <c r="W258" s="1626"/>
      <c r="X258" s="1626"/>
      <c r="Y258" s="1626"/>
      <c r="Z258" s="1626"/>
    </row>
    <row r="259" spans="1:26" ht="15.75" customHeight="1" x14ac:dyDescent="0.25">
      <c r="A259" s="1626"/>
      <c r="B259" s="1626"/>
      <c r="C259" s="1626"/>
      <c r="D259" s="1626"/>
      <c r="E259" s="1626"/>
      <c r="F259" s="1626"/>
      <c r="G259" s="1626"/>
      <c r="H259" s="1626"/>
      <c r="I259" s="1626"/>
      <c r="J259" s="1626"/>
      <c r="K259" s="1626"/>
      <c r="L259" s="1626"/>
      <c r="M259" s="1626"/>
      <c r="N259" s="1626"/>
      <c r="O259" s="1626"/>
      <c r="P259" s="1627"/>
      <c r="Q259" s="1627"/>
      <c r="R259" s="1626"/>
      <c r="S259" s="1626"/>
      <c r="T259" s="1626"/>
      <c r="U259" s="1626"/>
      <c r="V259" s="1626"/>
      <c r="W259" s="1626"/>
      <c r="X259" s="1626"/>
      <c r="Y259" s="1626"/>
      <c r="Z259" s="1626"/>
    </row>
    <row r="260" spans="1:26" ht="15.75" customHeight="1" x14ac:dyDescent="0.25">
      <c r="A260" s="1626"/>
      <c r="B260" s="1626"/>
      <c r="C260" s="1626"/>
      <c r="D260" s="1626"/>
      <c r="E260" s="1626"/>
      <c r="F260" s="1626"/>
      <c r="G260" s="1626"/>
      <c r="H260" s="1626"/>
      <c r="I260" s="1626"/>
      <c r="J260" s="1626"/>
      <c r="K260" s="1626"/>
      <c r="L260" s="1626"/>
      <c r="M260" s="1626"/>
      <c r="N260" s="1626"/>
      <c r="O260" s="1626"/>
      <c r="P260" s="1627"/>
      <c r="Q260" s="1627"/>
      <c r="R260" s="1626"/>
      <c r="S260" s="1626"/>
      <c r="T260" s="1626"/>
      <c r="U260" s="1626"/>
      <c r="V260" s="1626"/>
      <c r="W260" s="1626"/>
      <c r="X260" s="1626"/>
      <c r="Y260" s="1626"/>
      <c r="Z260" s="1626"/>
    </row>
    <row r="261" spans="1:26" ht="15.75" customHeight="1" x14ac:dyDescent="0.25">
      <c r="A261" s="1626"/>
      <c r="B261" s="1626"/>
      <c r="C261" s="1626"/>
      <c r="D261" s="1626"/>
      <c r="E261" s="1626"/>
      <c r="F261" s="1626"/>
      <c r="G261" s="1626"/>
      <c r="H261" s="1626"/>
      <c r="I261" s="1626"/>
      <c r="J261" s="1626"/>
      <c r="K261" s="1626"/>
      <c r="L261" s="1626"/>
      <c r="M261" s="1626"/>
      <c r="N261" s="1626"/>
      <c r="O261" s="1626"/>
      <c r="P261" s="1627"/>
      <c r="Q261" s="1627"/>
      <c r="R261" s="1626"/>
      <c r="S261" s="1626"/>
      <c r="T261" s="1626"/>
      <c r="U261" s="1626"/>
      <c r="V261" s="1626"/>
      <c r="W261" s="1626"/>
      <c r="X261" s="1626"/>
      <c r="Y261" s="1626"/>
      <c r="Z261" s="1626"/>
    </row>
    <row r="262" spans="1:26" ht="15.75" customHeight="1" x14ac:dyDescent="0.25">
      <c r="A262" s="1626"/>
      <c r="B262" s="1626"/>
      <c r="C262" s="1626"/>
      <c r="D262" s="1626"/>
      <c r="E262" s="1626"/>
      <c r="F262" s="1626"/>
      <c r="G262" s="1626"/>
      <c r="H262" s="1626"/>
      <c r="I262" s="1626"/>
      <c r="J262" s="1626"/>
      <c r="K262" s="1626"/>
      <c r="L262" s="1626"/>
      <c r="M262" s="1626"/>
      <c r="N262" s="1626"/>
      <c r="O262" s="1626"/>
      <c r="P262" s="1627"/>
      <c r="Q262" s="1627"/>
      <c r="R262" s="1626"/>
      <c r="S262" s="1626"/>
      <c r="T262" s="1626"/>
      <c r="U262" s="1626"/>
      <c r="V262" s="1626"/>
      <c r="W262" s="1626"/>
      <c r="X262" s="1626"/>
      <c r="Y262" s="1626"/>
      <c r="Z262" s="1626"/>
    </row>
    <row r="263" spans="1:26" ht="15.75" customHeight="1" x14ac:dyDescent="0.25">
      <c r="A263" s="1626"/>
      <c r="B263" s="1626"/>
      <c r="C263" s="1626"/>
      <c r="D263" s="1626"/>
      <c r="E263" s="1626"/>
      <c r="F263" s="1626"/>
      <c r="G263" s="1626"/>
      <c r="H263" s="1626"/>
      <c r="I263" s="1626"/>
      <c r="J263" s="1626"/>
      <c r="K263" s="1626"/>
      <c r="L263" s="1626"/>
      <c r="M263" s="1626"/>
      <c r="N263" s="1626"/>
      <c r="O263" s="1626"/>
      <c r="P263" s="1627"/>
      <c r="Q263" s="1627"/>
      <c r="R263" s="1626"/>
      <c r="S263" s="1626"/>
      <c r="T263" s="1626"/>
      <c r="U263" s="1626"/>
      <c r="V263" s="1626"/>
      <c r="W263" s="1626"/>
      <c r="X263" s="1626"/>
      <c r="Y263" s="1626"/>
      <c r="Z263" s="1626"/>
    </row>
    <row r="264" spans="1:26" ht="15.75" customHeight="1" x14ac:dyDescent="0.25">
      <c r="A264" s="1626"/>
      <c r="B264" s="1626"/>
      <c r="C264" s="1626"/>
      <c r="D264" s="1626"/>
      <c r="E264" s="1626"/>
      <c r="F264" s="1626"/>
      <c r="G264" s="1626"/>
      <c r="H264" s="1626"/>
      <c r="I264" s="1626"/>
      <c r="J264" s="1626"/>
      <c r="K264" s="1626"/>
      <c r="L264" s="1626"/>
      <c r="M264" s="1626"/>
      <c r="N264" s="1626"/>
      <c r="O264" s="1626"/>
      <c r="P264" s="1627"/>
      <c r="Q264" s="1627"/>
      <c r="R264" s="1626"/>
      <c r="S264" s="1626"/>
      <c r="T264" s="1626"/>
      <c r="U264" s="1626"/>
      <c r="V264" s="1626"/>
      <c r="W264" s="1626"/>
      <c r="X264" s="1626"/>
      <c r="Y264" s="1626"/>
      <c r="Z264" s="1626"/>
    </row>
    <row r="265" spans="1:26" ht="15.75" customHeight="1" x14ac:dyDescent="0.25">
      <c r="A265" s="1626"/>
      <c r="B265" s="1626"/>
      <c r="C265" s="1626"/>
      <c r="D265" s="1626"/>
      <c r="E265" s="1626"/>
      <c r="F265" s="1626"/>
      <c r="G265" s="1626"/>
      <c r="H265" s="1626"/>
      <c r="I265" s="1626"/>
      <c r="J265" s="1626"/>
      <c r="K265" s="1626"/>
      <c r="L265" s="1626"/>
      <c r="M265" s="1626"/>
      <c r="N265" s="1626"/>
      <c r="O265" s="1626"/>
      <c r="P265" s="1627"/>
      <c r="Q265" s="1627"/>
      <c r="R265" s="1626"/>
      <c r="S265" s="1626"/>
      <c r="T265" s="1626"/>
      <c r="U265" s="1626"/>
      <c r="V265" s="1626"/>
      <c r="W265" s="1626"/>
      <c r="X265" s="1626"/>
      <c r="Y265" s="1626"/>
      <c r="Z265" s="1626"/>
    </row>
    <row r="266" spans="1:26" ht="15.75" customHeight="1" x14ac:dyDescent="0.25">
      <c r="A266" s="1626"/>
      <c r="B266" s="1626"/>
      <c r="C266" s="1626"/>
      <c r="D266" s="1626"/>
      <c r="E266" s="1626"/>
      <c r="F266" s="1626"/>
      <c r="G266" s="1626"/>
      <c r="H266" s="1626"/>
      <c r="I266" s="1626"/>
      <c r="J266" s="1626"/>
      <c r="K266" s="1626"/>
      <c r="L266" s="1626"/>
      <c r="M266" s="1626"/>
      <c r="N266" s="1626"/>
      <c r="O266" s="1626"/>
      <c r="P266" s="1627"/>
      <c r="Q266" s="1627"/>
      <c r="R266" s="1626"/>
      <c r="S266" s="1626"/>
      <c r="T266" s="1626"/>
      <c r="U266" s="1626"/>
      <c r="V266" s="1626"/>
      <c r="W266" s="1626"/>
      <c r="X266" s="1626"/>
      <c r="Y266" s="1626"/>
      <c r="Z266" s="1626"/>
    </row>
    <row r="267" spans="1:26" ht="15.75" customHeight="1" x14ac:dyDescent="0.25">
      <c r="A267" s="1626"/>
      <c r="B267" s="1626"/>
      <c r="C267" s="1626"/>
      <c r="D267" s="1626"/>
      <c r="E267" s="1626"/>
      <c r="F267" s="1626"/>
      <c r="G267" s="1626"/>
      <c r="H267" s="1626"/>
      <c r="I267" s="1626"/>
      <c r="J267" s="1626"/>
      <c r="K267" s="1626"/>
      <c r="L267" s="1626"/>
      <c r="M267" s="1626"/>
      <c r="N267" s="1626"/>
      <c r="O267" s="1626"/>
      <c r="P267" s="1627"/>
      <c r="Q267" s="1627"/>
      <c r="R267" s="1626"/>
      <c r="S267" s="1626"/>
      <c r="T267" s="1626"/>
      <c r="U267" s="1626"/>
      <c r="V267" s="1626"/>
      <c r="W267" s="1626"/>
      <c r="X267" s="1626"/>
      <c r="Y267" s="1626"/>
      <c r="Z267" s="1626"/>
    </row>
    <row r="268" spans="1:26" ht="15.75" customHeight="1" x14ac:dyDescent="0.25">
      <c r="A268" s="1626"/>
      <c r="B268" s="1626"/>
      <c r="C268" s="1626"/>
      <c r="D268" s="1626"/>
      <c r="E268" s="1626"/>
      <c r="F268" s="1626"/>
      <c r="G268" s="1626"/>
      <c r="H268" s="1626"/>
      <c r="I268" s="1626"/>
      <c r="J268" s="1626"/>
      <c r="K268" s="1626"/>
      <c r="L268" s="1626"/>
      <c r="M268" s="1626"/>
      <c r="N268" s="1626"/>
      <c r="O268" s="1626"/>
      <c r="P268" s="1627"/>
      <c r="Q268" s="1627"/>
      <c r="R268" s="1626"/>
      <c r="S268" s="1626"/>
      <c r="T268" s="1626"/>
      <c r="U268" s="1626"/>
      <c r="V268" s="1626"/>
      <c r="W268" s="1626"/>
      <c r="X268" s="1626"/>
      <c r="Y268" s="1626"/>
      <c r="Z268" s="1626"/>
    </row>
    <row r="269" spans="1:26" ht="15.75" customHeight="1" x14ac:dyDescent="0.25">
      <c r="A269" s="1626"/>
      <c r="B269" s="1626"/>
      <c r="C269" s="1626"/>
      <c r="D269" s="1626"/>
      <c r="E269" s="1626"/>
      <c r="F269" s="1626"/>
      <c r="G269" s="1626"/>
      <c r="H269" s="1626"/>
      <c r="I269" s="1626"/>
      <c r="J269" s="1626"/>
      <c r="K269" s="1626"/>
      <c r="L269" s="1626"/>
      <c r="M269" s="1626"/>
      <c r="N269" s="1626"/>
      <c r="O269" s="1626"/>
      <c r="P269" s="1627"/>
      <c r="Q269" s="1627"/>
      <c r="R269" s="1626"/>
      <c r="S269" s="1626"/>
      <c r="T269" s="1626"/>
      <c r="U269" s="1626"/>
      <c r="V269" s="1626"/>
      <c r="W269" s="1626"/>
      <c r="X269" s="1626"/>
      <c r="Y269" s="1626"/>
      <c r="Z269" s="1626"/>
    </row>
    <row r="270" spans="1:26" ht="15.75" customHeight="1" x14ac:dyDescent="0.25">
      <c r="A270" s="1626"/>
      <c r="B270" s="1626"/>
      <c r="C270" s="1626"/>
      <c r="D270" s="1626"/>
      <c r="E270" s="1626"/>
      <c r="F270" s="1626"/>
      <c r="G270" s="1626"/>
      <c r="H270" s="1626"/>
      <c r="I270" s="1626"/>
      <c r="J270" s="1626"/>
      <c r="K270" s="1626"/>
      <c r="L270" s="1626"/>
      <c r="M270" s="1626"/>
      <c r="N270" s="1626"/>
      <c r="O270" s="1626"/>
      <c r="P270" s="1627"/>
      <c r="Q270" s="1627"/>
      <c r="R270" s="1626"/>
      <c r="S270" s="1626"/>
      <c r="T270" s="1626"/>
      <c r="U270" s="1626"/>
      <c r="V270" s="1626"/>
      <c r="W270" s="1626"/>
      <c r="X270" s="1626"/>
      <c r="Y270" s="1626"/>
      <c r="Z270" s="1626"/>
    </row>
    <row r="271" spans="1:26" ht="15.75" customHeight="1" x14ac:dyDescent="0.25">
      <c r="A271" s="1626"/>
      <c r="B271" s="1626"/>
      <c r="C271" s="1626"/>
      <c r="D271" s="1626"/>
      <c r="E271" s="1626"/>
      <c r="F271" s="1626"/>
      <c r="G271" s="1626"/>
      <c r="H271" s="1626"/>
      <c r="I271" s="1626"/>
      <c r="J271" s="1626"/>
      <c r="K271" s="1626"/>
      <c r="L271" s="1626"/>
      <c r="M271" s="1626"/>
      <c r="N271" s="1626"/>
      <c r="O271" s="1626"/>
      <c r="P271" s="1627"/>
      <c r="Q271" s="1627"/>
      <c r="R271" s="1626"/>
      <c r="S271" s="1626"/>
      <c r="T271" s="1626"/>
      <c r="U271" s="1626"/>
      <c r="V271" s="1626"/>
      <c r="W271" s="1626"/>
      <c r="X271" s="1626"/>
      <c r="Y271" s="1626"/>
      <c r="Z271" s="1626"/>
    </row>
    <row r="272" spans="1:26" ht="15.75" customHeight="1" x14ac:dyDescent="0.25">
      <c r="A272" s="1626"/>
      <c r="B272" s="1626"/>
      <c r="C272" s="1626"/>
      <c r="D272" s="1626"/>
      <c r="E272" s="1626"/>
      <c r="F272" s="1626"/>
      <c r="G272" s="1626"/>
      <c r="H272" s="1626"/>
      <c r="I272" s="1626"/>
      <c r="J272" s="1626"/>
      <c r="K272" s="1626"/>
      <c r="L272" s="1626"/>
      <c r="M272" s="1626"/>
      <c r="N272" s="1626"/>
      <c r="O272" s="1626"/>
      <c r="P272" s="1627"/>
      <c r="Q272" s="1627"/>
      <c r="R272" s="1626"/>
      <c r="S272" s="1626"/>
      <c r="T272" s="1626"/>
      <c r="U272" s="1626"/>
      <c r="V272" s="1626"/>
      <c r="W272" s="1626"/>
      <c r="X272" s="1626"/>
      <c r="Y272" s="1626"/>
      <c r="Z272" s="1626"/>
    </row>
    <row r="273" spans="1:26" ht="15.75" customHeight="1" x14ac:dyDescent="0.25">
      <c r="A273" s="1626"/>
      <c r="B273" s="1626"/>
      <c r="C273" s="1626"/>
      <c r="D273" s="1626"/>
      <c r="E273" s="1626"/>
      <c r="F273" s="1626"/>
      <c r="G273" s="1626"/>
      <c r="H273" s="1626"/>
      <c r="I273" s="1626"/>
      <c r="J273" s="1626"/>
      <c r="K273" s="1626"/>
      <c r="L273" s="1626"/>
      <c r="M273" s="1626"/>
      <c r="N273" s="1626"/>
      <c r="O273" s="1626"/>
      <c r="P273" s="1627"/>
      <c r="Q273" s="1627"/>
      <c r="R273" s="1626"/>
      <c r="S273" s="1626"/>
      <c r="T273" s="1626"/>
      <c r="U273" s="1626"/>
      <c r="V273" s="1626"/>
      <c r="W273" s="1626"/>
      <c r="X273" s="1626"/>
      <c r="Y273" s="1626"/>
      <c r="Z273" s="1626"/>
    </row>
    <row r="274" spans="1:26" ht="15.75" customHeight="1" x14ac:dyDescent="0.25">
      <c r="A274" s="1626"/>
      <c r="B274" s="1626"/>
      <c r="C274" s="1626"/>
      <c r="D274" s="1626"/>
      <c r="E274" s="1626"/>
      <c r="F274" s="1626"/>
      <c r="G274" s="1626"/>
      <c r="H274" s="1626"/>
      <c r="I274" s="1626"/>
      <c r="J274" s="1626"/>
      <c r="K274" s="1626"/>
      <c r="L274" s="1626"/>
      <c r="M274" s="1626"/>
      <c r="N274" s="1626"/>
      <c r="O274" s="1626"/>
      <c r="P274" s="1627"/>
      <c r="Q274" s="1627"/>
      <c r="R274" s="1626"/>
      <c r="S274" s="1626"/>
      <c r="T274" s="1626"/>
      <c r="U274" s="1626"/>
      <c r="V274" s="1626"/>
      <c r="W274" s="1626"/>
      <c r="X274" s="1626"/>
      <c r="Y274" s="1626"/>
      <c r="Z274" s="1626"/>
    </row>
    <row r="275" spans="1:26" ht="15.75" customHeight="1" x14ac:dyDescent="0.25">
      <c r="A275" s="1626"/>
      <c r="B275" s="1626"/>
      <c r="C275" s="1626"/>
      <c r="D275" s="1626"/>
      <c r="E275" s="1626"/>
      <c r="F275" s="1626"/>
      <c r="G275" s="1626"/>
      <c r="H275" s="1626"/>
      <c r="I275" s="1626"/>
      <c r="J275" s="1626"/>
      <c r="K275" s="1626"/>
      <c r="L275" s="1626"/>
      <c r="M275" s="1626"/>
      <c r="N275" s="1626"/>
      <c r="O275" s="1626"/>
      <c r="P275" s="1627"/>
      <c r="Q275" s="1627"/>
      <c r="R275" s="1626"/>
      <c r="S275" s="1626"/>
      <c r="T275" s="1626"/>
      <c r="U275" s="1626"/>
      <c r="V275" s="1626"/>
      <c r="W275" s="1626"/>
      <c r="X275" s="1626"/>
      <c r="Y275" s="1626"/>
      <c r="Z275" s="1626"/>
    </row>
    <row r="276" spans="1:26" ht="15.75" customHeight="1" x14ac:dyDescent="0.25">
      <c r="A276" s="1626"/>
      <c r="B276" s="1626"/>
      <c r="C276" s="1626"/>
      <c r="D276" s="1626"/>
      <c r="E276" s="1626"/>
      <c r="F276" s="1626"/>
      <c r="G276" s="1626"/>
      <c r="H276" s="1626"/>
      <c r="I276" s="1626"/>
      <c r="J276" s="1626"/>
      <c r="K276" s="1626"/>
      <c r="L276" s="1626"/>
      <c r="M276" s="1626"/>
      <c r="N276" s="1626"/>
      <c r="O276" s="1626"/>
      <c r="P276" s="1627"/>
      <c r="Q276" s="1627"/>
      <c r="R276" s="1626"/>
      <c r="S276" s="1626"/>
      <c r="T276" s="1626"/>
      <c r="U276" s="1626"/>
      <c r="V276" s="1626"/>
      <c r="W276" s="1626"/>
      <c r="X276" s="1626"/>
      <c r="Y276" s="1626"/>
      <c r="Z276" s="1626"/>
    </row>
    <row r="277" spans="1:26" ht="15.75" customHeight="1" x14ac:dyDescent="0.25">
      <c r="A277" s="1626"/>
      <c r="B277" s="1626"/>
      <c r="C277" s="1626"/>
      <c r="D277" s="1626"/>
      <c r="E277" s="1626"/>
      <c r="F277" s="1626"/>
      <c r="G277" s="1626"/>
      <c r="H277" s="1626"/>
      <c r="I277" s="1626"/>
      <c r="J277" s="1626"/>
      <c r="K277" s="1626"/>
      <c r="L277" s="1626"/>
      <c r="M277" s="1626"/>
      <c r="N277" s="1626"/>
      <c r="O277" s="1626"/>
      <c r="P277" s="1627"/>
      <c r="Q277" s="1627"/>
      <c r="R277" s="1626"/>
      <c r="S277" s="1626"/>
      <c r="T277" s="1626"/>
      <c r="U277" s="1626"/>
      <c r="V277" s="1626"/>
      <c r="W277" s="1626"/>
      <c r="X277" s="1626"/>
      <c r="Y277" s="1626"/>
      <c r="Z277" s="1626"/>
    </row>
    <row r="278" spans="1:26" ht="15.75" customHeight="1" x14ac:dyDescent="0.25">
      <c r="A278" s="1626"/>
      <c r="B278" s="1626"/>
      <c r="C278" s="1626"/>
      <c r="D278" s="1626"/>
      <c r="E278" s="1626"/>
      <c r="F278" s="1626"/>
      <c r="G278" s="1626"/>
      <c r="H278" s="1626"/>
      <c r="I278" s="1626"/>
      <c r="J278" s="1626"/>
      <c r="K278" s="1626"/>
      <c r="L278" s="1626"/>
      <c r="M278" s="1626"/>
      <c r="N278" s="1626"/>
      <c r="O278" s="1626"/>
      <c r="P278" s="1627"/>
      <c r="Q278" s="1627"/>
      <c r="R278" s="1626"/>
      <c r="S278" s="1626"/>
      <c r="T278" s="1626"/>
      <c r="U278" s="1626"/>
      <c r="V278" s="1626"/>
      <c r="W278" s="1626"/>
      <c r="X278" s="1626"/>
      <c r="Y278" s="1626"/>
      <c r="Z278" s="1626"/>
    </row>
    <row r="279" spans="1:26" ht="15.75" customHeight="1" x14ac:dyDescent="0.25">
      <c r="A279" s="1626"/>
      <c r="B279" s="1626"/>
      <c r="C279" s="1626"/>
      <c r="D279" s="1626"/>
      <c r="E279" s="1626"/>
      <c r="F279" s="1626"/>
      <c r="G279" s="1626"/>
      <c r="H279" s="1626"/>
      <c r="I279" s="1626"/>
      <c r="J279" s="1626"/>
      <c r="K279" s="1626"/>
      <c r="L279" s="1626"/>
      <c r="M279" s="1626"/>
      <c r="N279" s="1626"/>
      <c r="O279" s="1626"/>
      <c r="P279" s="1627"/>
      <c r="Q279" s="1627"/>
      <c r="R279" s="1626"/>
      <c r="S279" s="1626"/>
      <c r="T279" s="1626"/>
      <c r="U279" s="1626"/>
      <c r="V279" s="1626"/>
      <c r="W279" s="1626"/>
      <c r="X279" s="1626"/>
      <c r="Y279" s="1626"/>
      <c r="Z279" s="1626"/>
    </row>
    <row r="280" spans="1:26" ht="15.75" customHeight="1" x14ac:dyDescent="0.25">
      <c r="A280" s="1626"/>
      <c r="B280" s="1626"/>
      <c r="C280" s="1626"/>
      <c r="D280" s="1626"/>
      <c r="E280" s="1626"/>
      <c r="F280" s="1626"/>
      <c r="G280" s="1626"/>
      <c r="H280" s="1626"/>
      <c r="I280" s="1626"/>
      <c r="J280" s="1626"/>
      <c r="K280" s="1626"/>
      <c r="L280" s="1626"/>
      <c r="M280" s="1626"/>
      <c r="N280" s="1626"/>
      <c r="O280" s="1626"/>
      <c r="P280" s="1627"/>
      <c r="Q280" s="1627"/>
      <c r="R280" s="1626"/>
      <c r="S280" s="1626"/>
      <c r="T280" s="1626"/>
      <c r="U280" s="1626"/>
      <c r="V280" s="1626"/>
      <c r="W280" s="1626"/>
      <c r="X280" s="1626"/>
      <c r="Y280" s="1626"/>
      <c r="Z280" s="1626"/>
    </row>
    <row r="281" spans="1:26" ht="15.75" customHeight="1" x14ac:dyDescent="0.25">
      <c r="A281" s="1626"/>
      <c r="B281" s="1626"/>
      <c r="C281" s="1626"/>
      <c r="D281" s="1626"/>
      <c r="E281" s="1626"/>
      <c r="F281" s="1626"/>
      <c r="G281" s="1626"/>
      <c r="H281" s="1626"/>
      <c r="I281" s="1626"/>
      <c r="J281" s="1626"/>
      <c r="K281" s="1626"/>
      <c r="L281" s="1626"/>
      <c r="M281" s="1626"/>
      <c r="N281" s="1626"/>
      <c r="O281" s="1626"/>
      <c r="P281" s="1627"/>
      <c r="Q281" s="1627"/>
      <c r="R281" s="1626"/>
      <c r="S281" s="1626"/>
      <c r="T281" s="1626"/>
      <c r="U281" s="1626"/>
      <c r="V281" s="1626"/>
      <c r="W281" s="1626"/>
      <c r="X281" s="1626"/>
      <c r="Y281" s="1626"/>
      <c r="Z281" s="1626"/>
    </row>
    <row r="282" spans="1:26" ht="15.75" customHeight="1" x14ac:dyDescent="0.25">
      <c r="A282" s="1626"/>
      <c r="B282" s="1626"/>
      <c r="C282" s="1626"/>
      <c r="D282" s="1626"/>
      <c r="E282" s="1626"/>
      <c r="F282" s="1626"/>
      <c r="G282" s="1626"/>
      <c r="H282" s="1626"/>
      <c r="I282" s="1626"/>
      <c r="J282" s="1626"/>
      <c r="K282" s="1626"/>
      <c r="L282" s="1626"/>
      <c r="M282" s="1626"/>
      <c r="N282" s="1626"/>
      <c r="O282" s="1626"/>
      <c r="P282" s="1627"/>
      <c r="Q282" s="1627"/>
      <c r="R282" s="1626"/>
      <c r="S282" s="1626"/>
      <c r="T282" s="1626"/>
      <c r="U282" s="1626"/>
      <c r="V282" s="1626"/>
      <c r="W282" s="1626"/>
      <c r="X282" s="1626"/>
      <c r="Y282" s="1626"/>
      <c r="Z282" s="1626"/>
    </row>
    <row r="283" spans="1:26" ht="15.75" customHeight="1" x14ac:dyDescent="0.25">
      <c r="A283" s="1626"/>
      <c r="B283" s="1626"/>
      <c r="C283" s="1626"/>
      <c r="D283" s="1626"/>
      <c r="E283" s="1626"/>
      <c r="F283" s="1626"/>
      <c r="G283" s="1626"/>
      <c r="H283" s="1626"/>
      <c r="I283" s="1626"/>
      <c r="J283" s="1626"/>
      <c r="K283" s="1626"/>
      <c r="L283" s="1626"/>
      <c r="M283" s="1626"/>
      <c r="N283" s="1626"/>
      <c r="O283" s="1626"/>
      <c r="P283" s="1627"/>
      <c r="Q283" s="1627"/>
      <c r="R283" s="1626"/>
      <c r="S283" s="1626"/>
      <c r="T283" s="1626"/>
      <c r="U283" s="1626"/>
      <c r="V283" s="1626"/>
      <c r="W283" s="1626"/>
      <c r="X283" s="1626"/>
      <c r="Y283" s="1626"/>
      <c r="Z283" s="1626"/>
    </row>
    <row r="284" spans="1:26" ht="15.75" customHeight="1" x14ac:dyDescent="0.25">
      <c r="A284" s="1626"/>
      <c r="B284" s="1626"/>
      <c r="C284" s="1626"/>
      <c r="D284" s="1626"/>
      <c r="E284" s="1626"/>
      <c r="F284" s="1626"/>
      <c r="G284" s="1626"/>
      <c r="H284" s="1626"/>
      <c r="I284" s="1626"/>
      <c r="J284" s="1626"/>
      <c r="K284" s="1626"/>
      <c r="L284" s="1626"/>
      <c r="M284" s="1626"/>
      <c r="N284" s="1626"/>
      <c r="O284" s="1626"/>
      <c r="P284" s="1627"/>
      <c r="Q284" s="1627"/>
      <c r="R284" s="1626"/>
      <c r="S284" s="1626"/>
      <c r="T284" s="1626"/>
      <c r="U284" s="1626"/>
      <c r="V284" s="1626"/>
      <c r="W284" s="1626"/>
      <c r="X284" s="1626"/>
      <c r="Y284" s="1626"/>
      <c r="Z284" s="1626"/>
    </row>
    <row r="285" spans="1:26" ht="15.75" customHeight="1" x14ac:dyDescent="0.25">
      <c r="A285" s="1626"/>
      <c r="B285" s="1626"/>
      <c r="C285" s="1626"/>
      <c r="D285" s="1626"/>
      <c r="E285" s="1626"/>
      <c r="F285" s="1626"/>
      <c r="G285" s="1626"/>
      <c r="H285" s="1626"/>
      <c r="I285" s="1626"/>
      <c r="J285" s="1626"/>
      <c r="K285" s="1626"/>
      <c r="L285" s="1626"/>
      <c r="M285" s="1626"/>
      <c r="N285" s="1626"/>
      <c r="O285" s="1626"/>
      <c r="P285" s="1627"/>
      <c r="Q285" s="1627"/>
      <c r="R285" s="1626"/>
      <c r="S285" s="1626"/>
      <c r="T285" s="1626"/>
      <c r="U285" s="1626"/>
      <c r="V285" s="1626"/>
      <c r="W285" s="1626"/>
      <c r="X285" s="1626"/>
      <c r="Y285" s="1626"/>
      <c r="Z285" s="1626"/>
    </row>
    <row r="286" spans="1:26" ht="15.75" customHeight="1" x14ac:dyDescent="0.25">
      <c r="A286" s="1626"/>
      <c r="B286" s="1626"/>
      <c r="C286" s="1626"/>
      <c r="D286" s="1626"/>
      <c r="E286" s="1626"/>
      <c r="F286" s="1626"/>
      <c r="G286" s="1626"/>
      <c r="H286" s="1626"/>
      <c r="I286" s="1626"/>
      <c r="J286" s="1626"/>
      <c r="K286" s="1626"/>
      <c r="L286" s="1626"/>
      <c r="M286" s="1626"/>
      <c r="N286" s="1626"/>
      <c r="O286" s="1626"/>
      <c r="P286" s="1627"/>
      <c r="Q286" s="1627"/>
      <c r="R286" s="1626"/>
      <c r="S286" s="1626"/>
      <c r="T286" s="1626"/>
      <c r="U286" s="1626"/>
      <c r="V286" s="1626"/>
      <c r="W286" s="1626"/>
      <c r="X286" s="1626"/>
      <c r="Y286" s="1626"/>
      <c r="Z286" s="1626"/>
    </row>
    <row r="287" spans="1:26" ht="15.75" customHeight="1" x14ac:dyDescent="0.25">
      <c r="A287" s="1626"/>
      <c r="B287" s="1626"/>
      <c r="C287" s="1626"/>
      <c r="D287" s="1626"/>
      <c r="E287" s="1626"/>
      <c r="F287" s="1626"/>
      <c r="G287" s="1626"/>
      <c r="H287" s="1626"/>
      <c r="I287" s="1626"/>
      <c r="J287" s="1626"/>
      <c r="K287" s="1626"/>
      <c r="L287" s="1626"/>
      <c r="M287" s="1626"/>
      <c r="N287" s="1626"/>
      <c r="O287" s="1626"/>
      <c r="P287" s="1627"/>
      <c r="Q287" s="1627"/>
      <c r="R287" s="1626"/>
      <c r="S287" s="1626"/>
      <c r="T287" s="1626"/>
      <c r="U287" s="1626"/>
      <c r="V287" s="1626"/>
      <c r="W287" s="1626"/>
      <c r="X287" s="1626"/>
      <c r="Y287" s="1626"/>
      <c r="Z287" s="1626"/>
    </row>
    <row r="288" spans="1:26" ht="15.75" customHeight="1" x14ac:dyDescent="0.25">
      <c r="A288" s="1626"/>
      <c r="B288" s="1626"/>
      <c r="C288" s="1626"/>
      <c r="D288" s="1626"/>
      <c r="E288" s="1626"/>
      <c r="F288" s="1626"/>
      <c r="G288" s="1626"/>
      <c r="H288" s="1626"/>
      <c r="I288" s="1626"/>
      <c r="J288" s="1626"/>
      <c r="K288" s="1626"/>
      <c r="L288" s="1626"/>
      <c r="M288" s="1626"/>
      <c r="N288" s="1626"/>
      <c r="O288" s="1626"/>
      <c r="P288" s="1627"/>
      <c r="Q288" s="1627"/>
      <c r="R288" s="1626"/>
      <c r="S288" s="1626"/>
      <c r="T288" s="1626"/>
      <c r="U288" s="1626"/>
      <c r="V288" s="1626"/>
      <c r="W288" s="1626"/>
      <c r="X288" s="1626"/>
      <c r="Y288" s="1626"/>
      <c r="Z288" s="1626"/>
    </row>
    <row r="289" spans="1:26" ht="15.75" customHeight="1" x14ac:dyDescent="0.25">
      <c r="A289" s="1626"/>
      <c r="B289" s="1626"/>
      <c r="C289" s="1626"/>
      <c r="D289" s="1626"/>
      <c r="E289" s="1626"/>
      <c r="F289" s="1626"/>
      <c r="G289" s="1626"/>
      <c r="H289" s="1626"/>
      <c r="I289" s="1626"/>
      <c r="J289" s="1626"/>
      <c r="K289" s="1626"/>
      <c r="L289" s="1626"/>
      <c r="M289" s="1626"/>
      <c r="N289" s="1626"/>
      <c r="O289" s="1626"/>
      <c r="P289" s="1627"/>
      <c r="Q289" s="1627"/>
      <c r="R289" s="1626"/>
      <c r="S289" s="1626"/>
      <c r="T289" s="1626"/>
      <c r="U289" s="1626"/>
      <c r="V289" s="1626"/>
      <c r="W289" s="1626"/>
      <c r="X289" s="1626"/>
      <c r="Y289" s="1626"/>
      <c r="Z289" s="1626"/>
    </row>
    <row r="290" spans="1:26" ht="15.75" customHeight="1" x14ac:dyDescent="0.25">
      <c r="A290" s="1626"/>
      <c r="B290" s="1626"/>
      <c r="C290" s="1626"/>
      <c r="D290" s="1626"/>
      <c r="E290" s="1626"/>
      <c r="F290" s="1626"/>
      <c r="G290" s="1626"/>
      <c r="H290" s="1626"/>
      <c r="I290" s="1626"/>
      <c r="J290" s="1626"/>
      <c r="K290" s="1626"/>
      <c r="L290" s="1626"/>
      <c r="M290" s="1626"/>
      <c r="N290" s="1626"/>
      <c r="O290" s="1626"/>
      <c r="P290" s="1627"/>
      <c r="Q290" s="1627"/>
      <c r="R290" s="1626"/>
      <c r="S290" s="1626"/>
      <c r="T290" s="1626"/>
      <c r="U290" s="1626"/>
      <c r="V290" s="1626"/>
      <c r="W290" s="1626"/>
      <c r="X290" s="1626"/>
      <c r="Y290" s="1626"/>
      <c r="Z290" s="1626"/>
    </row>
    <row r="291" spans="1:26" ht="15.75" customHeight="1" x14ac:dyDescent="0.25">
      <c r="A291" s="1626"/>
      <c r="B291" s="1626"/>
      <c r="C291" s="1626"/>
      <c r="D291" s="1626"/>
      <c r="E291" s="1626"/>
      <c r="F291" s="1626"/>
      <c r="G291" s="1626"/>
      <c r="H291" s="1626"/>
      <c r="I291" s="1626"/>
      <c r="J291" s="1626"/>
      <c r="K291" s="1626"/>
      <c r="L291" s="1626"/>
      <c r="M291" s="1626"/>
      <c r="N291" s="1626"/>
      <c r="O291" s="1626"/>
      <c r="P291" s="1627"/>
      <c r="Q291" s="1627"/>
      <c r="R291" s="1626"/>
      <c r="S291" s="1626"/>
      <c r="T291" s="1626"/>
      <c r="U291" s="1626"/>
      <c r="V291" s="1626"/>
      <c r="W291" s="1626"/>
      <c r="X291" s="1626"/>
      <c r="Y291" s="1626"/>
      <c r="Z291" s="1626"/>
    </row>
    <row r="292" spans="1:26" ht="15.75" customHeight="1" x14ac:dyDescent="0.25">
      <c r="A292" s="1626"/>
      <c r="B292" s="1626"/>
      <c r="C292" s="1626"/>
      <c r="D292" s="1626"/>
      <c r="E292" s="1626"/>
      <c r="F292" s="1626"/>
      <c r="G292" s="1626"/>
      <c r="H292" s="1626"/>
      <c r="I292" s="1626"/>
      <c r="J292" s="1626"/>
      <c r="K292" s="1626"/>
      <c r="L292" s="1626"/>
      <c r="M292" s="1626"/>
      <c r="N292" s="1626"/>
      <c r="O292" s="1626"/>
      <c r="P292" s="1627"/>
      <c r="Q292" s="1627"/>
      <c r="R292" s="1626"/>
      <c r="S292" s="1626"/>
      <c r="T292" s="1626"/>
      <c r="U292" s="1626"/>
      <c r="V292" s="1626"/>
      <c r="W292" s="1626"/>
      <c r="X292" s="1626"/>
      <c r="Y292" s="1626"/>
      <c r="Z292" s="1626"/>
    </row>
    <row r="293" spans="1:26" ht="15.75" customHeight="1" x14ac:dyDescent="0.25">
      <c r="A293" s="1626"/>
      <c r="B293" s="1626"/>
      <c r="C293" s="1626"/>
      <c r="D293" s="1626"/>
      <c r="E293" s="1626"/>
      <c r="F293" s="1626"/>
      <c r="G293" s="1626"/>
      <c r="H293" s="1626"/>
      <c r="I293" s="1626"/>
      <c r="J293" s="1626"/>
      <c r="K293" s="1626"/>
      <c r="L293" s="1626"/>
      <c r="M293" s="1626"/>
      <c r="N293" s="1626"/>
      <c r="O293" s="1626"/>
      <c r="P293" s="1627"/>
      <c r="Q293" s="1627"/>
      <c r="R293" s="1626"/>
      <c r="S293" s="1626"/>
      <c r="T293" s="1626"/>
      <c r="U293" s="1626"/>
      <c r="V293" s="1626"/>
      <c r="W293" s="1626"/>
      <c r="X293" s="1626"/>
      <c r="Y293" s="1626"/>
      <c r="Z293" s="1626"/>
    </row>
    <row r="294" spans="1:26" ht="15.75" customHeight="1" x14ac:dyDescent="0.25">
      <c r="A294" s="1626"/>
      <c r="B294" s="1626"/>
      <c r="C294" s="1626"/>
      <c r="D294" s="1626"/>
      <c r="E294" s="1626"/>
      <c r="F294" s="1626"/>
      <c r="G294" s="1626"/>
      <c r="H294" s="1626"/>
      <c r="I294" s="1626"/>
      <c r="J294" s="1626"/>
      <c r="K294" s="1626"/>
      <c r="L294" s="1626"/>
      <c r="M294" s="1626"/>
      <c r="N294" s="1626"/>
      <c r="O294" s="1626"/>
      <c r="P294" s="1627"/>
      <c r="Q294" s="1627"/>
      <c r="R294" s="1626"/>
      <c r="S294" s="1626"/>
      <c r="T294" s="1626"/>
      <c r="U294" s="1626"/>
      <c r="V294" s="1626"/>
      <c r="W294" s="1626"/>
      <c r="X294" s="1626"/>
      <c r="Y294" s="1626"/>
      <c r="Z294" s="1626"/>
    </row>
    <row r="295" spans="1:26" ht="15.75" customHeight="1" x14ac:dyDescent="0.25">
      <c r="A295" s="1626"/>
      <c r="B295" s="1626"/>
      <c r="C295" s="1626"/>
      <c r="D295" s="1626"/>
      <c r="E295" s="1626"/>
      <c r="F295" s="1626"/>
      <c r="G295" s="1626"/>
      <c r="H295" s="1626"/>
      <c r="I295" s="1626"/>
      <c r="J295" s="1626"/>
      <c r="K295" s="1626"/>
      <c r="L295" s="1626"/>
      <c r="M295" s="1626"/>
      <c r="N295" s="1626"/>
      <c r="O295" s="1626"/>
      <c r="P295" s="1627"/>
      <c r="Q295" s="1627"/>
      <c r="R295" s="1626"/>
      <c r="S295" s="1626"/>
      <c r="T295" s="1626"/>
      <c r="U295" s="1626"/>
      <c r="V295" s="1626"/>
      <c r="W295" s="1626"/>
      <c r="X295" s="1626"/>
      <c r="Y295" s="1626"/>
      <c r="Z295" s="1626"/>
    </row>
    <row r="296" spans="1:26" ht="15.75" customHeight="1" x14ac:dyDescent="0.25">
      <c r="A296" s="1626"/>
      <c r="B296" s="1626"/>
      <c r="C296" s="1626"/>
      <c r="D296" s="1626"/>
      <c r="E296" s="1626"/>
      <c r="F296" s="1626"/>
      <c r="G296" s="1626"/>
      <c r="H296" s="1626"/>
      <c r="I296" s="1626"/>
      <c r="J296" s="1626"/>
      <c r="K296" s="1626"/>
      <c r="L296" s="1626"/>
      <c r="M296" s="1626"/>
      <c r="N296" s="1626"/>
      <c r="O296" s="1626"/>
      <c r="P296" s="1627"/>
      <c r="Q296" s="1627"/>
      <c r="R296" s="1626"/>
      <c r="S296" s="1626"/>
      <c r="T296" s="1626"/>
      <c r="U296" s="1626"/>
      <c r="V296" s="1626"/>
      <c r="W296" s="1626"/>
      <c r="X296" s="1626"/>
      <c r="Y296" s="1626"/>
      <c r="Z296" s="1626"/>
    </row>
    <row r="297" spans="1:26" ht="15.75" customHeight="1" x14ac:dyDescent="0.25">
      <c r="A297" s="1626"/>
      <c r="B297" s="1626"/>
      <c r="C297" s="1626"/>
      <c r="D297" s="1626"/>
      <c r="E297" s="1626"/>
      <c r="F297" s="1626"/>
      <c r="G297" s="1626"/>
      <c r="H297" s="1626"/>
      <c r="I297" s="1626"/>
      <c r="J297" s="1626"/>
      <c r="K297" s="1626"/>
      <c r="L297" s="1626"/>
      <c r="M297" s="1626"/>
      <c r="N297" s="1626"/>
      <c r="O297" s="1626"/>
      <c r="P297" s="1627"/>
      <c r="Q297" s="1627"/>
      <c r="R297" s="1626"/>
      <c r="S297" s="1626"/>
      <c r="T297" s="1626"/>
      <c r="U297" s="1626"/>
      <c r="V297" s="1626"/>
      <c r="W297" s="1626"/>
      <c r="X297" s="1626"/>
      <c r="Y297" s="1626"/>
      <c r="Z297" s="1626"/>
    </row>
    <row r="298" spans="1:26" ht="15.75" customHeight="1" x14ac:dyDescent="0.25">
      <c r="A298" s="1626"/>
      <c r="B298" s="1626"/>
      <c r="C298" s="1626"/>
      <c r="D298" s="1626"/>
      <c r="E298" s="1626"/>
      <c r="F298" s="1626"/>
      <c r="G298" s="1626"/>
      <c r="H298" s="1626"/>
      <c r="I298" s="1626"/>
      <c r="J298" s="1626"/>
      <c r="K298" s="1626"/>
      <c r="L298" s="1626"/>
      <c r="M298" s="1626"/>
      <c r="N298" s="1626"/>
      <c r="O298" s="1626"/>
      <c r="P298" s="1627"/>
      <c r="Q298" s="1627"/>
      <c r="R298" s="1626"/>
      <c r="S298" s="1626"/>
      <c r="T298" s="1626"/>
      <c r="U298" s="1626"/>
      <c r="V298" s="1626"/>
      <c r="W298" s="1626"/>
      <c r="X298" s="1626"/>
      <c r="Y298" s="1626"/>
      <c r="Z298" s="1626"/>
    </row>
    <row r="299" spans="1:26" ht="15.75" customHeight="1" x14ac:dyDescent="0.25">
      <c r="A299" s="1626"/>
      <c r="B299" s="1626"/>
      <c r="C299" s="1626"/>
      <c r="D299" s="1626"/>
      <c r="E299" s="1626"/>
      <c r="F299" s="1626"/>
      <c r="G299" s="1626"/>
      <c r="H299" s="1626"/>
      <c r="I299" s="1626"/>
      <c r="J299" s="1626"/>
      <c r="K299" s="1626"/>
      <c r="L299" s="1626"/>
      <c r="M299" s="1626"/>
      <c r="N299" s="1626"/>
      <c r="O299" s="1626"/>
      <c r="P299" s="1627"/>
      <c r="Q299" s="1627"/>
      <c r="R299" s="1626"/>
      <c r="S299" s="1626"/>
      <c r="T299" s="1626"/>
      <c r="U299" s="1626"/>
      <c r="V299" s="1626"/>
      <c r="W299" s="1626"/>
      <c r="X299" s="1626"/>
      <c r="Y299" s="1626"/>
      <c r="Z299" s="1626"/>
    </row>
    <row r="300" spans="1:26" ht="15.75" customHeight="1" x14ac:dyDescent="0.25">
      <c r="A300" s="1626"/>
      <c r="B300" s="1626"/>
      <c r="C300" s="1626"/>
      <c r="D300" s="1626"/>
      <c r="E300" s="1626"/>
      <c r="F300" s="1626"/>
      <c r="G300" s="1626"/>
      <c r="H300" s="1626"/>
      <c r="I300" s="1626"/>
      <c r="J300" s="1626"/>
      <c r="K300" s="1626"/>
      <c r="L300" s="1626"/>
      <c r="M300" s="1626"/>
      <c r="N300" s="1626"/>
      <c r="O300" s="1626"/>
      <c r="P300" s="1627"/>
      <c r="Q300" s="1627"/>
      <c r="R300" s="1626"/>
      <c r="S300" s="1626"/>
      <c r="T300" s="1626"/>
      <c r="U300" s="1626"/>
      <c r="V300" s="1626"/>
      <c r="W300" s="1626"/>
      <c r="X300" s="1626"/>
      <c r="Y300" s="1626"/>
      <c r="Z300" s="1626"/>
    </row>
    <row r="301" spans="1:26" ht="15.75" customHeight="1" x14ac:dyDescent="0.25">
      <c r="A301" s="1626"/>
      <c r="B301" s="1626"/>
      <c r="C301" s="1626"/>
      <c r="D301" s="1626"/>
      <c r="E301" s="1626"/>
      <c r="F301" s="1626"/>
      <c r="G301" s="1626"/>
      <c r="H301" s="1626"/>
      <c r="I301" s="1626"/>
      <c r="J301" s="1626"/>
      <c r="K301" s="1626"/>
      <c r="L301" s="1626"/>
      <c r="M301" s="1626"/>
      <c r="N301" s="1626"/>
      <c r="O301" s="1626"/>
      <c r="P301" s="1627"/>
      <c r="Q301" s="1627"/>
      <c r="R301" s="1626"/>
      <c r="S301" s="1626"/>
      <c r="T301" s="1626"/>
      <c r="U301" s="1626"/>
      <c r="V301" s="1626"/>
      <c r="W301" s="1626"/>
      <c r="X301" s="1626"/>
      <c r="Y301" s="1626"/>
      <c r="Z301" s="1626"/>
    </row>
    <row r="302" spans="1:26" ht="15.75" customHeight="1" x14ac:dyDescent="0.25">
      <c r="A302" s="1626"/>
      <c r="B302" s="1626"/>
      <c r="C302" s="1626"/>
      <c r="D302" s="1626"/>
      <c r="E302" s="1626"/>
      <c r="F302" s="1626"/>
      <c r="G302" s="1626"/>
      <c r="H302" s="1626"/>
      <c r="I302" s="1626"/>
      <c r="J302" s="1626"/>
      <c r="K302" s="1626"/>
      <c r="L302" s="1626"/>
      <c r="M302" s="1626"/>
      <c r="N302" s="1626"/>
      <c r="O302" s="1626"/>
      <c r="P302" s="1627"/>
      <c r="Q302" s="1627"/>
      <c r="R302" s="1626"/>
      <c r="S302" s="1626"/>
      <c r="T302" s="1626"/>
      <c r="U302" s="1626"/>
      <c r="V302" s="1626"/>
      <c r="W302" s="1626"/>
      <c r="X302" s="1626"/>
      <c r="Y302" s="1626"/>
      <c r="Z302" s="1626"/>
    </row>
    <row r="303" spans="1:26" ht="15.75" customHeight="1" x14ac:dyDescent="0.25">
      <c r="A303" s="1626"/>
      <c r="B303" s="1626"/>
      <c r="C303" s="1626"/>
      <c r="D303" s="1626"/>
      <c r="E303" s="1626"/>
      <c r="F303" s="1626"/>
      <c r="G303" s="1626"/>
      <c r="H303" s="1626"/>
      <c r="I303" s="1626"/>
      <c r="J303" s="1626"/>
      <c r="K303" s="1626"/>
      <c r="L303" s="1626"/>
      <c r="M303" s="1626"/>
      <c r="N303" s="1626"/>
      <c r="O303" s="1626"/>
      <c r="P303" s="1627"/>
      <c r="Q303" s="1627"/>
      <c r="R303" s="1626"/>
      <c r="S303" s="1626"/>
      <c r="T303" s="1626"/>
      <c r="U303" s="1626"/>
      <c r="V303" s="1626"/>
      <c r="W303" s="1626"/>
      <c r="X303" s="1626"/>
      <c r="Y303" s="1626"/>
      <c r="Z303" s="1626"/>
    </row>
    <row r="304" spans="1:26" ht="15.75" customHeight="1" x14ac:dyDescent="0.25">
      <c r="A304" s="1626"/>
      <c r="B304" s="1626"/>
      <c r="C304" s="1626"/>
      <c r="D304" s="1626"/>
      <c r="E304" s="1626"/>
      <c r="F304" s="1626"/>
      <c r="G304" s="1626"/>
      <c r="H304" s="1626"/>
      <c r="I304" s="1626"/>
      <c r="J304" s="1626"/>
      <c r="K304" s="1626"/>
      <c r="L304" s="1626"/>
      <c r="M304" s="1626"/>
      <c r="N304" s="1626"/>
      <c r="O304" s="1626"/>
      <c r="P304" s="1627"/>
      <c r="Q304" s="1627"/>
      <c r="R304" s="1626"/>
      <c r="S304" s="1626"/>
      <c r="T304" s="1626"/>
      <c r="U304" s="1626"/>
      <c r="V304" s="1626"/>
      <c r="W304" s="1626"/>
      <c r="X304" s="1626"/>
      <c r="Y304" s="1626"/>
      <c r="Z304" s="1626"/>
    </row>
    <row r="305" spans="1:26" ht="15.75" customHeight="1" x14ac:dyDescent="0.25">
      <c r="A305" s="1626"/>
      <c r="B305" s="1626"/>
      <c r="C305" s="1626"/>
      <c r="D305" s="1626"/>
      <c r="E305" s="1626"/>
      <c r="F305" s="1626"/>
      <c r="G305" s="1626"/>
      <c r="H305" s="1626"/>
      <c r="I305" s="1626"/>
      <c r="J305" s="1626"/>
      <c r="K305" s="1626"/>
      <c r="L305" s="1626"/>
      <c r="M305" s="1626"/>
      <c r="N305" s="1626"/>
      <c r="O305" s="1626"/>
      <c r="P305" s="1627"/>
      <c r="Q305" s="1627"/>
      <c r="R305" s="1626"/>
      <c r="S305" s="1626"/>
      <c r="T305" s="1626"/>
      <c r="U305" s="1626"/>
      <c r="V305" s="1626"/>
      <c r="W305" s="1626"/>
      <c r="X305" s="1626"/>
      <c r="Y305" s="1626"/>
      <c r="Z305" s="1626"/>
    </row>
    <row r="306" spans="1:26" ht="15.75" customHeight="1" x14ac:dyDescent="0.25">
      <c r="A306" s="1626"/>
      <c r="B306" s="1626"/>
      <c r="C306" s="1626"/>
      <c r="D306" s="1626"/>
      <c r="E306" s="1626"/>
      <c r="F306" s="1626"/>
      <c r="G306" s="1626"/>
      <c r="H306" s="1626"/>
      <c r="I306" s="1626"/>
      <c r="J306" s="1626"/>
      <c r="K306" s="1626"/>
      <c r="L306" s="1626"/>
      <c r="M306" s="1626"/>
      <c r="N306" s="1626"/>
      <c r="O306" s="1626"/>
      <c r="P306" s="1627"/>
      <c r="Q306" s="1627"/>
      <c r="R306" s="1626"/>
      <c r="S306" s="1626"/>
      <c r="T306" s="1626"/>
      <c r="U306" s="1626"/>
      <c r="V306" s="1626"/>
      <c r="W306" s="1626"/>
      <c r="X306" s="1626"/>
      <c r="Y306" s="1626"/>
      <c r="Z306" s="1626"/>
    </row>
    <row r="307" spans="1:26" ht="15.75" customHeight="1" x14ac:dyDescent="0.25">
      <c r="A307" s="1626"/>
      <c r="B307" s="1626"/>
      <c r="C307" s="1626"/>
      <c r="D307" s="1626"/>
      <c r="E307" s="1626"/>
      <c r="F307" s="1626"/>
      <c r="G307" s="1626"/>
      <c r="H307" s="1626"/>
      <c r="I307" s="1626"/>
      <c r="J307" s="1626"/>
      <c r="K307" s="1626"/>
      <c r="L307" s="1626"/>
      <c r="M307" s="1626"/>
      <c r="N307" s="1626"/>
      <c r="O307" s="1626"/>
      <c r="P307" s="1627"/>
      <c r="Q307" s="1627"/>
      <c r="R307" s="1626"/>
      <c r="S307" s="1626"/>
      <c r="T307" s="1626"/>
      <c r="U307" s="1626"/>
      <c r="V307" s="1626"/>
      <c r="W307" s="1626"/>
      <c r="X307" s="1626"/>
      <c r="Y307" s="1626"/>
      <c r="Z307" s="1626"/>
    </row>
    <row r="308" spans="1:26" ht="15.75" customHeight="1" x14ac:dyDescent="0.25">
      <c r="A308" s="1626"/>
      <c r="B308" s="1626"/>
      <c r="C308" s="1626"/>
      <c r="D308" s="1626"/>
      <c r="E308" s="1626"/>
      <c r="F308" s="1626"/>
      <c r="G308" s="1626"/>
      <c r="H308" s="1626"/>
      <c r="I308" s="1626"/>
      <c r="J308" s="1626"/>
      <c r="K308" s="1626"/>
      <c r="L308" s="1626"/>
      <c r="M308" s="1626"/>
      <c r="N308" s="1626"/>
      <c r="O308" s="1626"/>
      <c r="P308" s="1627"/>
      <c r="Q308" s="1627"/>
      <c r="R308" s="1626"/>
      <c r="S308" s="1626"/>
      <c r="T308" s="1626"/>
      <c r="U308" s="1626"/>
      <c r="V308" s="1626"/>
      <c r="W308" s="1626"/>
      <c r="X308" s="1626"/>
      <c r="Y308" s="1626"/>
      <c r="Z308" s="1626"/>
    </row>
    <row r="309" spans="1:26" ht="15.75" customHeight="1" x14ac:dyDescent="0.25">
      <c r="A309" s="1626"/>
      <c r="B309" s="1626"/>
      <c r="C309" s="1626"/>
      <c r="D309" s="1626"/>
      <c r="E309" s="1626"/>
      <c r="F309" s="1626"/>
      <c r="G309" s="1626"/>
      <c r="H309" s="1626"/>
      <c r="I309" s="1626"/>
      <c r="J309" s="1626"/>
      <c r="K309" s="1626"/>
      <c r="L309" s="1626"/>
      <c r="M309" s="1626"/>
      <c r="N309" s="1626"/>
      <c r="O309" s="1626"/>
      <c r="P309" s="1627"/>
      <c r="Q309" s="1627"/>
      <c r="R309" s="1626"/>
      <c r="S309" s="1626"/>
      <c r="T309" s="1626"/>
      <c r="U309" s="1626"/>
      <c r="V309" s="1626"/>
      <c r="W309" s="1626"/>
      <c r="X309" s="1626"/>
      <c r="Y309" s="1626"/>
      <c r="Z309" s="1626"/>
    </row>
    <row r="310" spans="1:26" ht="15.75" customHeight="1" x14ac:dyDescent="0.25">
      <c r="A310" s="1626"/>
      <c r="B310" s="1626"/>
      <c r="C310" s="1626"/>
      <c r="D310" s="1626"/>
      <c r="E310" s="1626"/>
      <c r="F310" s="1626"/>
      <c r="G310" s="1626"/>
      <c r="H310" s="1626"/>
      <c r="I310" s="1626"/>
      <c r="J310" s="1626"/>
      <c r="K310" s="1626"/>
      <c r="L310" s="1626"/>
      <c r="M310" s="1626"/>
      <c r="N310" s="1626"/>
      <c r="O310" s="1626"/>
      <c r="P310" s="1627"/>
      <c r="Q310" s="1627"/>
      <c r="R310" s="1626"/>
      <c r="S310" s="1626"/>
      <c r="T310" s="1626"/>
      <c r="U310" s="1626"/>
      <c r="V310" s="1626"/>
      <c r="W310" s="1626"/>
      <c r="X310" s="1626"/>
      <c r="Y310" s="1626"/>
      <c r="Z310" s="1626"/>
    </row>
    <row r="311" spans="1:26" ht="15.75" customHeight="1" x14ac:dyDescent="0.25">
      <c r="A311" s="1626"/>
      <c r="B311" s="1626"/>
      <c r="C311" s="1626"/>
      <c r="D311" s="1626"/>
      <c r="E311" s="1626"/>
      <c r="F311" s="1626"/>
      <c r="G311" s="1626"/>
      <c r="H311" s="1626"/>
      <c r="I311" s="1626"/>
      <c r="J311" s="1626"/>
      <c r="K311" s="1626"/>
      <c r="L311" s="1626"/>
      <c r="M311" s="1626"/>
      <c r="N311" s="1626"/>
      <c r="O311" s="1626"/>
      <c r="P311" s="1627"/>
      <c r="Q311" s="1627"/>
      <c r="R311" s="1626"/>
      <c r="S311" s="1626"/>
      <c r="T311" s="1626"/>
      <c r="U311" s="1626"/>
      <c r="V311" s="1626"/>
      <c r="W311" s="1626"/>
      <c r="X311" s="1626"/>
      <c r="Y311" s="1626"/>
      <c r="Z311" s="1626"/>
    </row>
    <row r="312" spans="1:26" ht="15.75" customHeight="1" x14ac:dyDescent="0.25">
      <c r="A312" s="1626"/>
      <c r="B312" s="1626"/>
      <c r="C312" s="1626"/>
      <c r="D312" s="1626"/>
      <c r="E312" s="1626"/>
      <c r="F312" s="1626"/>
      <c r="G312" s="1626"/>
      <c r="H312" s="1626"/>
      <c r="I312" s="1626"/>
      <c r="J312" s="1626"/>
      <c r="K312" s="1626"/>
      <c r="L312" s="1626"/>
      <c r="M312" s="1626"/>
      <c r="N312" s="1626"/>
      <c r="O312" s="1626"/>
      <c r="P312" s="1627"/>
      <c r="Q312" s="1627"/>
      <c r="R312" s="1626"/>
      <c r="S312" s="1626"/>
      <c r="T312" s="1626"/>
      <c r="U312" s="1626"/>
      <c r="V312" s="1626"/>
      <c r="W312" s="1626"/>
      <c r="X312" s="1626"/>
      <c r="Y312" s="1626"/>
      <c r="Z312" s="1626"/>
    </row>
    <row r="313" spans="1:26" ht="15.75" customHeight="1" x14ac:dyDescent="0.25">
      <c r="A313" s="1626"/>
      <c r="B313" s="1626"/>
      <c r="C313" s="1626"/>
      <c r="D313" s="1626"/>
      <c r="E313" s="1626"/>
      <c r="F313" s="1626"/>
      <c r="G313" s="1626"/>
      <c r="H313" s="1626"/>
      <c r="I313" s="1626"/>
      <c r="J313" s="1626"/>
      <c r="K313" s="1626"/>
      <c r="L313" s="1626"/>
      <c r="M313" s="1626"/>
      <c r="N313" s="1626"/>
      <c r="O313" s="1626"/>
      <c r="P313" s="1627"/>
      <c r="Q313" s="1627"/>
      <c r="R313" s="1626"/>
      <c r="S313" s="1626"/>
      <c r="T313" s="1626"/>
      <c r="U313" s="1626"/>
      <c r="V313" s="1626"/>
      <c r="W313" s="1626"/>
      <c r="X313" s="1626"/>
      <c r="Y313" s="1626"/>
      <c r="Z313" s="1626"/>
    </row>
    <row r="314" spans="1:26" ht="15.75" customHeight="1" x14ac:dyDescent="0.25">
      <c r="A314" s="1626"/>
      <c r="B314" s="1626"/>
      <c r="C314" s="1626"/>
      <c r="D314" s="1626"/>
      <c r="E314" s="1626"/>
      <c r="F314" s="1626"/>
      <c r="G314" s="1626"/>
      <c r="H314" s="1626"/>
      <c r="I314" s="1626"/>
      <c r="J314" s="1626"/>
      <c r="K314" s="1626"/>
      <c r="L314" s="1626"/>
      <c r="M314" s="1626"/>
      <c r="N314" s="1626"/>
      <c r="O314" s="1626"/>
      <c r="P314" s="1627"/>
      <c r="Q314" s="1627"/>
      <c r="R314" s="1626"/>
      <c r="S314" s="1626"/>
      <c r="T314" s="1626"/>
      <c r="U314" s="1626"/>
      <c r="V314" s="1626"/>
      <c r="W314" s="1626"/>
      <c r="X314" s="1626"/>
      <c r="Y314" s="1626"/>
      <c r="Z314" s="1626"/>
    </row>
    <row r="315" spans="1:26" ht="15.75" customHeight="1" x14ac:dyDescent="0.25">
      <c r="A315" s="1626"/>
      <c r="B315" s="1626"/>
      <c r="C315" s="1626"/>
      <c r="D315" s="1626"/>
      <c r="E315" s="1626"/>
      <c r="F315" s="1626"/>
      <c r="G315" s="1626"/>
      <c r="H315" s="1626"/>
      <c r="I315" s="1626"/>
      <c r="J315" s="1626"/>
      <c r="K315" s="1626"/>
      <c r="L315" s="1626"/>
      <c r="M315" s="1626"/>
      <c r="N315" s="1626"/>
      <c r="O315" s="1626"/>
      <c r="P315" s="1627"/>
      <c r="Q315" s="1627"/>
      <c r="R315" s="1626"/>
      <c r="S315" s="1626"/>
      <c r="T315" s="1626"/>
      <c r="U315" s="1626"/>
      <c r="V315" s="1626"/>
      <c r="W315" s="1626"/>
      <c r="X315" s="1626"/>
      <c r="Y315" s="1626"/>
      <c r="Z315" s="1626"/>
    </row>
    <row r="316" spans="1:26" ht="15.75" customHeight="1" x14ac:dyDescent="0.25">
      <c r="A316" s="1626"/>
      <c r="B316" s="1626"/>
      <c r="C316" s="1626"/>
      <c r="D316" s="1626"/>
      <c r="E316" s="1626"/>
      <c r="F316" s="1626"/>
      <c r="G316" s="1626"/>
      <c r="H316" s="1626"/>
      <c r="I316" s="1626"/>
      <c r="J316" s="1626"/>
      <c r="K316" s="1626"/>
      <c r="L316" s="1626"/>
      <c r="M316" s="1626"/>
      <c r="N316" s="1626"/>
      <c r="O316" s="1626"/>
      <c r="P316" s="1627"/>
      <c r="Q316" s="1627"/>
      <c r="R316" s="1626"/>
      <c r="S316" s="1626"/>
      <c r="T316" s="1626"/>
      <c r="U316" s="1626"/>
      <c r="V316" s="1626"/>
      <c r="W316" s="1626"/>
      <c r="X316" s="1626"/>
      <c r="Y316" s="1626"/>
      <c r="Z316" s="1626"/>
    </row>
    <row r="317" spans="1:26" ht="15.75" customHeight="1" x14ac:dyDescent="0.25">
      <c r="A317" s="1626"/>
      <c r="B317" s="1626"/>
      <c r="C317" s="1626"/>
      <c r="D317" s="1626"/>
      <c r="E317" s="1626"/>
      <c r="F317" s="1626"/>
      <c r="G317" s="1626"/>
      <c r="H317" s="1626"/>
      <c r="I317" s="1626"/>
      <c r="J317" s="1626"/>
      <c r="K317" s="1626"/>
      <c r="L317" s="1626"/>
      <c r="M317" s="1626"/>
      <c r="N317" s="1626"/>
      <c r="O317" s="1626"/>
      <c r="P317" s="1627"/>
      <c r="Q317" s="1627"/>
      <c r="R317" s="1626"/>
      <c r="S317" s="1626"/>
      <c r="T317" s="1626"/>
      <c r="U317" s="1626"/>
      <c r="V317" s="1626"/>
      <c r="W317" s="1626"/>
      <c r="X317" s="1626"/>
      <c r="Y317" s="1626"/>
      <c r="Z317" s="1626"/>
    </row>
    <row r="318" spans="1:26" ht="15.75" customHeight="1" x14ac:dyDescent="0.25">
      <c r="A318" s="1626"/>
      <c r="B318" s="1626"/>
      <c r="C318" s="1626"/>
      <c r="D318" s="1626"/>
      <c r="E318" s="1626"/>
      <c r="F318" s="1626"/>
      <c r="G318" s="1626"/>
      <c r="H318" s="1626"/>
      <c r="I318" s="1626"/>
      <c r="J318" s="1626"/>
      <c r="K318" s="1626"/>
      <c r="L318" s="1626"/>
      <c r="M318" s="1626"/>
      <c r="N318" s="1626"/>
      <c r="O318" s="1626"/>
      <c r="P318" s="1627"/>
      <c r="Q318" s="1627"/>
      <c r="R318" s="1626"/>
      <c r="S318" s="1626"/>
      <c r="T318" s="1626"/>
      <c r="U318" s="1626"/>
      <c r="V318" s="1626"/>
      <c r="W318" s="1626"/>
      <c r="X318" s="1626"/>
      <c r="Y318" s="1626"/>
      <c r="Z318" s="1626"/>
    </row>
    <row r="319" spans="1:26" ht="15.75" customHeight="1" x14ac:dyDescent="0.25">
      <c r="A319" s="1626"/>
      <c r="B319" s="1626"/>
      <c r="C319" s="1626"/>
      <c r="D319" s="1626"/>
      <c r="E319" s="1626"/>
      <c r="F319" s="1626"/>
      <c r="G319" s="1626"/>
      <c r="H319" s="1626"/>
      <c r="I319" s="1626"/>
      <c r="J319" s="1626"/>
      <c r="K319" s="1626"/>
      <c r="L319" s="1626"/>
      <c r="M319" s="1626"/>
      <c r="N319" s="1626"/>
      <c r="O319" s="1626"/>
      <c r="P319" s="1627"/>
      <c r="Q319" s="1627"/>
      <c r="R319" s="1626"/>
      <c r="S319" s="1626"/>
      <c r="T319" s="1626"/>
      <c r="U319" s="1626"/>
      <c r="V319" s="1626"/>
      <c r="W319" s="1626"/>
      <c r="X319" s="1626"/>
      <c r="Y319" s="1626"/>
      <c r="Z319" s="1626"/>
    </row>
    <row r="320" spans="1:26" ht="15.75" customHeight="1" x14ac:dyDescent="0.25">
      <c r="A320" s="1626"/>
      <c r="B320" s="1626"/>
      <c r="C320" s="1626"/>
      <c r="D320" s="1626"/>
      <c r="E320" s="1626"/>
      <c r="F320" s="1626"/>
      <c r="G320" s="1626"/>
      <c r="H320" s="1626"/>
      <c r="I320" s="1626"/>
      <c r="J320" s="1626"/>
      <c r="K320" s="1626"/>
      <c r="L320" s="1626"/>
      <c r="M320" s="1626"/>
      <c r="N320" s="1626"/>
      <c r="O320" s="1626"/>
      <c r="P320" s="1627"/>
      <c r="Q320" s="1627"/>
      <c r="R320" s="1626"/>
      <c r="S320" s="1626"/>
      <c r="T320" s="1626"/>
      <c r="U320" s="1626"/>
      <c r="V320" s="1626"/>
      <c r="W320" s="1626"/>
      <c r="X320" s="1626"/>
      <c r="Y320" s="1626"/>
      <c r="Z320" s="1626"/>
    </row>
    <row r="321" spans="1:26" ht="15.75" customHeight="1" x14ac:dyDescent="0.25">
      <c r="A321" s="1626"/>
      <c r="B321" s="1626"/>
      <c r="C321" s="1626"/>
      <c r="D321" s="1626"/>
      <c r="E321" s="1626"/>
      <c r="F321" s="1626"/>
      <c r="G321" s="1626"/>
      <c r="H321" s="1626"/>
      <c r="I321" s="1626"/>
      <c r="J321" s="1626"/>
      <c r="K321" s="1626"/>
      <c r="L321" s="1626"/>
      <c r="M321" s="1626"/>
      <c r="N321" s="1626"/>
      <c r="O321" s="1626"/>
      <c r="P321" s="1627"/>
      <c r="Q321" s="1627"/>
      <c r="R321" s="1626"/>
      <c r="S321" s="1626"/>
      <c r="T321" s="1626"/>
      <c r="U321" s="1626"/>
      <c r="V321" s="1626"/>
      <c r="W321" s="1626"/>
      <c r="X321" s="1626"/>
      <c r="Y321" s="1626"/>
      <c r="Z321" s="1626"/>
    </row>
    <row r="322" spans="1:26" ht="15.75" customHeight="1" x14ac:dyDescent="0.25">
      <c r="A322" s="1626"/>
      <c r="B322" s="1626"/>
      <c r="C322" s="1626"/>
      <c r="D322" s="1626"/>
      <c r="E322" s="1626"/>
      <c r="F322" s="1626"/>
      <c r="G322" s="1626"/>
      <c r="H322" s="1626"/>
      <c r="I322" s="1626"/>
      <c r="J322" s="1626"/>
      <c r="K322" s="1626"/>
      <c r="L322" s="1626"/>
      <c r="M322" s="1626"/>
      <c r="N322" s="1626"/>
      <c r="O322" s="1626"/>
      <c r="P322" s="1627"/>
      <c r="Q322" s="1627"/>
      <c r="R322" s="1626"/>
      <c r="S322" s="1626"/>
      <c r="T322" s="1626"/>
      <c r="U322" s="1626"/>
      <c r="V322" s="1626"/>
      <c r="W322" s="1626"/>
      <c r="X322" s="1626"/>
      <c r="Y322" s="1626"/>
      <c r="Z322" s="1626"/>
    </row>
    <row r="323" spans="1:26" ht="15.75" customHeight="1" x14ac:dyDescent="0.25">
      <c r="A323" s="1626"/>
      <c r="B323" s="1626"/>
      <c r="C323" s="1626"/>
      <c r="D323" s="1626"/>
      <c r="E323" s="1626"/>
      <c r="F323" s="1626"/>
      <c r="G323" s="1626"/>
      <c r="H323" s="1626"/>
      <c r="I323" s="1626"/>
      <c r="J323" s="1626"/>
      <c r="K323" s="1626"/>
      <c r="L323" s="1626"/>
      <c r="M323" s="1626"/>
      <c r="N323" s="1626"/>
      <c r="O323" s="1626"/>
      <c r="P323" s="1627"/>
      <c r="Q323" s="1627"/>
      <c r="R323" s="1626"/>
      <c r="S323" s="1626"/>
      <c r="T323" s="1626"/>
      <c r="U323" s="1626"/>
      <c r="V323" s="1626"/>
      <c r="W323" s="1626"/>
      <c r="X323" s="1626"/>
      <c r="Y323" s="1626"/>
      <c r="Z323" s="1626"/>
    </row>
    <row r="324" spans="1:26" ht="15.75" customHeight="1" x14ac:dyDescent="0.25">
      <c r="A324" s="1626"/>
      <c r="B324" s="1626"/>
      <c r="C324" s="1626"/>
      <c r="D324" s="1626"/>
      <c r="E324" s="1626"/>
      <c r="F324" s="1626"/>
      <c r="G324" s="1626"/>
      <c r="H324" s="1626"/>
      <c r="I324" s="1626"/>
      <c r="J324" s="1626"/>
      <c r="K324" s="1626"/>
      <c r="L324" s="1626"/>
      <c r="M324" s="1626"/>
      <c r="N324" s="1626"/>
      <c r="O324" s="1626"/>
      <c r="P324" s="1627"/>
      <c r="Q324" s="1627"/>
      <c r="R324" s="1626"/>
      <c r="S324" s="1626"/>
      <c r="T324" s="1626"/>
      <c r="U324" s="1626"/>
      <c r="V324" s="1626"/>
      <c r="W324" s="1626"/>
      <c r="X324" s="1626"/>
      <c r="Y324" s="1626"/>
      <c r="Z324" s="1626"/>
    </row>
    <row r="325" spans="1:26" ht="15.75" customHeight="1" x14ac:dyDescent="0.25">
      <c r="A325" s="1626"/>
      <c r="B325" s="1626"/>
      <c r="C325" s="1626"/>
      <c r="D325" s="1626"/>
      <c r="E325" s="1626"/>
      <c r="F325" s="1626"/>
      <c r="G325" s="1626"/>
      <c r="H325" s="1626"/>
      <c r="I325" s="1626"/>
      <c r="J325" s="1626"/>
      <c r="K325" s="1626"/>
      <c r="L325" s="1626"/>
      <c r="M325" s="1626"/>
      <c r="N325" s="1626"/>
      <c r="O325" s="1626"/>
      <c r="P325" s="1627"/>
      <c r="Q325" s="1627"/>
      <c r="R325" s="1626"/>
      <c r="S325" s="1626"/>
      <c r="T325" s="1626"/>
      <c r="U325" s="1626"/>
      <c r="V325" s="1626"/>
      <c r="W325" s="1626"/>
      <c r="X325" s="1626"/>
      <c r="Y325" s="1626"/>
      <c r="Z325" s="1626"/>
    </row>
    <row r="326" spans="1:26" ht="15.75" customHeight="1" x14ac:dyDescent="0.25">
      <c r="A326" s="1626"/>
      <c r="B326" s="1626"/>
      <c r="C326" s="1626"/>
      <c r="D326" s="1626"/>
      <c r="E326" s="1626"/>
      <c r="F326" s="1626"/>
      <c r="G326" s="1626"/>
      <c r="H326" s="1626"/>
      <c r="I326" s="1626"/>
      <c r="J326" s="1626"/>
      <c r="K326" s="1626"/>
      <c r="L326" s="1626"/>
      <c r="M326" s="1626"/>
      <c r="N326" s="1626"/>
      <c r="O326" s="1626"/>
      <c r="P326" s="1627"/>
      <c r="Q326" s="1627"/>
      <c r="R326" s="1626"/>
      <c r="S326" s="1626"/>
      <c r="T326" s="1626"/>
      <c r="U326" s="1626"/>
      <c r="V326" s="1626"/>
      <c r="W326" s="1626"/>
      <c r="X326" s="1626"/>
      <c r="Y326" s="1626"/>
      <c r="Z326" s="1626"/>
    </row>
    <row r="327" spans="1:26" ht="15.75" customHeight="1" x14ac:dyDescent="0.25">
      <c r="A327" s="1626"/>
      <c r="B327" s="1626"/>
      <c r="C327" s="1626"/>
      <c r="D327" s="1626"/>
      <c r="E327" s="1626"/>
      <c r="F327" s="1626"/>
      <c r="G327" s="1626"/>
      <c r="H327" s="1626"/>
      <c r="I327" s="1626"/>
      <c r="J327" s="1626"/>
      <c r="K327" s="1626"/>
      <c r="L327" s="1626"/>
      <c r="M327" s="1626"/>
      <c r="N327" s="1626"/>
      <c r="O327" s="1626"/>
      <c r="P327" s="1627"/>
      <c r="Q327" s="1627"/>
      <c r="R327" s="1626"/>
      <c r="S327" s="1626"/>
      <c r="T327" s="1626"/>
      <c r="U327" s="1626"/>
      <c r="V327" s="1626"/>
      <c r="W327" s="1626"/>
      <c r="X327" s="1626"/>
      <c r="Y327" s="1626"/>
      <c r="Z327" s="1626"/>
    </row>
    <row r="328" spans="1:26" ht="15.75" customHeight="1" x14ac:dyDescent="0.25">
      <c r="A328" s="1626"/>
      <c r="B328" s="1626"/>
      <c r="C328" s="1626"/>
      <c r="D328" s="1626"/>
      <c r="E328" s="1626"/>
      <c r="F328" s="1626"/>
      <c r="G328" s="1626"/>
      <c r="H328" s="1626"/>
      <c r="I328" s="1626"/>
      <c r="J328" s="1626"/>
      <c r="K328" s="1626"/>
      <c r="L328" s="1626"/>
      <c r="M328" s="1626"/>
      <c r="N328" s="1626"/>
      <c r="O328" s="1626"/>
      <c r="P328" s="1627"/>
      <c r="Q328" s="1627"/>
      <c r="R328" s="1626"/>
      <c r="S328" s="1626"/>
      <c r="T328" s="1626"/>
      <c r="U328" s="1626"/>
      <c r="V328" s="1626"/>
      <c r="W328" s="1626"/>
      <c r="X328" s="1626"/>
      <c r="Y328" s="1626"/>
      <c r="Z328" s="1626"/>
    </row>
    <row r="329" spans="1:26" ht="15.75" customHeight="1" x14ac:dyDescent="0.25">
      <c r="A329" s="1626"/>
      <c r="B329" s="1626"/>
      <c r="C329" s="1626"/>
      <c r="D329" s="1626"/>
      <c r="E329" s="1626"/>
      <c r="F329" s="1626"/>
      <c r="G329" s="1626"/>
      <c r="H329" s="1626"/>
      <c r="I329" s="1626"/>
      <c r="J329" s="1626"/>
      <c r="K329" s="1626"/>
      <c r="L329" s="1626"/>
      <c r="M329" s="1626"/>
      <c r="N329" s="1626"/>
      <c r="O329" s="1626"/>
      <c r="P329" s="1627"/>
      <c r="Q329" s="1627"/>
      <c r="R329" s="1626"/>
      <c r="S329" s="1626"/>
      <c r="T329" s="1626"/>
      <c r="U329" s="1626"/>
      <c r="V329" s="1626"/>
      <c r="W329" s="1626"/>
      <c r="X329" s="1626"/>
      <c r="Y329" s="1626"/>
      <c r="Z329" s="1626"/>
    </row>
    <row r="330" spans="1:26" ht="15.75" customHeight="1" x14ac:dyDescent="0.25">
      <c r="A330" s="1626"/>
      <c r="B330" s="1626"/>
      <c r="C330" s="1626"/>
      <c r="D330" s="1626"/>
      <c r="E330" s="1626"/>
      <c r="F330" s="1626"/>
      <c r="G330" s="1626"/>
      <c r="H330" s="1626"/>
      <c r="I330" s="1626"/>
      <c r="J330" s="1626"/>
      <c r="K330" s="1626"/>
      <c r="L330" s="1626"/>
      <c r="M330" s="1626"/>
      <c r="N330" s="1626"/>
      <c r="O330" s="1626"/>
      <c r="P330" s="1627"/>
      <c r="Q330" s="1627"/>
      <c r="R330" s="1626"/>
      <c r="S330" s="1626"/>
      <c r="T330" s="1626"/>
      <c r="U330" s="1626"/>
      <c r="V330" s="1626"/>
      <c r="W330" s="1626"/>
      <c r="X330" s="1626"/>
      <c r="Y330" s="1626"/>
      <c r="Z330" s="1626"/>
    </row>
    <row r="331" spans="1:26" ht="15.75" customHeight="1" x14ac:dyDescent="0.25">
      <c r="A331" s="1626"/>
      <c r="B331" s="1626"/>
      <c r="C331" s="1626"/>
      <c r="D331" s="1626"/>
      <c r="E331" s="1626"/>
      <c r="F331" s="1626"/>
      <c r="G331" s="1626"/>
      <c r="H331" s="1626"/>
      <c r="I331" s="1626"/>
      <c r="J331" s="1626"/>
      <c r="K331" s="1626"/>
      <c r="L331" s="1626"/>
      <c r="M331" s="1626"/>
      <c r="N331" s="1626"/>
      <c r="O331" s="1626"/>
      <c r="P331" s="1627"/>
      <c r="Q331" s="1627"/>
      <c r="R331" s="1626"/>
      <c r="S331" s="1626"/>
      <c r="T331" s="1626"/>
      <c r="U331" s="1626"/>
      <c r="V331" s="1626"/>
      <c r="W331" s="1626"/>
      <c r="X331" s="1626"/>
      <c r="Y331" s="1626"/>
      <c r="Z331" s="1626"/>
    </row>
    <row r="332" spans="1:26" ht="15.75" customHeight="1" x14ac:dyDescent="0.25">
      <c r="A332" s="1626"/>
      <c r="B332" s="1626"/>
      <c r="C332" s="1626"/>
      <c r="D332" s="1626"/>
      <c r="E332" s="1626"/>
      <c r="F332" s="1626"/>
      <c r="G332" s="1626"/>
      <c r="H332" s="1626"/>
      <c r="I332" s="1626"/>
      <c r="J332" s="1626"/>
      <c r="K332" s="1626"/>
      <c r="L332" s="1626"/>
      <c r="M332" s="1626"/>
      <c r="N332" s="1626"/>
      <c r="O332" s="1626"/>
      <c r="P332" s="1627"/>
      <c r="Q332" s="1627"/>
      <c r="R332" s="1626"/>
      <c r="S332" s="1626"/>
      <c r="T332" s="1626"/>
      <c r="U332" s="1626"/>
      <c r="V332" s="1626"/>
      <c r="W332" s="1626"/>
      <c r="X332" s="1626"/>
      <c r="Y332" s="1626"/>
      <c r="Z332" s="1626"/>
    </row>
    <row r="333" spans="1:26" ht="15.75" customHeight="1" x14ac:dyDescent="0.25">
      <c r="A333" s="1626"/>
      <c r="B333" s="1626"/>
      <c r="C333" s="1626"/>
      <c r="D333" s="1626"/>
      <c r="E333" s="1626"/>
      <c r="F333" s="1626"/>
      <c r="G333" s="1626"/>
      <c r="H333" s="1626"/>
      <c r="I333" s="1626"/>
      <c r="J333" s="1626"/>
      <c r="K333" s="1626"/>
      <c r="L333" s="1626"/>
      <c r="M333" s="1626"/>
      <c r="N333" s="1626"/>
      <c r="O333" s="1626"/>
      <c r="P333" s="1627"/>
      <c r="Q333" s="1627"/>
      <c r="R333" s="1626"/>
      <c r="S333" s="1626"/>
      <c r="T333" s="1626"/>
      <c r="U333" s="1626"/>
      <c r="V333" s="1626"/>
      <c r="W333" s="1626"/>
      <c r="X333" s="1626"/>
      <c r="Y333" s="1626"/>
      <c r="Z333" s="1626"/>
    </row>
    <row r="334" spans="1:26" ht="15.75" customHeight="1" x14ac:dyDescent="0.25">
      <c r="A334" s="1626"/>
      <c r="B334" s="1626"/>
      <c r="C334" s="1626"/>
      <c r="D334" s="1626"/>
      <c r="E334" s="1626"/>
      <c r="F334" s="1626"/>
      <c r="G334" s="1626"/>
      <c r="H334" s="1626"/>
      <c r="I334" s="1626"/>
      <c r="J334" s="1626"/>
      <c r="K334" s="1626"/>
      <c r="L334" s="1626"/>
      <c r="M334" s="1626"/>
      <c r="N334" s="1626"/>
      <c r="O334" s="1626"/>
      <c r="P334" s="1627"/>
      <c r="Q334" s="1627"/>
      <c r="R334" s="1626"/>
      <c r="S334" s="1626"/>
      <c r="T334" s="1626"/>
      <c r="U334" s="1626"/>
      <c r="V334" s="1626"/>
      <c r="W334" s="1626"/>
      <c r="X334" s="1626"/>
      <c r="Y334" s="1626"/>
      <c r="Z334" s="1626"/>
    </row>
    <row r="335" spans="1:26" ht="15.75" customHeight="1" x14ac:dyDescent="0.25">
      <c r="A335" s="1626"/>
      <c r="B335" s="1626"/>
      <c r="C335" s="1626"/>
      <c r="D335" s="1626"/>
      <c r="E335" s="1626"/>
      <c r="F335" s="1626"/>
      <c r="G335" s="1626"/>
      <c r="H335" s="1626"/>
      <c r="I335" s="1626"/>
      <c r="J335" s="1626"/>
      <c r="K335" s="1626"/>
      <c r="L335" s="1626"/>
      <c r="M335" s="1626"/>
      <c r="N335" s="1626"/>
      <c r="O335" s="1626"/>
      <c r="P335" s="1627"/>
      <c r="Q335" s="1627"/>
      <c r="R335" s="1626"/>
      <c r="S335" s="1626"/>
      <c r="T335" s="1626"/>
      <c r="U335" s="1626"/>
      <c r="V335" s="1626"/>
      <c r="W335" s="1626"/>
      <c r="X335" s="1626"/>
      <c r="Y335" s="1626"/>
      <c r="Z335" s="1626"/>
    </row>
    <row r="336" spans="1:26" ht="15.75" customHeight="1" x14ac:dyDescent="0.25">
      <c r="A336" s="1626"/>
      <c r="B336" s="1626"/>
      <c r="C336" s="1626"/>
      <c r="D336" s="1626"/>
      <c r="E336" s="1626"/>
      <c r="F336" s="1626"/>
      <c r="G336" s="1626"/>
      <c r="H336" s="1626"/>
      <c r="I336" s="1626"/>
      <c r="J336" s="1626"/>
      <c r="K336" s="1626"/>
      <c r="L336" s="1626"/>
      <c r="M336" s="1626"/>
      <c r="N336" s="1626"/>
      <c r="O336" s="1626"/>
      <c r="P336" s="1627"/>
      <c r="Q336" s="1627"/>
      <c r="R336" s="1626"/>
      <c r="S336" s="1626"/>
      <c r="T336" s="1626"/>
      <c r="U336" s="1626"/>
      <c r="V336" s="1626"/>
      <c r="W336" s="1626"/>
      <c r="X336" s="1626"/>
      <c r="Y336" s="1626"/>
      <c r="Z336" s="1626"/>
    </row>
    <row r="337" spans="1:26" ht="15.75" customHeight="1" x14ac:dyDescent="0.25">
      <c r="A337" s="1626"/>
      <c r="B337" s="1626"/>
      <c r="C337" s="1626"/>
      <c r="D337" s="1626"/>
      <c r="E337" s="1626"/>
      <c r="F337" s="1626"/>
      <c r="G337" s="1626"/>
      <c r="H337" s="1626"/>
      <c r="I337" s="1626"/>
      <c r="J337" s="1626"/>
      <c r="K337" s="1626"/>
      <c r="L337" s="1626"/>
      <c r="M337" s="1626"/>
      <c r="N337" s="1626"/>
      <c r="O337" s="1626"/>
      <c r="P337" s="1627"/>
      <c r="Q337" s="1627"/>
      <c r="R337" s="1626"/>
      <c r="S337" s="1626"/>
      <c r="T337" s="1626"/>
      <c r="U337" s="1626"/>
      <c r="V337" s="1626"/>
      <c r="W337" s="1626"/>
      <c r="X337" s="1626"/>
      <c r="Y337" s="1626"/>
      <c r="Z337" s="1626"/>
    </row>
    <row r="338" spans="1:26" ht="15.75" customHeight="1" x14ac:dyDescent="0.25">
      <c r="A338" s="1626"/>
      <c r="B338" s="1626"/>
      <c r="C338" s="1626"/>
      <c r="D338" s="1626"/>
      <c r="E338" s="1626"/>
      <c r="F338" s="1626"/>
      <c r="G338" s="1626"/>
      <c r="H338" s="1626"/>
      <c r="I338" s="1626"/>
      <c r="J338" s="1626"/>
      <c r="K338" s="1626"/>
      <c r="L338" s="1626"/>
      <c r="M338" s="1626"/>
      <c r="N338" s="1626"/>
      <c r="O338" s="1626"/>
      <c r="P338" s="1627"/>
      <c r="Q338" s="1627"/>
      <c r="R338" s="1626"/>
      <c r="S338" s="1626"/>
      <c r="T338" s="1626"/>
      <c r="U338" s="1626"/>
      <c r="V338" s="1626"/>
      <c r="W338" s="1626"/>
      <c r="X338" s="1626"/>
      <c r="Y338" s="1626"/>
      <c r="Z338" s="1626"/>
    </row>
    <row r="339" spans="1:26" ht="15.75" customHeight="1" x14ac:dyDescent="0.25">
      <c r="A339" s="1626"/>
      <c r="B339" s="1626"/>
      <c r="C339" s="1626"/>
      <c r="D339" s="1626"/>
      <c r="E339" s="1626"/>
      <c r="F339" s="1626"/>
      <c r="G339" s="1626"/>
      <c r="H339" s="1626"/>
      <c r="I339" s="1626"/>
      <c r="J339" s="1626"/>
      <c r="K339" s="1626"/>
      <c r="L339" s="1626"/>
      <c r="M339" s="1626"/>
      <c r="N339" s="1626"/>
      <c r="O339" s="1626"/>
      <c r="P339" s="1627"/>
      <c r="Q339" s="1627"/>
      <c r="R339" s="1626"/>
      <c r="S339" s="1626"/>
      <c r="T339" s="1626"/>
      <c r="U339" s="1626"/>
      <c r="V339" s="1626"/>
      <c r="W339" s="1626"/>
      <c r="X339" s="1626"/>
      <c r="Y339" s="1626"/>
      <c r="Z339" s="1626"/>
    </row>
    <row r="340" spans="1:26" ht="15.75" customHeight="1" x14ac:dyDescent="0.25">
      <c r="A340" s="1626"/>
      <c r="B340" s="1626"/>
      <c r="C340" s="1626"/>
      <c r="D340" s="1626"/>
      <c r="E340" s="1626"/>
      <c r="F340" s="1626"/>
      <c r="G340" s="1626"/>
      <c r="H340" s="1626"/>
      <c r="I340" s="1626"/>
      <c r="J340" s="1626"/>
      <c r="K340" s="1626"/>
      <c r="L340" s="1626"/>
      <c r="M340" s="1626"/>
      <c r="N340" s="1626"/>
      <c r="O340" s="1626"/>
      <c r="P340" s="1627"/>
      <c r="Q340" s="1627"/>
      <c r="R340" s="1626"/>
      <c r="S340" s="1626"/>
      <c r="T340" s="1626"/>
      <c r="U340" s="1626"/>
      <c r="V340" s="1626"/>
      <c r="W340" s="1626"/>
      <c r="X340" s="1626"/>
      <c r="Y340" s="1626"/>
      <c r="Z340" s="1626"/>
    </row>
    <row r="341" spans="1:26" ht="15.75" customHeight="1" x14ac:dyDescent="0.25">
      <c r="A341" s="1626"/>
      <c r="B341" s="1626"/>
      <c r="C341" s="1626"/>
      <c r="D341" s="1626"/>
      <c r="E341" s="1626"/>
      <c r="F341" s="1626"/>
      <c r="G341" s="1626"/>
      <c r="H341" s="1626"/>
      <c r="I341" s="1626"/>
      <c r="J341" s="1626"/>
      <c r="K341" s="1626"/>
      <c r="L341" s="1626"/>
      <c r="M341" s="1626"/>
      <c r="N341" s="1626"/>
      <c r="O341" s="1626"/>
      <c r="P341" s="1627"/>
      <c r="Q341" s="1627"/>
      <c r="R341" s="1626"/>
      <c r="S341" s="1626"/>
      <c r="T341" s="1626"/>
      <c r="U341" s="1626"/>
      <c r="V341" s="1626"/>
      <c r="W341" s="1626"/>
      <c r="X341" s="1626"/>
      <c r="Y341" s="1626"/>
      <c r="Z341" s="1626"/>
    </row>
    <row r="342" spans="1:26" ht="15.75" customHeight="1" x14ac:dyDescent="0.25">
      <c r="A342" s="1626"/>
      <c r="B342" s="1626"/>
      <c r="C342" s="1626"/>
      <c r="D342" s="1626"/>
      <c r="E342" s="1626"/>
      <c r="F342" s="1626"/>
      <c r="G342" s="1626"/>
      <c r="H342" s="1626"/>
      <c r="I342" s="1626"/>
      <c r="J342" s="1626"/>
      <c r="K342" s="1626"/>
      <c r="L342" s="1626"/>
      <c r="M342" s="1626"/>
      <c r="N342" s="1626"/>
      <c r="O342" s="1626"/>
      <c r="P342" s="1627"/>
      <c r="Q342" s="1627"/>
      <c r="R342" s="1626"/>
      <c r="S342" s="1626"/>
      <c r="T342" s="1626"/>
      <c r="U342" s="1626"/>
      <c r="V342" s="1626"/>
      <c r="W342" s="1626"/>
      <c r="X342" s="1626"/>
      <c r="Y342" s="1626"/>
      <c r="Z342" s="1626"/>
    </row>
    <row r="343" spans="1:26" ht="15.75" customHeight="1" x14ac:dyDescent="0.25">
      <c r="A343" s="1626"/>
      <c r="B343" s="1626"/>
      <c r="C343" s="1626"/>
      <c r="D343" s="1626"/>
      <c r="E343" s="1626"/>
      <c r="F343" s="1626"/>
      <c r="G343" s="1626"/>
      <c r="H343" s="1626"/>
      <c r="I343" s="1626"/>
      <c r="J343" s="1626"/>
      <c r="K343" s="1626"/>
      <c r="L343" s="1626"/>
      <c r="M343" s="1626"/>
      <c r="N343" s="1626"/>
      <c r="O343" s="1626"/>
      <c r="P343" s="1627"/>
      <c r="Q343" s="1627"/>
      <c r="R343" s="1626"/>
      <c r="S343" s="1626"/>
      <c r="T343" s="1626"/>
      <c r="U343" s="1626"/>
      <c r="V343" s="1626"/>
      <c r="W343" s="1626"/>
      <c r="X343" s="1626"/>
      <c r="Y343" s="1626"/>
      <c r="Z343" s="1626"/>
    </row>
    <row r="344" spans="1:26" ht="15.75" customHeight="1" x14ac:dyDescent="0.25">
      <c r="A344" s="1626"/>
      <c r="B344" s="1626"/>
      <c r="C344" s="1626"/>
      <c r="D344" s="1626"/>
      <c r="E344" s="1626"/>
      <c r="F344" s="1626"/>
      <c r="G344" s="1626"/>
      <c r="H344" s="1626"/>
      <c r="I344" s="1626"/>
      <c r="J344" s="1626"/>
      <c r="K344" s="1626"/>
      <c r="L344" s="1626"/>
      <c r="M344" s="1626"/>
      <c r="N344" s="1626"/>
      <c r="O344" s="1626"/>
      <c r="P344" s="1627"/>
      <c r="Q344" s="1627"/>
      <c r="R344" s="1626"/>
      <c r="S344" s="1626"/>
      <c r="T344" s="1626"/>
      <c r="U344" s="1626"/>
      <c r="V344" s="1626"/>
      <c r="W344" s="1626"/>
      <c r="X344" s="1626"/>
      <c r="Y344" s="1626"/>
      <c r="Z344" s="1626"/>
    </row>
    <row r="345" spans="1:26" ht="15.75" customHeight="1" x14ac:dyDescent="0.25">
      <c r="A345" s="1626"/>
      <c r="B345" s="1626"/>
      <c r="C345" s="1626"/>
      <c r="D345" s="1626"/>
      <c r="E345" s="1626"/>
      <c r="F345" s="1626"/>
      <c r="G345" s="1626"/>
      <c r="H345" s="1626"/>
      <c r="I345" s="1626"/>
      <c r="J345" s="1626"/>
      <c r="K345" s="1626"/>
      <c r="L345" s="1626"/>
      <c r="M345" s="1626"/>
      <c r="N345" s="1626"/>
      <c r="O345" s="1626"/>
      <c r="P345" s="1627"/>
      <c r="Q345" s="1627"/>
      <c r="R345" s="1626"/>
      <c r="S345" s="1626"/>
      <c r="T345" s="1626"/>
      <c r="U345" s="1626"/>
      <c r="V345" s="1626"/>
      <c r="W345" s="1626"/>
      <c r="X345" s="1626"/>
      <c r="Y345" s="1626"/>
      <c r="Z345" s="1626"/>
    </row>
    <row r="346" spans="1:26" ht="15.75" customHeight="1" x14ac:dyDescent="0.25">
      <c r="A346" s="1626"/>
      <c r="B346" s="1626"/>
      <c r="C346" s="1626"/>
      <c r="D346" s="1626"/>
      <c r="E346" s="1626"/>
      <c r="F346" s="1626"/>
      <c r="G346" s="1626"/>
      <c r="H346" s="1626"/>
      <c r="I346" s="1626"/>
      <c r="J346" s="1626"/>
      <c r="K346" s="1626"/>
      <c r="L346" s="1626"/>
      <c r="M346" s="1626"/>
      <c r="N346" s="1626"/>
      <c r="O346" s="1626"/>
      <c r="P346" s="1627"/>
      <c r="Q346" s="1627"/>
      <c r="R346" s="1626"/>
      <c r="S346" s="1626"/>
      <c r="T346" s="1626"/>
      <c r="U346" s="1626"/>
      <c r="V346" s="1626"/>
      <c r="W346" s="1626"/>
      <c r="X346" s="1626"/>
      <c r="Y346" s="1626"/>
      <c r="Z346" s="1626"/>
    </row>
    <row r="347" spans="1:26" ht="15.75" customHeight="1" x14ac:dyDescent="0.25">
      <c r="A347" s="1626"/>
      <c r="B347" s="1626"/>
      <c r="C347" s="1626"/>
      <c r="D347" s="1626"/>
      <c r="E347" s="1626"/>
      <c r="F347" s="1626"/>
      <c r="G347" s="1626"/>
      <c r="H347" s="1626"/>
      <c r="I347" s="1626"/>
      <c r="J347" s="1626"/>
      <c r="K347" s="1626"/>
      <c r="L347" s="1626"/>
      <c r="M347" s="1626"/>
      <c r="N347" s="1626"/>
      <c r="O347" s="1626"/>
      <c r="P347" s="1627"/>
      <c r="Q347" s="1627"/>
      <c r="R347" s="1626"/>
      <c r="S347" s="1626"/>
      <c r="T347" s="1626"/>
      <c r="U347" s="1626"/>
      <c r="V347" s="1626"/>
      <c r="W347" s="1626"/>
      <c r="X347" s="1626"/>
      <c r="Y347" s="1626"/>
      <c r="Z347" s="1626"/>
    </row>
    <row r="348" spans="1:26" ht="15.75" customHeight="1" x14ac:dyDescent="0.25">
      <c r="A348" s="1626"/>
      <c r="B348" s="1626"/>
      <c r="C348" s="1626"/>
      <c r="D348" s="1626"/>
      <c r="E348" s="1626"/>
      <c r="F348" s="1626"/>
      <c r="G348" s="1626"/>
      <c r="H348" s="1626"/>
      <c r="I348" s="1626"/>
      <c r="J348" s="1626"/>
      <c r="K348" s="1626"/>
      <c r="L348" s="1626"/>
      <c r="M348" s="1626"/>
      <c r="N348" s="1626"/>
      <c r="O348" s="1626"/>
      <c r="P348" s="1627"/>
      <c r="Q348" s="1627"/>
      <c r="R348" s="1626"/>
      <c r="S348" s="1626"/>
      <c r="T348" s="1626"/>
      <c r="U348" s="1626"/>
      <c r="V348" s="1626"/>
      <c r="W348" s="1626"/>
      <c r="X348" s="1626"/>
      <c r="Y348" s="1626"/>
      <c r="Z348" s="1626"/>
    </row>
    <row r="349" spans="1:26" ht="15.75" customHeight="1" x14ac:dyDescent="0.25">
      <c r="A349" s="1626"/>
      <c r="B349" s="1626"/>
      <c r="C349" s="1626"/>
      <c r="D349" s="1626"/>
      <c r="E349" s="1626"/>
      <c r="F349" s="1626"/>
      <c r="G349" s="1626"/>
      <c r="H349" s="1626"/>
      <c r="I349" s="1626"/>
      <c r="J349" s="1626"/>
      <c r="K349" s="1626"/>
      <c r="L349" s="1626"/>
      <c r="M349" s="1626"/>
      <c r="N349" s="1626"/>
      <c r="O349" s="1626"/>
      <c r="P349" s="1627"/>
      <c r="Q349" s="1627"/>
      <c r="R349" s="1626"/>
      <c r="S349" s="1626"/>
      <c r="T349" s="1626"/>
      <c r="U349" s="1626"/>
      <c r="V349" s="1626"/>
      <c r="W349" s="1626"/>
      <c r="X349" s="1626"/>
      <c r="Y349" s="1626"/>
      <c r="Z349" s="1626"/>
    </row>
    <row r="350" spans="1:26" ht="15.75" customHeight="1" x14ac:dyDescent="0.25">
      <c r="A350" s="1626"/>
      <c r="B350" s="1626"/>
      <c r="C350" s="1626"/>
      <c r="D350" s="1626"/>
      <c r="E350" s="1626"/>
      <c r="F350" s="1626"/>
      <c r="G350" s="1626"/>
      <c r="H350" s="1626"/>
      <c r="I350" s="1626"/>
      <c r="J350" s="1626"/>
      <c r="K350" s="1626"/>
      <c r="L350" s="1626"/>
      <c r="M350" s="1626"/>
      <c r="N350" s="1626"/>
      <c r="O350" s="1626"/>
      <c r="P350" s="1627"/>
      <c r="Q350" s="1627"/>
      <c r="R350" s="1626"/>
      <c r="S350" s="1626"/>
      <c r="T350" s="1626"/>
      <c r="U350" s="1626"/>
      <c r="V350" s="1626"/>
      <c r="W350" s="1626"/>
      <c r="X350" s="1626"/>
      <c r="Y350" s="1626"/>
      <c r="Z350" s="1626"/>
    </row>
    <row r="351" spans="1:26" ht="15.75" customHeight="1" x14ac:dyDescent="0.25">
      <c r="A351" s="1626"/>
      <c r="B351" s="1626"/>
      <c r="C351" s="1626"/>
      <c r="D351" s="1626"/>
      <c r="E351" s="1626"/>
      <c r="F351" s="1626"/>
      <c r="G351" s="1626"/>
      <c r="H351" s="1626"/>
      <c r="I351" s="1626"/>
      <c r="J351" s="1626"/>
      <c r="K351" s="1626"/>
      <c r="L351" s="1626"/>
      <c r="M351" s="1626"/>
      <c r="N351" s="1626"/>
      <c r="O351" s="1626"/>
      <c r="P351" s="1627"/>
      <c r="Q351" s="1627"/>
      <c r="R351" s="1626"/>
      <c r="S351" s="1626"/>
      <c r="T351" s="1626"/>
      <c r="U351" s="1626"/>
      <c r="V351" s="1626"/>
      <c r="W351" s="1626"/>
      <c r="X351" s="1626"/>
      <c r="Y351" s="1626"/>
      <c r="Z351" s="1626"/>
    </row>
    <row r="352" spans="1:26" ht="15.75" customHeight="1" x14ac:dyDescent="0.25">
      <c r="A352" s="1626"/>
      <c r="B352" s="1626"/>
      <c r="C352" s="1626"/>
      <c r="D352" s="1626"/>
      <c r="E352" s="1626"/>
      <c r="F352" s="1626"/>
      <c r="G352" s="1626"/>
      <c r="H352" s="1626"/>
      <c r="I352" s="1626"/>
      <c r="J352" s="1626"/>
      <c r="K352" s="1626"/>
      <c r="L352" s="1626"/>
      <c r="M352" s="1626"/>
      <c r="N352" s="1626"/>
      <c r="O352" s="1626"/>
      <c r="P352" s="1627"/>
      <c r="Q352" s="1627"/>
      <c r="R352" s="1626"/>
      <c r="S352" s="1626"/>
      <c r="T352" s="1626"/>
      <c r="U352" s="1626"/>
      <c r="V352" s="1626"/>
      <c r="W352" s="1626"/>
      <c r="X352" s="1626"/>
      <c r="Y352" s="1626"/>
      <c r="Z352" s="1626"/>
    </row>
    <row r="353" spans="1:26" ht="15.75" customHeight="1" x14ac:dyDescent="0.25">
      <c r="A353" s="1626"/>
      <c r="B353" s="1626"/>
      <c r="C353" s="1626"/>
      <c r="D353" s="1626"/>
      <c r="E353" s="1626"/>
      <c r="F353" s="1626"/>
      <c r="G353" s="1626"/>
      <c r="H353" s="1626"/>
      <c r="I353" s="1626"/>
      <c r="J353" s="1626"/>
      <c r="K353" s="1626"/>
      <c r="L353" s="1626"/>
      <c r="M353" s="1626"/>
      <c r="N353" s="1626"/>
      <c r="O353" s="1626"/>
      <c r="P353" s="1627"/>
      <c r="Q353" s="1627"/>
      <c r="R353" s="1626"/>
      <c r="S353" s="1626"/>
      <c r="T353" s="1626"/>
      <c r="U353" s="1626"/>
      <c r="V353" s="1626"/>
      <c r="W353" s="1626"/>
      <c r="X353" s="1626"/>
      <c r="Y353" s="1626"/>
      <c r="Z353" s="1626"/>
    </row>
    <row r="354" spans="1:26" ht="15.75" customHeight="1" x14ac:dyDescent="0.25">
      <c r="A354" s="1626"/>
      <c r="B354" s="1626"/>
      <c r="C354" s="1626"/>
      <c r="D354" s="1626"/>
      <c r="E354" s="1626"/>
      <c r="F354" s="1626"/>
      <c r="G354" s="1626"/>
      <c r="H354" s="1626"/>
      <c r="I354" s="1626"/>
      <c r="J354" s="1626"/>
      <c r="K354" s="1626"/>
      <c r="L354" s="1626"/>
      <c r="M354" s="1626"/>
      <c r="N354" s="1626"/>
      <c r="O354" s="1626"/>
      <c r="P354" s="1627"/>
      <c r="Q354" s="1627"/>
      <c r="R354" s="1626"/>
      <c r="S354" s="1626"/>
      <c r="T354" s="1626"/>
      <c r="U354" s="1626"/>
      <c r="V354" s="1626"/>
      <c r="W354" s="1626"/>
      <c r="X354" s="1626"/>
      <c r="Y354" s="1626"/>
      <c r="Z354" s="1626"/>
    </row>
    <row r="355" spans="1:26" ht="15.75" customHeight="1" x14ac:dyDescent="0.25">
      <c r="A355" s="1626"/>
      <c r="B355" s="1626"/>
      <c r="C355" s="1626"/>
      <c r="D355" s="1626"/>
      <c r="E355" s="1626"/>
      <c r="F355" s="1626"/>
      <c r="G355" s="1626"/>
      <c r="H355" s="1626"/>
      <c r="I355" s="1626"/>
      <c r="J355" s="1626"/>
      <c r="K355" s="1626"/>
      <c r="L355" s="1626"/>
      <c r="M355" s="1626"/>
      <c r="N355" s="1626"/>
      <c r="O355" s="1626"/>
      <c r="P355" s="1627"/>
      <c r="Q355" s="1627"/>
      <c r="R355" s="1626"/>
      <c r="S355" s="1626"/>
      <c r="T355" s="1626"/>
      <c r="U355" s="1626"/>
      <c r="V355" s="1626"/>
      <c r="W355" s="1626"/>
      <c r="X355" s="1626"/>
      <c r="Y355" s="1626"/>
      <c r="Z355" s="1626"/>
    </row>
    <row r="356" spans="1:26" ht="15.75" customHeight="1" x14ac:dyDescent="0.25">
      <c r="A356" s="1626"/>
      <c r="B356" s="1626"/>
      <c r="C356" s="1626"/>
      <c r="D356" s="1626"/>
      <c r="E356" s="1626"/>
      <c r="F356" s="1626"/>
      <c r="G356" s="1626"/>
      <c r="H356" s="1626"/>
      <c r="I356" s="1626"/>
      <c r="J356" s="1626"/>
      <c r="K356" s="1626"/>
      <c r="L356" s="1626"/>
      <c r="M356" s="1626"/>
      <c r="N356" s="1626"/>
      <c r="O356" s="1626"/>
      <c r="P356" s="1627"/>
      <c r="Q356" s="1627"/>
      <c r="R356" s="1626"/>
      <c r="S356" s="1626"/>
      <c r="T356" s="1626"/>
      <c r="U356" s="1626"/>
      <c r="V356" s="1626"/>
      <c r="W356" s="1626"/>
      <c r="X356" s="1626"/>
      <c r="Y356" s="1626"/>
      <c r="Z356" s="1626"/>
    </row>
    <row r="357" spans="1:26" ht="15.75" customHeight="1" x14ac:dyDescent="0.25">
      <c r="A357" s="1626"/>
      <c r="B357" s="1626"/>
      <c r="C357" s="1626"/>
      <c r="D357" s="1626"/>
      <c r="E357" s="1626"/>
      <c r="F357" s="1626"/>
      <c r="G357" s="1626"/>
      <c r="H357" s="1626"/>
      <c r="I357" s="1626"/>
      <c r="J357" s="1626"/>
      <c r="K357" s="1626"/>
      <c r="L357" s="1626"/>
      <c r="M357" s="1626"/>
      <c r="N357" s="1626"/>
      <c r="O357" s="1626"/>
      <c r="P357" s="1627"/>
      <c r="Q357" s="1627"/>
      <c r="R357" s="1626"/>
      <c r="S357" s="1626"/>
      <c r="T357" s="1626"/>
      <c r="U357" s="1626"/>
      <c r="V357" s="1626"/>
      <c r="W357" s="1626"/>
      <c r="X357" s="1626"/>
      <c r="Y357" s="1626"/>
      <c r="Z357" s="1626"/>
    </row>
    <row r="358" spans="1:26" ht="15.75" customHeight="1" x14ac:dyDescent="0.25">
      <c r="A358" s="1626"/>
      <c r="B358" s="1626"/>
      <c r="C358" s="1626"/>
      <c r="D358" s="1626"/>
      <c r="E358" s="1626"/>
      <c r="F358" s="1626"/>
      <c r="G358" s="1626"/>
      <c r="H358" s="1626"/>
      <c r="I358" s="1626"/>
      <c r="J358" s="1626"/>
      <c r="K358" s="1626"/>
      <c r="L358" s="1626"/>
      <c r="M358" s="1626"/>
      <c r="N358" s="1626"/>
      <c r="O358" s="1626"/>
      <c r="P358" s="1627"/>
      <c r="Q358" s="1627"/>
      <c r="R358" s="1626"/>
      <c r="S358" s="1626"/>
      <c r="T358" s="1626"/>
      <c r="U358" s="1626"/>
      <c r="V358" s="1626"/>
      <c r="W358" s="1626"/>
      <c r="X358" s="1626"/>
      <c r="Y358" s="1626"/>
      <c r="Z358" s="1626"/>
    </row>
    <row r="359" spans="1:26" ht="15.75" customHeight="1" x14ac:dyDescent="0.25">
      <c r="A359" s="1626"/>
      <c r="B359" s="1626"/>
      <c r="C359" s="1626"/>
      <c r="D359" s="1626"/>
      <c r="E359" s="1626"/>
      <c r="F359" s="1626"/>
      <c r="G359" s="1626"/>
      <c r="H359" s="1626"/>
      <c r="I359" s="1626"/>
      <c r="J359" s="1626"/>
      <c r="K359" s="1626"/>
      <c r="L359" s="1626"/>
      <c r="M359" s="1626"/>
      <c r="N359" s="1626"/>
      <c r="O359" s="1626"/>
      <c r="P359" s="1627"/>
      <c r="Q359" s="1627"/>
      <c r="R359" s="1626"/>
      <c r="S359" s="1626"/>
      <c r="T359" s="1626"/>
      <c r="U359" s="1626"/>
      <c r="V359" s="1626"/>
      <c r="W359" s="1626"/>
      <c r="X359" s="1626"/>
      <c r="Y359" s="1626"/>
      <c r="Z359" s="1626"/>
    </row>
    <row r="360" spans="1:26" ht="15.75" customHeight="1" x14ac:dyDescent="0.25">
      <c r="A360" s="1626"/>
      <c r="B360" s="1626"/>
      <c r="C360" s="1626"/>
      <c r="D360" s="1626"/>
      <c r="E360" s="1626"/>
      <c r="F360" s="1626"/>
      <c r="G360" s="1626"/>
      <c r="H360" s="1626"/>
      <c r="I360" s="1626"/>
      <c r="J360" s="1626"/>
      <c r="K360" s="1626"/>
      <c r="L360" s="1626"/>
      <c r="M360" s="1626"/>
      <c r="N360" s="1626"/>
      <c r="O360" s="1626"/>
      <c r="P360" s="1627"/>
      <c r="Q360" s="1627"/>
      <c r="R360" s="1626"/>
      <c r="S360" s="1626"/>
      <c r="T360" s="1626"/>
      <c r="U360" s="1626"/>
      <c r="V360" s="1626"/>
      <c r="W360" s="1626"/>
      <c r="X360" s="1626"/>
      <c r="Y360" s="1626"/>
      <c r="Z360" s="1626"/>
    </row>
    <row r="361" spans="1:26" ht="15.75" customHeight="1" x14ac:dyDescent="0.25">
      <c r="A361" s="1626"/>
      <c r="B361" s="1626"/>
      <c r="C361" s="1626"/>
      <c r="D361" s="1626"/>
      <c r="E361" s="1626"/>
      <c r="F361" s="1626"/>
      <c r="G361" s="1626"/>
      <c r="H361" s="1626"/>
      <c r="I361" s="1626"/>
      <c r="J361" s="1626"/>
      <c r="K361" s="1626"/>
      <c r="L361" s="1626"/>
      <c r="M361" s="1626"/>
      <c r="N361" s="1626"/>
      <c r="O361" s="1626"/>
      <c r="P361" s="1627"/>
      <c r="Q361" s="1627"/>
      <c r="R361" s="1626"/>
      <c r="S361" s="1626"/>
      <c r="T361" s="1626"/>
      <c r="U361" s="1626"/>
      <c r="V361" s="1626"/>
      <c r="W361" s="1626"/>
      <c r="X361" s="1626"/>
      <c r="Y361" s="1626"/>
      <c r="Z361" s="1626"/>
    </row>
    <row r="362" spans="1:26" ht="15.75" customHeight="1" x14ac:dyDescent="0.25">
      <c r="A362" s="1626"/>
      <c r="B362" s="1626"/>
      <c r="C362" s="1626"/>
      <c r="D362" s="1626"/>
      <c r="E362" s="1626"/>
      <c r="F362" s="1626"/>
      <c r="G362" s="1626"/>
      <c r="H362" s="1626"/>
      <c r="I362" s="1626"/>
      <c r="J362" s="1626"/>
      <c r="K362" s="1626"/>
      <c r="L362" s="1626"/>
      <c r="M362" s="1626"/>
      <c r="N362" s="1626"/>
      <c r="O362" s="1626"/>
      <c r="P362" s="1627"/>
      <c r="Q362" s="1627"/>
      <c r="R362" s="1626"/>
      <c r="S362" s="1626"/>
      <c r="T362" s="1626"/>
      <c r="U362" s="1626"/>
      <c r="V362" s="1626"/>
      <c r="W362" s="1626"/>
      <c r="X362" s="1626"/>
      <c r="Y362" s="1626"/>
      <c r="Z362" s="1626"/>
    </row>
    <row r="363" spans="1:26" ht="15.75" customHeight="1" x14ac:dyDescent="0.25">
      <c r="A363" s="1626"/>
      <c r="B363" s="1626"/>
      <c r="C363" s="1626"/>
      <c r="D363" s="1626"/>
      <c r="E363" s="1626"/>
      <c r="F363" s="1626"/>
      <c r="G363" s="1626"/>
      <c r="H363" s="1626"/>
      <c r="I363" s="1626"/>
      <c r="J363" s="1626"/>
      <c r="K363" s="1626"/>
      <c r="L363" s="1626"/>
      <c r="M363" s="1626"/>
      <c r="N363" s="1626"/>
      <c r="O363" s="1626"/>
      <c r="P363" s="1627"/>
      <c r="Q363" s="1627"/>
      <c r="R363" s="1626"/>
      <c r="S363" s="1626"/>
      <c r="T363" s="1626"/>
      <c r="U363" s="1626"/>
      <c r="V363" s="1626"/>
      <c r="W363" s="1626"/>
      <c r="X363" s="1626"/>
      <c r="Y363" s="1626"/>
      <c r="Z363" s="1626"/>
    </row>
    <row r="364" spans="1:26" ht="15.75" customHeight="1" x14ac:dyDescent="0.25">
      <c r="A364" s="1626"/>
      <c r="B364" s="1626"/>
      <c r="C364" s="1626"/>
      <c r="D364" s="1626"/>
      <c r="E364" s="1626"/>
      <c r="F364" s="1626"/>
      <c r="G364" s="1626"/>
      <c r="H364" s="1626"/>
      <c r="I364" s="1626"/>
      <c r="J364" s="1626"/>
      <c r="K364" s="1626"/>
      <c r="L364" s="1626"/>
      <c r="M364" s="1626"/>
      <c r="N364" s="1626"/>
      <c r="O364" s="1626"/>
      <c r="P364" s="1627"/>
      <c r="Q364" s="1627"/>
      <c r="R364" s="1626"/>
      <c r="S364" s="1626"/>
      <c r="T364" s="1626"/>
      <c r="U364" s="1626"/>
      <c r="V364" s="1626"/>
      <c r="W364" s="1626"/>
      <c r="X364" s="1626"/>
      <c r="Y364" s="1626"/>
      <c r="Z364" s="1626"/>
    </row>
    <row r="365" spans="1:26" ht="15.75" customHeight="1" x14ac:dyDescent="0.25">
      <c r="A365" s="1626"/>
      <c r="B365" s="1626"/>
      <c r="C365" s="1626"/>
      <c r="D365" s="1626"/>
      <c r="E365" s="1626"/>
      <c r="F365" s="1626"/>
      <c r="G365" s="1626"/>
      <c r="H365" s="1626"/>
      <c r="I365" s="1626"/>
      <c r="J365" s="1626"/>
      <c r="K365" s="1626"/>
      <c r="L365" s="1626"/>
      <c r="M365" s="1626"/>
      <c r="N365" s="1626"/>
      <c r="O365" s="1626"/>
      <c r="P365" s="1627"/>
      <c r="Q365" s="1627"/>
      <c r="R365" s="1626"/>
      <c r="S365" s="1626"/>
      <c r="T365" s="1626"/>
      <c r="U365" s="1626"/>
      <c r="V365" s="1626"/>
      <c r="W365" s="1626"/>
      <c r="X365" s="1626"/>
      <c r="Y365" s="1626"/>
      <c r="Z365" s="1626"/>
    </row>
    <row r="366" spans="1:26" ht="15.75" customHeight="1" x14ac:dyDescent="0.25">
      <c r="A366" s="1626"/>
      <c r="B366" s="1626"/>
      <c r="C366" s="1626"/>
      <c r="D366" s="1626"/>
      <c r="E366" s="1626"/>
      <c r="F366" s="1626"/>
      <c r="G366" s="1626"/>
      <c r="H366" s="1626"/>
      <c r="I366" s="1626"/>
      <c r="J366" s="1626"/>
      <c r="K366" s="1626"/>
      <c r="L366" s="1626"/>
      <c r="M366" s="1626"/>
      <c r="N366" s="1626"/>
      <c r="O366" s="1626"/>
      <c r="P366" s="1627"/>
      <c r="Q366" s="1627"/>
      <c r="R366" s="1626"/>
      <c r="S366" s="1626"/>
      <c r="T366" s="1626"/>
      <c r="U366" s="1626"/>
      <c r="V366" s="1626"/>
      <c r="W366" s="1626"/>
      <c r="X366" s="1626"/>
      <c r="Y366" s="1626"/>
      <c r="Z366" s="1626"/>
    </row>
    <row r="367" spans="1:26" ht="15.75" customHeight="1" x14ac:dyDescent="0.25">
      <c r="A367" s="1626"/>
      <c r="B367" s="1626"/>
      <c r="C367" s="1626"/>
      <c r="D367" s="1626"/>
      <c r="E367" s="1626"/>
      <c r="F367" s="1626"/>
      <c r="G367" s="1626"/>
      <c r="H367" s="1626"/>
      <c r="I367" s="1626"/>
      <c r="J367" s="1626"/>
      <c r="K367" s="1626"/>
      <c r="L367" s="1626"/>
      <c r="M367" s="1626"/>
      <c r="N367" s="1626"/>
      <c r="O367" s="1626"/>
      <c r="P367" s="1627"/>
      <c r="Q367" s="1627"/>
      <c r="R367" s="1626"/>
      <c r="S367" s="1626"/>
      <c r="T367" s="1626"/>
      <c r="U367" s="1626"/>
      <c r="V367" s="1626"/>
      <c r="W367" s="1626"/>
      <c r="X367" s="1626"/>
      <c r="Y367" s="1626"/>
      <c r="Z367" s="1626"/>
    </row>
    <row r="368" spans="1:26" ht="15.75" customHeight="1" x14ac:dyDescent="0.25">
      <c r="A368" s="1626"/>
      <c r="B368" s="1626"/>
      <c r="C368" s="1626"/>
      <c r="D368" s="1626"/>
      <c r="E368" s="1626"/>
      <c r="F368" s="1626"/>
      <c r="G368" s="1626"/>
      <c r="H368" s="1626"/>
      <c r="I368" s="1626"/>
      <c r="J368" s="1626"/>
      <c r="K368" s="1626"/>
      <c r="L368" s="1626"/>
      <c r="M368" s="1626"/>
      <c r="N368" s="1626"/>
      <c r="O368" s="1626"/>
      <c r="P368" s="1627"/>
      <c r="Q368" s="1627"/>
      <c r="R368" s="1626"/>
      <c r="S368" s="1626"/>
      <c r="T368" s="1626"/>
      <c r="U368" s="1626"/>
      <c r="V368" s="1626"/>
      <c r="W368" s="1626"/>
      <c r="X368" s="1626"/>
      <c r="Y368" s="1626"/>
      <c r="Z368" s="1626"/>
    </row>
    <row r="369" spans="1:26" ht="15.75" customHeight="1" x14ac:dyDescent="0.25">
      <c r="A369" s="1626"/>
      <c r="B369" s="1626"/>
      <c r="C369" s="1626"/>
      <c r="D369" s="1626"/>
      <c r="E369" s="1626"/>
      <c r="F369" s="1626"/>
      <c r="G369" s="1626"/>
      <c r="H369" s="1626"/>
      <c r="I369" s="1626"/>
      <c r="J369" s="1626"/>
      <c r="K369" s="1626"/>
      <c r="L369" s="1626"/>
      <c r="M369" s="1626"/>
      <c r="N369" s="1626"/>
      <c r="O369" s="1626"/>
      <c r="P369" s="1627"/>
      <c r="Q369" s="1627"/>
      <c r="R369" s="1626"/>
      <c r="S369" s="1626"/>
      <c r="T369" s="1626"/>
      <c r="U369" s="1626"/>
      <c r="V369" s="1626"/>
      <c r="W369" s="1626"/>
      <c r="X369" s="1626"/>
      <c r="Y369" s="1626"/>
      <c r="Z369" s="1626"/>
    </row>
    <row r="370" spans="1:26" ht="15.75" customHeight="1" x14ac:dyDescent="0.25">
      <c r="A370" s="1626"/>
      <c r="B370" s="1626"/>
      <c r="C370" s="1626"/>
      <c r="D370" s="1626"/>
      <c r="E370" s="1626"/>
      <c r="F370" s="1626"/>
      <c r="G370" s="1626"/>
      <c r="H370" s="1626"/>
      <c r="I370" s="1626"/>
      <c r="J370" s="1626"/>
      <c r="K370" s="1626"/>
      <c r="L370" s="1626"/>
      <c r="M370" s="1626"/>
      <c r="N370" s="1626"/>
      <c r="O370" s="1626"/>
      <c r="P370" s="1627"/>
      <c r="Q370" s="1627"/>
      <c r="R370" s="1626"/>
      <c r="S370" s="1626"/>
      <c r="T370" s="1626"/>
      <c r="U370" s="1626"/>
      <c r="V370" s="1626"/>
      <c r="W370" s="1626"/>
      <c r="X370" s="1626"/>
      <c r="Y370" s="1626"/>
      <c r="Z370" s="1626"/>
    </row>
    <row r="371" spans="1:26" ht="15.75" customHeight="1" x14ac:dyDescent="0.25">
      <c r="A371" s="1626"/>
      <c r="B371" s="1626"/>
      <c r="C371" s="1626"/>
      <c r="D371" s="1626"/>
      <c r="E371" s="1626"/>
      <c r="F371" s="1626"/>
      <c r="G371" s="1626"/>
      <c r="H371" s="1626"/>
      <c r="I371" s="1626"/>
      <c r="J371" s="1626"/>
      <c r="K371" s="1626"/>
      <c r="L371" s="1626"/>
      <c r="M371" s="1626"/>
      <c r="N371" s="1626"/>
      <c r="O371" s="1626"/>
      <c r="P371" s="1627"/>
      <c r="Q371" s="1627"/>
      <c r="R371" s="1626"/>
      <c r="S371" s="1626"/>
      <c r="T371" s="1626"/>
      <c r="U371" s="1626"/>
      <c r="V371" s="1626"/>
      <c r="W371" s="1626"/>
      <c r="X371" s="1626"/>
      <c r="Y371" s="1626"/>
      <c r="Z371" s="1626"/>
    </row>
    <row r="372" spans="1:26" ht="15.75" customHeight="1" x14ac:dyDescent="0.25">
      <c r="A372" s="1626"/>
      <c r="B372" s="1626"/>
      <c r="C372" s="1626"/>
      <c r="D372" s="1626"/>
      <c r="E372" s="1626"/>
      <c r="F372" s="1626"/>
      <c r="G372" s="1626"/>
      <c r="H372" s="1626"/>
      <c r="I372" s="1626"/>
      <c r="J372" s="1626"/>
      <c r="K372" s="1626"/>
      <c r="L372" s="1626"/>
      <c r="M372" s="1626"/>
      <c r="N372" s="1626"/>
      <c r="O372" s="1626"/>
      <c r="P372" s="1627"/>
      <c r="Q372" s="1627"/>
      <c r="R372" s="1626"/>
      <c r="S372" s="1626"/>
      <c r="T372" s="1626"/>
      <c r="U372" s="1626"/>
      <c r="V372" s="1626"/>
      <c r="W372" s="1626"/>
      <c r="X372" s="1626"/>
      <c r="Y372" s="1626"/>
      <c r="Z372" s="1626"/>
    </row>
    <row r="373" spans="1:26" ht="15.75" customHeight="1" x14ac:dyDescent="0.25">
      <c r="A373" s="1626"/>
      <c r="B373" s="1626"/>
      <c r="C373" s="1626"/>
      <c r="D373" s="1626"/>
      <c r="E373" s="1626"/>
      <c r="F373" s="1626"/>
      <c r="G373" s="1626"/>
      <c r="H373" s="1626"/>
      <c r="I373" s="1626"/>
      <c r="J373" s="1626"/>
      <c r="K373" s="1626"/>
      <c r="L373" s="1626"/>
      <c r="M373" s="1626"/>
      <c r="N373" s="1626"/>
      <c r="O373" s="1626"/>
      <c r="P373" s="1627"/>
      <c r="Q373" s="1627"/>
      <c r="R373" s="1626"/>
      <c r="S373" s="1626"/>
      <c r="T373" s="1626"/>
      <c r="U373" s="1626"/>
      <c r="V373" s="1626"/>
      <c r="W373" s="1626"/>
      <c r="X373" s="1626"/>
      <c r="Y373" s="1626"/>
      <c r="Z373" s="1626"/>
    </row>
    <row r="374" spans="1:26" ht="15.75" customHeight="1" x14ac:dyDescent="0.25">
      <c r="A374" s="1626"/>
      <c r="B374" s="1626"/>
      <c r="C374" s="1626"/>
      <c r="D374" s="1626"/>
      <c r="E374" s="1626"/>
      <c r="F374" s="1626"/>
      <c r="G374" s="1626"/>
      <c r="H374" s="1626"/>
      <c r="I374" s="1626"/>
      <c r="J374" s="1626"/>
      <c r="K374" s="1626"/>
      <c r="L374" s="1626"/>
      <c r="M374" s="1626"/>
      <c r="N374" s="1626"/>
      <c r="O374" s="1626"/>
      <c r="P374" s="1627"/>
      <c r="Q374" s="1627"/>
      <c r="R374" s="1626"/>
      <c r="S374" s="1626"/>
      <c r="T374" s="1626"/>
      <c r="U374" s="1626"/>
      <c r="V374" s="1626"/>
      <c r="W374" s="1626"/>
      <c r="X374" s="1626"/>
      <c r="Y374" s="1626"/>
      <c r="Z374" s="1626"/>
    </row>
    <row r="375" spans="1:26" ht="15.75" customHeight="1" x14ac:dyDescent="0.25">
      <c r="A375" s="1626"/>
      <c r="B375" s="1626"/>
      <c r="C375" s="1626"/>
      <c r="D375" s="1626"/>
      <c r="E375" s="1626"/>
      <c r="F375" s="1626"/>
      <c r="G375" s="1626"/>
      <c r="H375" s="1626"/>
      <c r="I375" s="1626"/>
      <c r="J375" s="1626"/>
      <c r="K375" s="1626"/>
      <c r="L375" s="1626"/>
      <c r="M375" s="1626"/>
      <c r="N375" s="1626"/>
      <c r="O375" s="1626"/>
      <c r="P375" s="1627"/>
      <c r="Q375" s="1627"/>
      <c r="R375" s="1626"/>
      <c r="S375" s="1626"/>
      <c r="T375" s="1626"/>
      <c r="U375" s="1626"/>
      <c r="V375" s="1626"/>
      <c r="W375" s="1626"/>
      <c r="X375" s="1626"/>
      <c r="Y375" s="1626"/>
      <c r="Z375" s="1626"/>
    </row>
    <row r="376" spans="1:26" ht="15.75" customHeight="1" x14ac:dyDescent="0.25">
      <c r="A376" s="1626"/>
      <c r="B376" s="1626"/>
      <c r="C376" s="1626"/>
      <c r="D376" s="1626"/>
      <c r="E376" s="1626"/>
      <c r="F376" s="1626"/>
      <c r="G376" s="1626"/>
      <c r="H376" s="1626"/>
      <c r="I376" s="1626"/>
      <c r="J376" s="1626"/>
      <c r="K376" s="1626"/>
      <c r="L376" s="1626"/>
      <c r="M376" s="1626"/>
      <c r="N376" s="1626"/>
      <c r="O376" s="1626"/>
      <c r="P376" s="1627"/>
      <c r="Q376" s="1627"/>
      <c r="R376" s="1626"/>
      <c r="S376" s="1626"/>
      <c r="T376" s="1626"/>
      <c r="U376" s="1626"/>
      <c r="V376" s="1626"/>
      <c r="W376" s="1626"/>
      <c r="X376" s="1626"/>
      <c r="Y376" s="1626"/>
      <c r="Z376" s="1626"/>
    </row>
    <row r="377" spans="1:26" ht="15.75" customHeight="1" x14ac:dyDescent="0.25">
      <c r="A377" s="1626"/>
      <c r="B377" s="1626"/>
      <c r="C377" s="1626"/>
      <c r="D377" s="1626"/>
      <c r="E377" s="1626"/>
      <c r="F377" s="1626"/>
      <c r="G377" s="1626"/>
      <c r="H377" s="1626"/>
      <c r="I377" s="1626"/>
      <c r="J377" s="1626"/>
      <c r="K377" s="1626"/>
      <c r="L377" s="1626"/>
      <c r="M377" s="1626"/>
      <c r="N377" s="1626"/>
      <c r="O377" s="1626"/>
      <c r="P377" s="1627"/>
      <c r="Q377" s="1627"/>
      <c r="R377" s="1626"/>
      <c r="S377" s="1626"/>
      <c r="T377" s="1626"/>
      <c r="U377" s="1626"/>
      <c r="V377" s="1626"/>
      <c r="W377" s="1626"/>
      <c r="X377" s="1626"/>
      <c r="Y377" s="1626"/>
      <c r="Z377" s="1626"/>
    </row>
    <row r="378" spans="1:26" ht="15.75" customHeight="1" x14ac:dyDescent="0.25">
      <c r="A378" s="1626"/>
      <c r="B378" s="1626"/>
      <c r="C378" s="1626"/>
      <c r="D378" s="1626"/>
      <c r="E378" s="1626"/>
      <c r="F378" s="1626"/>
      <c r="G378" s="1626"/>
      <c r="H378" s="1626"/>
      <c r="I378" s="1626"/>
      <c r="J378" s="1626"/>
      <c r="K378" s="1626"/>
      <c r="L378" s="1626"/>
      <c r="M378" s="1626"/>
      <c r="N378" s="1626"/>
      <c r="O378" s="1626"/>
      <c r="P378" s="1627"/>
      <c r="Q378" s="1627"/>
      <c r="R378" s="1626"/>
      <c r="S378" s="1626"/>
      <c r="T378" s="1626"/>
      <c r="U378" s="1626"/>
      <c r="V378" s="1626"/>
      <c r="W378" s="1626"/>
      <c r="X378" s="1626"/>
      <c r="Y378" s="1626"/>
      <c r="Z378" s="1626"/>
    </row>
    <row r="379" spans="1:26" ht="15.75" customHeight="1" x14ac:dyDescent="0.25">
      <c r="A379" s="1626"/>
      <c r="B379" s="1626"/>
      <c r="C379" s="1626"/>
      <c r="D379" s="1626"/>
      <c r="E379" s="1626"/>
      <c r="F379" s="1626"/>
      <c r="G379" s="1626"/>
      <c r="H379" s="1626"/>
      <c r="I379" s="1626"/>
      <c r="J379" s="1626"/>
      <c r="K379" s="1626"/>
      <c r="L379" s="1626"/>
      <c r="M379" s="1626"/>
      <c r="N379" s="1626"/>
      <c r="O379" s="1626"/>
      <c r="P379" s="1627"/>
      <c r="Q379" s="1627"/>
      <c r="R379" s="1626"/>
      <c r="S379" s="1626"/>
      <c r="T379" s="1626"/>
      <c r="U379" s="1626"/>
      <c r="V379" s="1626"/>
      <c r="W379" s="1626"/>
      <c r="X379" s="1626"/>
      <c r="Y379" s="1626"/>
      <c r="Z379" s="1626"/>
    </row>
    <row r="380" spans="1:26" ht="15.75" customHeight="1" x14ac:dyDescent="0.25">
      <c r="A380" s="1626"/>
      <c r="B380" s="1626"/>
      <c r="C380" s="1626"/>
      <c r="D380" s="1626"/>
      <c r="E380" s="1626"/>
      <c r="F380" s="1626"/>
      <c r="G380" s="1626"/>
      <c r="H380" s="1626"/>
      <c r="I380" s="1626"/>
      <c r="J380" s="1626"/>
      <c r="K380" s="1626"/>
      <c r="L380" s="1626"/>
      <c r="M380" s="1626"/>
      <c r="N380" s="1626"/>
      <c r="O380" s="1626"/>
      <c r="P380" s="1627"/>
      <c r="Q380" s="1627"/>
      <c r="R380" s="1626"/>
      <c r="S380" s="1626"/>
      <c r="T380" s="1626"/>
      <c r="U380" s="1626"/>
      <c r="V380" s="1626"/>
      <c r="W380" s="1626"/>
      <c r="X380" s="1626"/>
      <c r="Y380" s="1626"/>
      <c r="Z380" s="1626"/>
    </row>
    <row r="381" spans="1:26" ht="15.75" customHeight="1" x14ac:dyDescent="0.25">
      <c r="A381" s="1626"/>
      <c r="B381" s="1626"/>
      <c r="C381" s="1626"/>
      <c r="D381" s="1626"/>
      <c r="E381" s="1626"/>
      <c r="F381" s="1626"/>
      <c r="G381" s="1626"/>
      <c r="H381" s="1626"/>
      <c r="I381" s="1626"/>
      <c r="J381" s="1626"/>
      <c r="K381" s="1626"/>
      <c r="L381" s="1626"/>
      <c r="M381" s="1626"/>
      <c r="N381" s="1626"/>
      <c r="O381" s="1626"/>
      <c r="P381" s="1627"/>
      <c r="Q381" s="1627"/>
      <c r="R381" s="1626"/>
      <c r="S381" s="1626"/>
      <c r="T381" s="1626"/>
      <c r="U381" s="1626"/>
      <c r="V381" s="1626"/>
      <c r="W381" s="1626"/>
      <c r="X381" s="1626"/>
      <c r="Y381" s="1626"/>
      <c r="Z381" s="1626"/>
    </row>
    <row r="382" spans="1:26" ht="15.75" customHeight="1" x14ac:dyDescent="0.25">
      <c r="A382" s="1626"/>
      <c r="B382" s="1626"/>
      <c r="C382" s="1626"/>
      <c r="D382" s="1626"/>
      <c r="E382" s="1626"/>
      <c r="F382" s="1626"/>
      <c r="G382" s="1626"/>
      <c r="H382" s="1626"/>
      <c r="I382" s="1626"/>
      <c r="J382" s="1626"/>
      <c r="K382" s="1626"/>
      <c r="L382" s="1626"/>
      <c r="M382" s="1626"/>
      <c r="N382" s="1626"/>
      <c r="O382" s="1626"/>
      <c r="P382" s="1627"/>
      <c r="Q382" s="1627"/>
      <c r="R382" s="1626"/>
      <c r="S382" s="1626"/>
      <c r="T382" s="1626"/>
      <c r="U382" s="1626"/>
      <c r="V382" s="1626"/>
      <c r="W382" s="1626"/>
      <c r="X382" s="1626"/>
      <c r="Y382" s="1626"/>
      <c r="Z382" s="1626"/>
    </row>
    <row r="383" spans="1:26" ht="15.75" customHeight="1" x14ac:dyDescent="0.25">
      <c r="A383" s="1626"/>
      <c r="B383" s="1626"/>
      <c r="C383" s="1626"/>
      <c r="D383" s="1626"/>
      <c r="E383" s="1626"/>
      <c r="F383" s="1626"/>
      <c r="G383" s="1626"/>
      <c r="H383" s="1626"/>
      <c r="I383" s="1626"/>
      <c r="J383" s="1626"/>
      <c r="K383" s="1626"/>
      <c r="L383" s="1626"/>
      <c r="M383" s="1626"/>
      <c r="N383" s="1626"/>
      <c r="O383" s="1626"/>
      <c r="P383" s="1627"/>
      <c r="Q383" s="1627"/>
      <c r="R383" s="1626"/>
      <c r="S383" s="1626"/>
      <c r="T383" s="1626"/>
      <c r="U383" s="1626"/>
      <c r="V383" s="1626"/>
      <c r="W383" s="1626"/>
      <c r="X383" s="1626"/>
      <c r="Y383" s="1626"/>
      <c r="Z383" s="1626"/>
    </row>
    <row r="384" spans="1:26" ht="15.75" customHeight="1" x14ac:dyDescent="0.25">
      <c r="A384" s="1626"/>
      <c r="B384" s="1626"/>
      <c r="C384" s="1626"/>
      <c r="D384" s="1626"/>
      <c r="E384" s="1626"/>
      <c r="F384" s="1626"/>
      <c r="G384" s="1626"/>
      <c r="H384" s="1626"/>
      <c r="I384" s="1626"/>
      <c r="J384" s="1626"/>
      <c r="K384" s="1626"/>
      <c r="L384" s="1626"/>
      <c r="M384" s="1626"/>
      <c r="N384" s="1626"/>
      <c r="O384" s="1626"/>
      <c r="P384" s="1627"/>
      <c r="Q384" s="1627"/>
      <c r="R384" s="1626"/>
      <c r="S384" s="1626"/>
      <c r="T384" s="1626"/>
      <c r="U384" s="1626"/>
      <c r="V384" s="1626"/>
      <c r="W384" s="1626"/>
      <c r="X384" s="1626"/>
      <c r="Y384" s="1626"/>
      <c r="Z384" s="1626"/>
    </row>
    <row r="385" spans="1:26" ht="15.75" customHeight="1" x14ac:dyDescent="0.25">
      <c r="A385" s="1626"/>
      <c r="B385" s="1626"/>
      <c r="C385" s="1626"/>
      <c r="D385" s="1626"/>
      <c r="E385" s="1626"/>
      <c r="F385" s="1626"/>
      <c r="G385" s="1626"/>
      <c r="H385" s="1626"/>
      <c r="I385" s="1626"/>
      <c r="J385" s="1626"/>
      <c r="K385" s="1626"/>
      <c r="L385" s="1626"/>
      <c r="M385" s="1626"/>
      <c r="N385" s="1626"/>
      <c r="O385" s="1626"/>
      <c r="P385" s="1627"/>
      <c r="Q385" s="1627"/>
      <c r="R385" s="1626"/>
      <c r="S385" s="1626"/>
      <c r="T385" s="1626"/>
      <c r="U385" s="1626"/>
      <c r="V385" s="1626"/>
      <c r="W385" s="1626"/>
      <c r="X385" s="1626"/>
      <c r="Y385" s="1626"/>
      <c r="Z385" s="1626"/>
    </row>
    <row r="386" spans="1:26" ht="15.75" customHeight="1" x14ac:dyDescent="0.25">
      <c r="A386" s="1626"/>
      <c r="B386" s="1626"/>
      <c r="C386" s="1626"/>
      <c r="D386" s="1626"/>
      <c r="E386" s="1626"/>
      <c r="F386" s="1626"/>
      <c r="G386" s="1626"/>
      <c r="H386" s="1626"/>
      <c r="I386" s="1626"/>
      <c r="J386" s="1626"/>
      <c r="K386" s="1626"/>
      <c r="L386" s="1626"/>
      <c r="M386" s="1626"/>
      <c r="N386" s="1626"/>
      <c r="O386" s="1626"/>
      <c r="P386" s="1627"/>
      <c r="Q386" s="1627"/>
      <c r="R386" s="1626"/>
      <c r="S386" s="1626"/>
      <c r="T386" s="1626"/>
      <c r="U386" s="1626"/>
      <c r="V386" s="1626"/>
      <c r="W386" s="1626"/>
      <c r="X386" s="1626"/>
      <c r="Y386" s="1626"/>
      <c r="Z386" s="1626"/>
    </row>
    <row r="387" spans="1:26" ht="15.75" customHeight="1" x14ac:dyDescent="0.25">
      <c r="A387" s="1626"/>
      <c r="B387" s="1626"/>
      <c r="C387" s="1626"/>
      <c r="D387" s="1626"/>
      <c r="E387" s="1626"/>
      <c r="F387" s="1626"/>
      <c r="G387" s="1626"/>
      <c r="H387" s="1626"/>
      <c r="I387" s="1626"/>
      <c r="J387" s="1626"/>
      <c r="K387" s="1626"/>
      <c r="L387" s="1626"/>
      <c r="M387" s="1626"/>
      <c r="N387" s="1626"/>
      <c r="O387" s="1626"/>
      <c r="P387" s="1627"/>
      <c r="Q387" s="1627"/>
      <c r="R387" s="1626"/>
      <c r="S387" s="1626"/>
      <c r="T387" s="1626"/>
      <c r="U387" s="1626"/>
      <c r="V387" s="1626"/>
      <c r="W387" s="1626"/>
      <c r="X387" s="1626"/>
      <c r="Y387" s="1626"/>
      <c r="Z387" s="1626"/>
    </row>
    <row r="388" spans="1:26" ht="15.75" customHeight="1" x14ac:dyDescent="0.25">
      <c r="A388" s="1626"/>
      <c r="B388" s="1626"/>
      <c r="C388" s="1626"/>
      <c r="D388" s="1626"/>
      <c r="E388" s="1626"/>
      <c r="F388" s="1626"/>
      <c r="G388" s="1626"/>
      <c r="H388" s="1626"/>
      <c r="I388" s="1626"/>
      <c r="J388" s="1626"/>
      <c r="K388" s="1626"/>
      <c r="L388" s="1626"/>
      <c r="M388" s="1626"/>
      <c r="N388" s="1626"/>
      <c r="O388" s="1626"/>
      <c r="P388" s="1627"/>
      <c r="Q388" s="1627"/>
      <c r="R388" s="1626"/>
      <c r="S388" s="1626"/>
      <c r="T388" s="1626"/>
      <c r="U388" s="1626"/>
      <c r="V388" s="1626"/>
      <c r="W388" s="1626"/>
      <c r="X388" s="1626"/>
      <c r="Y388" s="1626"/>
      <c r="Z388" s="1626"/>
    </row>
    <row r="389" spans="1:26" ht="15.75" customHeight="1" x14ac:dyDescent="0.25">
      <c r="A389" s="1626"/>
      <c r="B389" s="1626"/>
      <c r="C389" s="1626"/>
      <c r="D389" s="1626"/>
      <c r="E389" s="1626"/>
      <c r="F389" s="1626"/>
      <c r="G389" s="1626"/>
      <c r="H389" s="1626"/>
      <c r="I389" s="1626"/>
      <c r="J389" s="1626"/>
      <c r="K389" s="1626"/>
      <c r="L389" s="1626"/>
      <c r="M389" s="1626"/>
      <c r="N389" s="1626"/>
      <c r="O389" s="1626"/>
      <c r="P389" s="1627"/>
      <c r="Q389" s="1627"/>
      <c r="R389" s="1626"/>
      <c r="S389" s="1626"/>
      <c r="T389" s="1626"/>
      <c r="U389" s="1626"/>
      <c r="V389" s="1626"/>
      <c r="W389" s="1626"/>
      <c r="X389" s="1626"/>
      <c r="Y389" s="1626"/>
      <c r="Z389" s="1626"/>
    </row>
    <row r="390" spans="1:26" ht="15.75" customHeight="1" x14ac:dyDescent="0.25">
      <c r="A390" s="1626"/>
      <c r="B390" s="1626"/>
      <c r="C390" s="1626"/>
      <c r="D390" s="1626"/>
      <c r="E390" s="1626"/>
      <c r="F390" s="1626"/>
      <c r="G390" s="1626"/>
      <c r="H390" s="1626"/>
      <c r="I390" s="1626"/>
      <c r="J390" s="1626"/>
      <c r="K390" s="1626"/>
      <c r="L390" s="1626"/>
      <c r="M390" s="1626"/>
      <c r="N390" s="1626"/>
      <c r="O390" s="1626"/>
      <c r="P390" s="1627"/>
      <c r="Q390" s="1627"/>
      <c r="R390" s="1626"/>
      <c r="S390" s="1626"/>
      <c r="T390" s="1626"/>
      <c r="U390" s="1626"/>
      <c r="V390" s="1626"/>
      <c r="W390" s="1626"/>
      <c r="X390" s="1626"/>
      <c r="Y390" s="1626"/>
      <c r="Z390" s="1626"/>
    </row>
    <row r="391" spans="1:26" ht="15.75" customHeight="1" x14ac:dyDescent="0.25">
      <c r="A391" s="1626"/>
      <c r="B391" s="1626"/>
      <c r="C391" s="1626"/>
      <c r="D391" s="1626"/>
      <c r="E391" s="1626"/>
      <c r="F391" s="1626"/>
      <c r="G391" s="1626"/>
      <c r="H391" s="1626"/>
      <c r="I391" s="1626"/>
      <c r="J391" s="1626"/>
      <c r="K391" s="1626"/>
      <c r="L391" s="1626"/>
      <c r="M391" s="1626"/>
      <c r="N391" s="1626"/>
      <c r="O391" s="1626"/>
      <c r="P391" s="1627"/>
      <c r="Q391" s="1627"/>
      <c r="R391" s="1626"/>
      <c r="S391" s="1626"/>
      <c r="T391" s="1626"/>
      <c r="U391" s="1626"/>
      <c r="V391" s="1626"/>
      <c r="W391" s="1626"/>
      <c r="X391" s="1626"/>
      <c r="Y391" s="1626"/>
      <c r="Z391" s="1626"/>
    </row>
    <row r="392" spans="1:26" ht="15.75" customHeight="1" x14ac:dyDescent="0.25">
      <c r="A392" s="1626"/>
      <c r="B392" s="1626"/>
      <c r="C392" s="1626"/>
      <c r="D392" s="1626"/>
      <c r="E392" s="1626"/>
      <c r="F392" s="1626"/>
      <c r="G392" s="1626"/>
      <c r="H392" s="1626"/>
      <c r="I392" s="1626"/>
      <c r="J392" s="1626"/>
      <c r="K392" s="1626"/>
      <c r="L392" s="1626"/>
      <c r="M392" s="1626"/>
      <c r="N392" s="1626"/>
      <c r="O392" s="1626"/>
      <c r="P392" s="1627"/>
      <c r="Q392" s="1627"/>
      <c r="R392" s="1626"/>
      <c r="S392" s="1626"/>
      <c r="T392" s="1626"/>
      <c r="U392" s="1626"/>
      <c r="V392" s="1626"/>
      <c r="W392" s="1626"/>
      <c r="X392" s="1626"/>
      <c r="Y392" s="1626"/>
      <c r="Z392" s="1626"/>
    </row>
    <row r="393" spans="1:26" ht="15.75" customHeight="1" x14ac:dyDescent="0.25">
      <c r="A393" s="1626"/>
      <c r="B393" s="1626"/>
      <c r="C393" s="1626"/>
      <c r="D393" s="1626"/>
      <c r="E393" s="1626"/>
      <c r="F393" s="1626"/>
      <c r="G393" s="1626"/>
      <c r="H393" s="1626"/>
      <c r="I393" s="1626"/>
      <c r="J393" s="1626"/>
      <c r="K393" s="1626"/>
      <c r="L393" s="1626"/>
      <c r="M393" s="1626"/>
      <c r="N393" s="1626"/>
      <c r="O393" s="1626"/>
      <c r="P393" s="1627"/>
      <c r="Q393" s="1627"/>
      <c r="R393" s="1626"/>
      <c r="S393" s="1626"/>
      <c r="T393" s="1626"/>
      <c r="U393" s="1626"/>
      <c r="V393" s="1626"/>
      <c r="W393" s="1626"/>
      <c r="X393" s="1626"/>
      <c r="Y393" s="1626"/>
      <c r="Z393" s="1626"/>
    </row>
    <row r="394" spans="1:26" ht="15.75" customHeight="1" x14ac:dyDescent="0.25">
      <c r="A394" s="1626"/>
      <c r="B394" s="1626"/>
      <c r="C394" s="1626"/>
      <c r="D394" s="1626"/>
      <c r="E394" s="1626"/>
      <c r="F394" s="1626"/>
      <c r="G394" s="1626"/>
      <c r="H394" s="1626"/>
      <c r="I394" s="1626"/>
      <c r="J394" s="1626"/>
      <c r="K394" s="1626"/>
      <c r="L394" s="1626"/>
      <c r="M394" s="1626"/>
      <c r="N394" s="1626"/>
      <c r="O394" s="1626"/>
      <c r="P394" s="1627"/>
      <c r="Q394" s="1627"/>
      <c r="R394" s="1626"/>
      <c r="S394" s="1626"/>
      <c r="T394" s="1626"/>
      <c r="U394" s="1626"/>
      <c r="V394" s="1626"/>
      <c r="W394" s="1626"/>
      <c r="X394" s="1626"/>
      <c r="Y394" s="1626"/>
      <c r="Z394" s="1626"/>
    </row>
    <row r="395" spans="1:26" ht="15.75" customHeight="1" x14ac:dyDescent="0.25">
      <c r="A395" s="1626"/>
      <c r="B395" s="1626"/>
      <c r="C395" s="1626"/>
      <c r="D395" s="1626"/>
      <c r="E395" s="1626"/>
      <c r="F395" s="1626"/>
      <c r="G395" s="1626"/>
      <c r="H395" s="1626"/>
      <c r="I395" s="1626"/>
      <c r="J395" s="1626"/>
      <c r="K395" s="1626"/>
      <c r="L395" s="1626"/>
      <c r="M395" s="1626"/>
      <c r="N395" s="1626"/>
      <c r="O395" s="1626"/>
      <c r="P395" s="1627"/>
      <c r="Q395" s="1627"/>
      <c r="R395" s="1626"/>
      <c r="S395" s="1626"/>
      <c r="T395" s="1626"/>
      <c r="U395" s="1626"/>
      <c r="V395" s="1626"/>
      <c r="W395" s="1626"/>
      <c r="X395" s="1626"/>
      <c r="Y395" s="1626"/>
      <c r="Z395" s="1626"/>
    </row>
    <row r="396" spans="1:26" ht="15.75" customHeight="1" x14ac:dyDescent="0.25">
      <c r="A396" s="1626"/>
      <c r="B396" s="1626"/>
      <c r="C396" s="1626"/>
      <c r="D396" s="1626"/>
      <c r="E396" s="1626"/>
      <c r="F396" s="1626"/>
      <c r="G396" s="1626"/>
      <c r="H396" s="1626"/>
      <c r="I396" s="1626"/>
      <c r="J396" s="1626"/>
      <c r="K396" s="1626"/>
      <c r="L396" s="1626"/>
      <c r="M396" s="1626"/>
      <c r="N396" s="1626"/>
      <c r="O396" s="1626"/>
      <c r="P396" s="1627"/>
      <c r="Q396" s="1627"/>
      <c r="R396" s="1626"/>
      <c r="S396" s="1626"/>
      <c r="T396" s="1626"/>
      <c r="U396" s="1626"/>
      <c r="V396" s="1626"/>
      <c r="W396" s="1626"/>
      <c r="X396" s="1626"/>
      <c r="Y396" s="1626"/>
      <c r="Z396" s="1626"/>
    </row>
    <row r="397" spans="1:26" ht="15.75" customHeight="1" x14ac:dyDescent="0.25">
      <c r="A397" s="1626"/>
      <c r="B397" s="1626"/>
      <c r="C397" s="1626"/>
      <c r="D397" s="1626"/>
      <c r="E397" s="1626"/>
      <c r="F397" s="1626"/>
      <c r="G397" s="1626"/>
      <c r="H397" s="1626"/>
      <c r="I397" s="1626"/>
      <c r="J397" s="1626"/>
      <c r="K397" s="1626"/>
      <c r="L397" s="1626"/>
      <c r="M397" s="1626"/>
      <c r="N397" s="1626"/>
      <c r="O397" s="1626"/>
      <c r="P397" s="1627"/>
      <c r="Q397" s="1627"/>
      <c r="R397" s="1626"/>
      <c r="S397" s="1626"/>
      <c r="T397" s="1626"/>
      <c r="U397" s="1626"/>
      <c r="V397" s="1626"/>
      <c r="W397" s="1626"/>
      <c r="X397" s="1626"/>
      <c r="Y397" s="1626"/>
      <c r="Z397" s="1626"/>
    </row>
    <row r="398" spans="1:26" ht="15.75" customHeight="1" x14ac:dyDescent="0.25">
      <c r="A398" s="1626"/>
      <c r="B398" s="1626"/>
      <c r="C398" s="1626"/>
      <c r="D398" s="1626"/>
      <c r="E398" s="1626"/>
      <c r="F398" s="1626"/>
      <c r="G398" s="1626"/>
      <c r="H398" s="1626"/>
      <c r="I398" s="1626"/>
      <c r="J398" s="1626"/>
      <c r="K398" s="1626"/>
      <c r="L398" s="1626"/>
      <c r="M398" s="1626"/>
      <c r="N398" s="1626"/>
      <c r="O398" s="1626"/>
      <c r="P398" s="1627"/>
      <c r="Q398" s="1627"/>
      <c r="R398" s="1626"/>
      <c r="S398" s="1626"/>
      <c r="T398" s="1626"/>
      <c r="U398" s="1626"/>
      <c r="V398" s="1626"/>
      <c r="W398" s="1626"/>
      <c r="X398" s="1626"/>
      <c r="Y398" s="1626"/>
      <c r="Z398" s="1626"/>
    </row>
    <row r="399" spans="1:26" ht="15.75" customHeight="1" x14ac:dyDescent="0.25">
      <c r="A399" s="1626"/>
      <c r="B399" s="1626"/>
      <c r="C399" s="1626"/>
      <c r="D399" s="1626"/>
      <c r="E399" s="1626"/>
      <c r="F399" s="1626"/>
      <c r="G399" s="1626"/>
      <c r="H399" s="1626"/>
      <c r="I399" s="1626"/>
      <c r="J399" s="1626"/>
      <c r="K399" s="1626"/>
      <c r="L399" s="1626"/>
      <c r="M399" s="1626"/>
      <c r="N399" s="1626"/>
      <c r="O399" s="1626"/>
      <c r="P399" s="1627"/>
      <c r="Q399" s="1627"/>
      <c r="R399" s="1626"/>
      <c r="S399" s="1626"/>
      <c r="T399" s="1626"/>
      <c r="U399" s="1626"/>
      <c r="V399" s="1626"/>
      <c r="W399" s="1626"/>
      <c r="X399" s="1626"/>
      <c r="Y399" s="1626"/>
      <c r="Z399" s="1626"/>
    </row>
    <row r="400" spans="1:26" ht="15.75" customHeight="1" x14ac:dyDescent="0.25">
      <c r="A400" s="1626"/>
      <c r="B400" s="1626"/>
      <c r="C400" s="1626"/>
      <c r="D400" s="1626"/>
      <c r="E400" s="1626"/>
      <c r="F400" s="1626"/>
      <c r="G400" s="1626"/>
      <c r="H400" s="1626"/>
      <c r="I400" s="1626"/>
      <c r="J400" s="1626"/>
      <c r="K400" s="1626"/>
      <c r="L400" s="1626"/>
      <c r="M400" s="1626"/>
      <c r="N400" s="1626"/>
      <c r="O400" s="1626"/>
      <c r="P400" s="1627"/>
      <c r="Q400" s="1627"/>
      <c r="R400" s="1626"/>
      <c r="S400" s="1626"/>
      <c r="T400" s="1626"/>
      <c r="U400" s="1626"/>
      <c r="V400" s="1626"/>
      <c r="W400" s="1626"/>
      <c r="X400" s="1626"/>
      <c r="Y400" s="1626"/>
      <c r="Z400" s="1626"/>
    </row>
    <row r="401" spans="1:26" ht="15.75" customHeight="1" x14ac:dyDescent="0.25">
      <c r="A401" s="1626"/>
      <c r="B401" s="1626"/>
      <c r="C401" s="1626"/>
      <c r="D401" s="1626"/>
      <c r="E401" s="1626"/>
      <c r="F401" s="1626"/>
      <c r="G401" s="1626"/>
      <c r="H401" s="1626"/>
      <c r="I401" s="1626"/>
      <c r="J401" s="1626"/>
      <c r="K401" s="1626"/>
      <c r="L401" s="1626"/>
      <c r="M401" s="1626"/>
      <c r="N401" s="1626"/>
      <c r="O401" s="1626"/>
      <c r="P401" s="1627"/>
      <c r="Q401" s="1627"/>
      <c r="R401" s="1626"/>
      <c r="S401" s="1626"/>
      <c r="T401" s="1626"/>
      <c r="U401" s="1626"/>
      <c r="V401" s="1626"/>
      <c r="W401" s="1626"/>
      <c r="X401" s="1626"/>
      <c r="Y401" s="1626"/>
      <c r="Z401" s="1626"/>
    </row>
    <row r="402" spans="1:26" ht="15.75" customHeight="1" x14ac:dyDescent="0.25">
      <c r="A402" s="1626"/>
      <c r="B402" s="1626"/>
      <c r="C402" s="1626"/>
      <c r="D402" s="1626"/>
      <c r="E402" s="1626"/>
      <c r="F402" s="1626"/>
      <c r="G402" s="1626"/>
      <c r="H402" s="1626"/>
      <c r="I402" s="1626"/>
      <c r="J402" s="1626"/>
      <c r="K402" s="1626"/>
      <c r="L402" s="1626"/>
      <c r="M402" s="1626"/>
      <c r="N402" s="1626"/>
      <c r="O402" s="1626"/>
      <c r="P402" s="1627"/>
      <c r="Q402" s="1627"/>
      <c r="R402" s="1626"/>
      <c r="S402" s="1626"/>
      <c r="T402" s="1626"/>
      <c r="U402" s="1626"/>
      <c r="V402" s="1626"/>
      <c r="W402" s="1626"/>
      <c r="X402" s="1626"/>
      <c r="Y402" s="1626"/>
      <c r="Z402" s="1626"/>
    </row>
    <row r="403" spans="1:26" ht="15.75" customHeight="1" x14ac:dyDescent="0.25">
      <c r="A403" s="1626"/>
      <c r="B403" s="1626"/>
      <c r="C403" s="1626"/>
      <c r="D403" s="1626"/>
      <c r="E403" s="1626"/>
      <c r="F403" s="1626"/>
      <c r="G403" s="1626"/>
      <c r="H403" s="1626"/>
      <c r="I403" s="1626"/>
      <c r="J403" s="1626"/>
      <c r="K403" s="1626"/>
      <c r="L403" s="1626"/>
      <c r="M403" s="1626"/>
      <c r="N403" s="1626"/>
      <c r="O403" s="1626"/>
      <c r="P403" s="1627"/>
      <c r="Q403" s="1627"/>
      <c r="R403" s="1626"/>
      <c r="S403" s="1626"/>
      <c r="T403" s="1626"/>
      <c r="U403" s="1626"/>
      <c r="V403" s="1626"/>
      <c r="W403" s="1626"/>
      <c r="X403" s="1626"/>
      <c r="Y403" s="1626"/>
      <c r="Z403" s="1626"/>
    </row>
    <row r="404" spans="1:26" ht="15.75" customHeight="1" x14ac:dyDescent="0.25">
      <c r="A404" s="1626"/>
      <c r="B404" s="1626"/>
      <c r="C404" s="1626"/>
      <c r="D404" s="1626"/>
      <c r="E404" s="1626"/>
      <c r="F404" s="1626"/>
      <c r="G404" s="1626"/>
      <c r="H404" s="1626"/>
      <c r="I404" s="1626"/>
      <c r="J404" s="1626"/>
      <c r="K404" s="1626"/>
      <c r="L404" s="1626"/>
      <c r="M404" s="1626"/>
      <c r="N404" s="1626"/>
      <c r="O404" s="1626"/>
      <c r="P404" s="1627"/>
      <c r="Q404" s="1627"/>
      <c r="R404" s="1626"/>
      <c r="S404" s="1626"/>
      <c r="T404" s="1626"/>
      <c r="U404" s="1626"/>
      <c r="V404" s="1626"/>
      <c r="W404" s="1626"/>
      <c r="X404" s="1626"/>
      <c r="Y404" s="1626"/>
      <c r="Z404" s="1626"/>
    </row>
    <row r="405" spans="1:26" ht="15.75" customHeight="1" x14ac:dyDescent="0.25">
      <c r="A405" s="1626"/>
      <c r="B405" s="1626"/>
      <c r="C405" s="1626"/>
      <c r="D405" s="1626"/>
      <c r="E405" s="1626"/>
      <c r="F405" s="1626"/>
      <c r="G405" s="1626"/>
      <c r="H405" s="1626"/>
      <c r="I405" s="1626"/>
      <c r="J405" s="1626"/>
      <c r="K405" s="1626"/>
      <c r="L405" s="1626"/>
      <c r="M405" s="1626"/>
      <c r="N405" s="1626"/>
      <c r="O405" s="1626"/>
      <c r="P405" s="1627"/>
      <c r="Q405" s="1627"/>
      <c r="R405" s="1626"/>
      <c r="S405" s="1626"/>
      <c r="T405" s="1626"/>
      <c r="U405" s="1626"/>
      <c r="V405" s="1626"/>
      <c r="W405" s="1626"/>
      <c r="X405" s="1626"/>
      <c r="Y405" s="1626"/>
      <c r="Z405" s="1626"/>
    </row>
    <row r="406" spans="1:26" ht="15.75" customHeight="1" x14ac:dyDescent="0.25">
      <c r="A406" s="1626"/>
      <c r="B406" s="1626"/>
      <c r="C406" s="1626"/>
      <c r="D406" s="1626"/>
      <c r="E406" s="1626"/>
      <c r="F406" s="1626"/>
      <c r="G406" s="1626"/>
      <c r="H406" s="1626"/>
      <c r="I406" s="1626"/>
      <c r="J406" s="1626"/>
      <c r="K406" s="1626"/>
      <c r="L406" s="1626"/>
      <c r="M406" s="1626"/>
      <c r="N406" s="1626"/>
      <c r="O406" s="1626"/>
      <c r="P406" s="1627"/>
      <c r="Q406" s="1627"/>
      <c r="R406" s="1626"/>
      <c r="S406" s="1626"/>
      <c r="T406" s="1626"/>
      <c r="U406" s="1626"/>
      <c r="V406" s="1626"/>
      <c r="W406" s="1626"/>
      <c r="X406" s="1626"/>
      <c r="Y406" s="1626"/>
      <c r="Z406" s="1626"/>
    </row>
    <row r="407" spans="1:26" ht="15.75" customHeight="1" x14ac:dyDescent="0.25">
      <c r="A407" s="1626"/>
      <c r="B407" s="1626"/>
      <c r="C407" s="1626"/>
      <c r="D407" s="1626"/>
      <c r="E407" s="1626"/>
      <c r="F407" s="1626"/>
      <c r="G407" s="1626"/>
      <c r="H407" s="1626"/>
      <c r="I407" s="1626"/>
      <c r="J407" s="1626"/>
      <c r="K407" s="1626"/>
      <c r="L407" s="1626"/>
      <c r="M407" s="1626"/>
      <c r="N407" s="1626"/>
      <c r="O407" s="1626"/>
      <c r="P407" s="1627"/>
      <c r="Q407" s="1627"/>
      <c r="R407" s="1626"/>
      <c r="S407" s="1626"/>
      <c r="T407" s="1626"/>
      <c r="U407" s="1626"/>
      <c r="V407" s="1626"/>
      <c r="W407" s="1626"/>
      <c r="X407" s="1626"/>
      <c r="Y407" s="1626"/>
      <c r="Z407" s="1626"/>
    </row>
    <row r="408" spans="1:26" ht="15.75" customHeight="1" x14ac:dyDescent="0.25">
      <c r="A408" s="1626"/>
      <c r="B408" s="1626"/>
      <c r="C408" s="1626"/>
      <c r="D408" s="1626"/>
      <c r="E408" s="1626"/>
      <c r="F408" s="1626"/>
      <c r="G408" s="1626"/>
      <c r="H408" s="1626"/>
      <c r="I408" s="1626"/>
      <c r="J408" s="1626"/>
      <c r="K408" s="1626"/>
      <c r="L408" s="1626"/>
      <c r="M408" s="1626"/>
      <c r="N408" s="1626"/>
      <c r="O408" s="1626"/>
      <c r="P408" s="1627"/>
      <c r="Q408" s="1627"/>
      <c r="R408" s="1626"/>
      <c r="S408" s="1626"/>
      <c r="T408" s="1626"/>
      <c r="U408" s="1626"/>
      <c r="V408" s="1626"/>
      <c r="W408" s="1626"/>
      <c r="X408" s="1626"/>
      <c r="Y408" s="1626"/>
      <c r="Z408" s="1626"/>
    </row>
    <row r="409" spans="1:26" ht="15.75" customHeight="1" x14ac:dyDescent="0.25">
      <c r="A409" s="1626"/>
      <c r="B409" s="1626"/>
      <c r="C409" s="1626"/>
      <c r="D409" s="1626"/>
      <c r="E409" s="1626"/>
      <c r="F409" s="1626"/>
      <c r="G409" s="1626"/>
      <c r="H409" s="1626"/>
      <c r="I409" s="1626"/>
      <c r="J409" s="1626"/>
      <c r="K409" s="1626"/>
      <c r="L409" s="1626"/>
      <c r="M409" s="1626"/>
      <c r="N409" s="1626"/>
      <c r="O409" s="1626"/>
      <c r="P409" s="1627"/>
      <c r="Q409" s="1627"/>
      <c r="R409" s="1626"/>
      <c r="S409" s="1626"/>
      <c r="T409" s="1626"/>
      <c r="U409" s="1626"/>
      <c r="V409" s="1626"/>
      <c r="W409" s="1626"/>
      <c r="X409" s="1626"/>
      <c r="Y409" s="1626"/>
      <c r="Z409" s="1626"/>
    </row>
    <row r="410" spans="1:26" ht="15.75" customHeight="1" x14ac:dyDescent="0.25">
      <c r="A410" s="1626"/>
      <c r="B410" s="1626"/>
      <c r="C410" s="1626"/>
      <c r="D410" s="1626"/>
      <c r="E410" s="1626"/>
      <c r="F410" s="1626"/>
      <c r="G410" s="1626"/>
      <c r="H410" s="1626"/>
      <c r="I410" s="1626"/>
      <c r="J410" s="1626"/>
      <c r="K410" s="1626"/>
      <c r="L410" s="1626"/>
      <c r="M410" s="1626"/>
      <c r="N410" s="1626"/>
      <c r="O410" s="1626"/>
      <c r="P410" s="1627"/>
      <c r="Q410" s="1627"/>
      <c r="R410" s="1626"/>
      <c r="S410" s="1626"/>
      <c r="T410" s="1626"/>
      <c r="U410" s="1626"/>
      <c r="V410" s="1626"/>
      <c r="W410" s="1626"/>
      <c r="X410" s="1626"/>
      <c r="Y410" s="1626"/>
      <c r="Z410" s="1626"/>
    </row>
    <row r="411" spans="1:26" ht="15.75" customHeight="1" x14ac:dyDescent="0.25">
      <c r="A411" s="1626"/>
      <c r="B411" s="1626"/>
      <c r="C411" s="1626"/>
      <c r="D411" s="1626"/>
      <c r="E411" s="1626"/>
      <c r="F411" s="1626"/>
      <c r="G411" s="1626"/>
      <c r="H411" s="1626"/>
      <c r="I411" s="1626"/>
      <c r="J411" s="1626"/>
      <c r="K411" s="1626"/>
      <c r="L411" s="1626"/>
      <c r="M411" s="1626"/>
      <c r="N411" s="1626"/>
      <c r="O411" s="1626"/>
      <c r="P411" s="1627"/>
      <c r="Q411" s="1627"/>
      <c r="R411" s="1626"/>
      <c r="S411" s="1626"/>
      <c r="T411" s="1626"/>
      <c r="U411" s="1626"/>
      <c r="V411" s="1626"/>
      <c r="W411" s="1626"/>
      <c r="X411" s="1626"/>
      <c r="Y411" s="1626"/>
      <c r="Z411" s="1626"/>
    </row>
    <row r="412" spans="1:26" ht="15.75" customHeight="1" x14ac:dyDescent="0.25">
      <c r="A412" s="1626"/>
      <c r="B412" s="1626"/>
      <c r="C412" s="1626"/>
      <c r="D412" s="1626"/>
      <c r="E412" s="1626"/>
      <c r="F412" s="1626"/>
      <c r="G412" s="1626"/>
      <c r="H412" s="1626"/>
      <c r="I412" s="1626"/>
      <c r="J412" s="1626"/>
      <c r="K412" s="1626"/>
      <c r="L412" s="1626"/>
      <c r="M412" s="1626"/>
      <c r="N412" s="1626"/>
      <c r="O412" s="1626"/>
      <c r="P412" s="1627"/>
      <c r="Q412" s="1627"/>
      <c r="R412" s="1626"/>
      <c r="S412" s="1626"/>
      <c r="T412" s="1626"/>
      <c r="U412" s="1626"/>
      <c r="V412" s="1626"/>
      <c r="W412" s="1626"/>
      <c r="X412" s="1626"/>
      <c r="Y412" s="1626"/>
      <c r="Z412" s="1626"/>
    </row>
    <row r="413" spans="1:26" ht="15.75" customHeight="1" x14ac:dyDescent="0.25">
      <c r="A413" s="1626"/>
      <c r="B413" s="1626"/>
      <c r="C413" s="1626"/>
      <c r="D413" s="1626"/>
      <c r="E413" s="1626"/>
      <c r="F413" s="1626"/>
      <c r="G413" s="1626"/>
      <c r="H413" s="1626"/>
      <c r="I413" s="1626"/>
      <c r="J413" s="1626"/>
      <c r="K413" s="1626"/>
      <c r="L413" s="1626"/>
      <c r="M413" s="1626"/>
      <c r="N413" s="1626"/>
      <c r="O413" s="1626"/>
      <c r="P413" s="1627"/>
      <c r="Q413" s="1627"/>
      <c r="R413" s="1626"/>
      <c r="S413" s="1626"/>
      <c r="T413" s="1626"/>
      <c r="U413" s="1626"/>
      <c r="V413" s="1626"/>
      <c r="W413" s="1626"/>
      <c r="X413" s="1626"/>
      <c r="Y413" s="1626"/>
      <c r="Z413" s="1626"/>
    </row>
    <row r="414" spans="1:26" ht="15.75" customHeight="1" x14ac:dyDescent="0.25">
      <c r="A414" s="1626"/>
      <c r="B414" s="1626"/>
      <c r="C414" s="1626"/>
      <c r="D414" s="1626"/>
      <c r="E414" s="1626"/>
      <c r="F414" s="1626"/>
      <c r="G414" s="1626"/>
      <c r="H414" s="1626"/>
      <c r="I414" s="1626"/>
      <c r="J414" s="1626"/>
      <c r="K414" s="1626"/>
      <c r="L414" s="1626"/>
      <c r="M414" s="1626"/>
      <c r="N414" s="1626"/>
      <c r="O414" s="1626"/>
      <c r="P414" s="1627"/>
      <c r="Q414" s="1627"/>
      <c r="R414" s="1626"/>
      <c r="S414" s="1626"/>
      <c r="T414" s="1626"/>
      <c r="U414" s="1626"/>
      <c r="V414" s="1626"/>
      <c r="W414" s="1626"/>
      <c r="X414" s="1626"/>
      <c r="Y414" s="1626"/>
      <c r="Z414" s="1626"/>
    </row>
    <row r="415" spans="1:26" ht="15.75" customHeight="1" x14ac:dyDescent="0.25">
      <c r="A415" s="1626"/>
      <c r="B415" s="1626"/>
      <c r="C415" s="1626"/>
      <c r="D415" s="1626"/>
      <c r="E415" s="1626"/>
      <c r="F415" s="1626"/>
      <c r="G415" s="1626"/>
      <c r="H415" s="1626"/>
      <c r="I415" s="1626"/>
      <c r="J415" s="1626"/>
      <c r="K415" s="1626"/>
      <c r="L415" s="1626"/>
      <c r="M415" s="1626"/>
      <c r="N415" s="1626"/>
      <c r="O415" s="1626"/>
      <c r="P415" s="1627"/>
      <c r="Q415" s="1627"/>
      <c r="R415" s="1626"/>
      <c r="S415" s="1626"/>
      <c r="T415" s="1626"/>
      <c r="U415" s="1626"/>
      <c r="V415" s="1626"/>
      <c r="W415" s="1626"/>
      <c r="X415" s="1626"/>
      <c r="Y415" s="1626"/>
      <c r="Z415" s="1626"/>
    </row>
    <row r="416" spans="1:26" ht="15.75" customHeight="1" x14ac:dyDescent="0.25">
      <c r="A416" s="1626"/>
      <c r="B416" s="1626"/>
      <c r="C416" s="1626"/>
      <c r="D416" s="1626"/>
      <c r="E416" s="1626"/>
      <c r="F416" s="1626"/>
      <c r="G416" s="1626"/>
      <c r="H416" s="1626"/>
      <c r="I416" s="1626"/>
      <c r="J416" s="1626"/>
      <c r="K416" s="1626"/>
      <c r="L416" s="1626"/>
      <c r="M416" s="1626"/>
      <c r="N416" s="1626"/>
      <c r="O416" s="1626"/>
      <c r="P416" s="1627"/>
      <c r="Q416" s="1627"/>
      <c r="R416" s="1626"/>
      <c r="S416" s="1626"/>
      <c r="T416" s="1626"/>
      <c r="U416" s="1626"/>
      <c r="V416" s="1626"/>
      <c r="W416" s="1626"/>
      <c r="X416" s="1626"/>
      <c r="Y416" s="1626"/>
      <c r="Z416" s="1626"/>
    </row>
    <row r="417" spans="1:26" ht="15.75" customHeight="1" x14ac:dyDescent="0.25">
      <c r="A417" s="1626"/>
      <c r="B417" s="1626"/>
      <c r="C417" s="1626"/>
      <c r="D417" s="1626"/>
      <c r="E417" s="1626"/>
      <c r="F417" s="1626"/>
      <c r="G417" s="1626"/>
      <c r="H417" s="1626"/>
      <c r="I417" s="1626"/>
      <c r="J417" s="1626"/>
      <c r="K417" s="1626"/>
      <c r="L417" s="1626"/>
      <c r="M417" s="1626"/>
      <c r="N417" s="1626"/>
      <c r="O417" s="1626"/>
      <c r="P417" s="1627"/>
      <c r="Q417" s="1627"/>
      <c r="R417" s="1626"/>
      <c r="S417" s="1626"/>
      <c r="T417" s="1626"/>
      <c r="U417" s="1626"/>
      <c r="V417" s="1626"/>
      <c r="W417" s="1626"/>
      <c r="X417" s="1626"/>
      <c r="Y417" s="1626"/>
      <c r="Z417" s="1626"/>
    </row>
    <row r="418" spans="1:26" ht="15.75" customHeight="1" x14ac:dyDescent="0.25">
      <c r="A418" s="1626"/>
      <c r="B418" s="1626"/>
      <c r="C418" s="1626"/>
      <c r="D418" s="1626"/>
      <c r="E418" s="1626"/>
      <c r="F418" s="1626"/>
      <c r="G418" s="1626"/>
      <c r="H418" s="1626"/>
      <c r="I418" s="1626"/>
      <c r="J418" s="1626"/>
      <c r="K418" s="1626"/>
      <c r="L418" s="1626"/>
      <c r="M418" s="1626"/>
      <c r="N418" s="1626"/>
      <c r="O418" s="1626"/>
      <c r="P418" s="1627"/>
      <c r="Q418" s="1627"/>
      <c r="R418" s="1626"/>
      <c r="S418" s="1626"/>
      <c r="T418" s="1626"/>
      <c r="U418" s="1626"/>
      <c r="V418" s="1626"/>
      <c r="W418" s="1626"/>
      <c r="X418" s="1626"/>
      <c r="Y418" s="1626"/>
      <c r="Z418" s="1626"/>
    </row>
    <row r="419" spans="1:26" ht="15.75" customHeight="1" x14ac:dyDescent="0.25">
      <c r="A419" s="1626"/>
      <c r="B419" s="1626"/>
      <c r="C419" s="1626"/>
      <c r="D419" s="1626"/>
      <c r="E419" s="1626"/>
      <c r="F419" s="1626"/>
      <c r="G419" s="1626"/>
      <c r="H419" s="1626"/>
      <c r="I419" s="1626"/>
      <c r="J419" s="1626"/>
      <c r="K419" s="1626"/>
      <c r="L419" s="1626"/>
      <c r="M419" s="1626"/>
      <c r="N419" s="1626"/>
      <c r="O419" s="1626"/>
      <c r="P419" s="1627"/>
      <c r="Q419" s="1627"/>
      <c r="R419" s="1626"/>
      <c r="S419" s="1626"/>
      <c r="T419" s="1626"/>
      <c r="U419" s="1626"/>
      <c r="V419" s="1626"/>
      <c r="W419" s="1626"/>
      <c r="X419" s="1626"/>
      <c r="Y419" s="1626"/>
      <c r="Z419" s="1626"/>
    </row>
    <row r="420" spans="1:26" ht="15.75" customHeight="1" x14ac:dyDescent="0.25">
      <c r="A420" s="1626"/>
      <c r="B420" s="1626"/>
      <c r="C420" s="1626"/>
      <c r="D420" s="1626"/>
      <c r="E420" s="1626"/>
      <c r="F420" s="1626"/>
      <c r="G420" s="1626"/>
      <c r="H420" s="1626"/>
      <c r="I420" s="1626"/>
      <c r="J420" s="1626"/>
      <c r="K420" s="1626"/>
      <c r="L420" s="1626"/>
      <c r="M420" s="1626"/>
      <c r="N420" s="1626"/>
      <c r="O420" s="1626"/>
      <c r="P420" s="1627"/>
      <c r="Q420" s="1627"/>
      <c r="R420" s="1626"/>
      <c r="S420" s="1626"/>
      <c r="T420" s="1626"/>
      <c r="U420" s="1626"/>
      <c r="V420" s="1626"/>
      <c r="W420" s="1626"/>
      <c r="X420" s="1626"/>
      <c r="Y420" s="1626"/>
      <c r="Z420" s="1626"/>
    </row>
    <row r="421" spans="1:26" ht="15.75" customHeight="1" x14ac:dyDescent="0.25">
      <c r="A421" s="1626"/>
      <c r="B421" s="1626"/>
      <c r="C421" s="1626"/>
      <c r="D421" s="1626"/>
      <c r="E421" s="1626"/>
      <c r="F421" s="1626"/>
      <c r="G421" s="1626"/>
      <c r="H421" s="1626"/>
      <c r="I421" s="1626"/>
      <c r="J421" s="1626"/>
      <c r="K421" s="1626"/>
      <c r="L421" s="1626"/>
      <c r="M421" s="1626"/>
      <c r="N421" s="1626"/>
      <c r="O421" s="1626"/>
      <c r="P421" s="1627"/>
      <c r="Q421" s="1627"/>
      <c r="R421" s="1626"/>
      <c r="S421" s="1626"/>
      <c r="T421" s="1626"/>
      <c r="U421" s="1626"/>
      <c r="V421" s="1626"/>
      <c r="W421" s="1626"/>
      <c r="X421" s="1626"/>
      <c r="Y421" s="1626"/>
      <c r="Z421" s="1626"/>
    </row>
    <row r="422" spans="1:26" ht="15.75" customHeight="1" x14ac:dyDescent="0.25">
      <c r="A422" s="1626"/>
      <c r="B422" s="1626"/>
      <c r="C422" s="1626"/>
      <c r="D422" s="1626"/>
      <c r="E422" s="1626"/>
      <c r="F422" s="1626"/>
      <c r="G422" s="1626"/>
      <c r="H422" s="1626"/>
      <c r="I422" s="1626"/>
      <c r="J422" s="1626"/>
      <c r="K422" s="1626"/>
      <c r="L422" s="1626"/>
      <c r="M422" s="1626"/>
      <c r="N422" s="1626"/>
      <c r="O422" s="1626"/>
      <c r="P422" s="1627"/>
      <c r="Q422" s="1627"/>
      <c r="R422" s="1626"/>
      <c r="S422" s="1626"/>
      <c r="T422" s="1626"/>
      <c r="U422" s="1626"/>
      <c r="V422" s="1626"/>
      <c r="W422" s="1626"/>
      <c r="X422" s="1626"/>
      <c r="Y422" s="1626"/>
      <c r="Z422" s="1626"/>
    </row>
    <row r="423" spans="1:26" ht="15.75" customHeight="1" x14ac:dyDescent="0.25">
      <c r="A423" s="1626"/>
      <c r="B423" s="1626"/>
      <c r="C423" s="1626"/>
      <c r="D423" s="1626"/>
      <c r="E423" s="1626"/>
      <c r="F423" s="1626"/>
      <c r="G423" s="1626"/>
      <c r="H423" s="1626"/>
      <c r="I423" s="1626"/>
      <c r="J423" s="1626"/>
      <c r="K423" s="1626"/>
      <c r="L423" s="1626"/>
      <c r="M423" s="1626"/>
      <c r="N423" s="1626"/>
      <c r="O423" s="1626"/>
      <c r="P423" s="1627"/>
      <c r="Q423" s="1627"/>
      <c r="R423" s="1626"/>
      <c r="S423" s="1626"/>
      <c r="T423" s="1626"/>
      <c r="U423" s="1626"/>
      <c r="V423" s="1626"/>
      <c r="W423" s="1626"/>
      <c r="X423" s="1626"/>
      <c r="Y423" s="1626"/>
      <c r="Z423" s="1626"/>
    </row>
    <row r="424" spans="1:26" ht="15.75" customHeight="1" x14ac:dyDescent="0.25">
      <c r="A424" s="1626"/>
      <c r="B424" s="1626"/>
      <c r="C424" s="1626"/>
      <c r="D424" s="1626"/>
      <c r="E424" s="1626"/>
      <c r="F424" s="1626"/>
      <c r="G424" s="1626"/>
      <c r="H424" s="1626"/>
      <c r="I424" s="1626"/>
      <c r="J424" s="1626"/>
      <c r="K424" s="1626"/>
      <c r="L424" s="1626"/>
      <c r="M424" s="1626"/>
      <c r="N424" s="1626"/>
      <c r="O424" s="1626"/>
      <c r="P424" s="1627"/>
      <c r="Q424" s="1627"/>
      <c r="R424" s="1626"/>
      <c r="S424" s="1626"/>
      <c r="T424" s="1626"/>
      <c r="U424" s="1626"/>
      <c r="V424" s="1626"/>
      <c r="W424" s="1626"/>
      <c r="X424" s="1626"/>
      <c r="Y424" s="1626"/>
      <c r="Z424" s="1626"/>
    </row>
    <row r="425" spans="1:26" ht="15.75" customHeight="1" x14ac:dyDescent="0.25">
      <c r="A425" s="1626"/>
      <c r="B425" s="1626"/>
      <c r="C425" s="1626"/>
      <c r="D425" s="1626"/>
      <c r="E425" s="1626"/>
      <c r="F425" s="1626"/>
      <c r="G425" s="1626"/>
      <c r="H425" s="1626"/>
      <c r="I425" s="1626"/>
      <c r="J425" s="1626"/>
      <c r="K425" s="1626"/>
      <c r="L425" s="1626"/>
      <c r="M425" s="1626"/>
      <c r="N425" s="1626"/>
      <c r="O425" s="1626"/>
      <c r="P425" s="1627"/>
      <c r="Q425" s="1627"/>
      <c r="R425" s="1626"/>
      <c r="S425" s="1626"/>
      <c r="T425" s="1626"/>
      <c r="U425" s="1626"/>
      <c r="V425" s="1626"/>
      <c r="W425" s="1626"/>
      <c r="X425" s="1626"/>
      <c r="Y425" s="1626"/>
      <c r="Z425" s="1626"/>
    </row>
    <row r="426" spans="1:26" ht="15.75" customHeight="1" x14ac:dyDescent="0.25">
      <c r="A426" s="1626"/>
      <c r="B426" s="1626"/>
      <c r="C426" s="1626"/>
      <c r="D426" s="1626"/>
      <c r="E426" s="1626"/>
      <c r="F426" s="1626"/>
      <c r="G426" s="1626"/>
      <c r="H426" s="1626"/>
      <c r="I426" s="1626"/>
      <c r="J426" s="1626"/>
      <c r="K426" s="1626"/>
      <c r="L426" s="1626"/>
      <c r="M426" s="1626"/>
      <c r="N426" s="1626"/>
      <c r="O426" s="1626"/>
      <c r="P426" s="1627"/>
      <c r="Q426" s="1627"/>
      <c r="R426" s="1626"/>
      <c r="S426" s="1626"/>
      <c r="T426" s="1626"/>
      <c r="U426" s="1626"/>
      <c r="V426" s="1626"/>
      <c r="W426" s="1626"/>
      <c r="X426" s="1626"/>
      <c r="Y426" s="1626"/>
      <c r="Z426" s="1626"/>
    </row>
    <row r="427" spans="1:26" ht="15.75" customHeight="1" x14ac:dyDescent="0.25">
      <c r="A427" s="1626"/>
      <c r="B427" s="1626"/>
      <c r="C427" s="1626"/>
      <c r="D427" s="1626"/>
      <c r="E427" s="1626"/>
      <c r="F427" s="1626"/>
      <c r="G427" s="1626"/>
      <c r="H427" s="1626"/>
      <c r="I427" s="1626"/>
      <c r="J427" s="1626"/>
      <c r="K427" s="1626"/>
      <c r="L427" s="1626"/>
      <c r="M427" s="1626"/>
      <c r="N427" s="1626"/>
      <c r="O427" s="1626"/>
      <c r="P427" s="1627"/>
      <c r="Q427" s="1627"/>
      <c r="R427" s="1626"/>
      <c r="S427" s="1626"/>
      <c r="T427" s="1626"/>
      <c r="U427" s="1626"/>
      <c r="V427" s="1626"/>
      <c r="W427" s="1626"/>
      <c r="X427" s="1626"/>
      <c r="Y427" s="1626"/>
      <c r="Z427" s="1626"/>
    </row>
    <row r="428" spans="1:26" ht="15.75" customHeight="1" x14ac:dyDescent="0.25">
      <c r="A428" s="1626"/>
      <c r="B428" s="1626"/>
      <c r="C428" s="1626"/>
      <c r="D428" s="1626"/>
      <c r="E428" s="1626"/>
      <c r="F428" s="1626"/>
      <c r="G428" s="1626"/>
      <c r="H428" s="1626"/>
      <c r="I428" s="1626"/>
      <c r="J428" s="1626"/>
      <c r="K428" s="1626"/>
      <c r="L428" s="1626"/>
      <c r="M428" s="1626"/>
      <c r="N428" s="1626"/>
      <c r="O428" s="1626"/>
      <c r="P428" s="1627"/>
      <c r="Q428" s="1627"/>
      <c r="R428" s="1626"/>
      <c r="S428" s="1626"/>
      <c r="T428" s="1626"/>
      <c r="U428" s="1626"/>
      <c r="V428" s="1626"/>
      <c r="W428" s="1626"/>
      <c r="X428" s="1626"/>
      <c r="Y428" s="1626"/>
      <c r="Z428" s="1626"/>
    </row>
    <row r="429" spans="1:26" ht="15.75" customHeight="1" x14ac:dyDescent="0.25">
      <c r="A429" s="1626"/>
      <c r="B429" s="1626"/>
      <c r="C429" s="1626"/>
      <c r="D429" s="1626"/>
      <c r="E429" s="1626"/>
      <c r="F429" s="1626"/>
      <c r="G429" s="1626"/>
      <c r="H429" s="1626"/>
      <c r="I429" s="1626"/>
      <c r="J429" s="1626"/>
      <c r="K429" s="1626"/>
      <c r="L429" s="1626"/>
      <c r="M429" s="1626"/>
      <c r="N429" s="1626"/>
      <c r="O429" s="1626"/>
      <c r="P429" s="1627"/>
      <c r="Q429" s="1627"/>
      <c r="R429" s="1626"/>
      <c r="S429" s="1626"/>
      <c r="T429" s="1626"/>
      <c r="U429" s="1626"/>
      <c r="V429" s="1626"/>
      <c r="W429" s="1626"/>
      <c r="X429" s="1626"/>
      <c r="Y429" s="1626"/>
      <c r="Z429" s="1626"/>
    </row>
    <row r="430" spans="1:26" ht="15.75" customHeight="1" x14ac:dyDescent="0.25">
      <c r="A430" s="1626"/>
      <c r="B430" s="1626"/>
      <c r="C430" s="1626"/>
      <c r="D430" s="1626"/>
      <c r="E430" s="1626"/>
      <c r="F430" s="1626"/>
      <c r="G430" s="1626"/>
      <c r="H430" s="1626"/>
      <c r="I430" s="1626"/>
      <c r="J430" s="1626"/>
      <c r="K430" s="1626"/>
      <c r="L430" s="1626"/>
      <c r="M430" s="1626"/>
      <c r="N430" s="1626"/>
      <c r="O430" s="1626"/>
      <c r="P430" s="1627"/>
      <c r="Q430" s="1627"/>
      <c r="R430" s="1626"/>
      <c r="S430" s="1626"/>
      <c r="T430" s="1626"/>
      <c r="U430" s="1626"/>
      <c r="V430" s="1626"/>
      <c r="W430" s="1626"/>
      <c r="X430" s="1626"/>
      <c r="Y430" s="1626"/>
      <c r="Z430" s="1626"/>
    </row>
    <row r="431" spans="1:26" ht="15.75" customHeight="1" x14ac:dyDescent="0.25">
      <c r="A431" s="1626"/>
      <c r="B431" s="1626"/>
      <c r="C431" s="1626"/>
      <c r="D431" s="1626"/>
      <c r="E431" s="1626"/>
      <c r="F431" s="1626"/>
      <c r="G431" s="1626"/>
      <c r="H431" s="1626"/>
      <c r="I431" s="1626"/>
      <c r="J431" s="1626"/>
      <c r="K431" s="1626"/>
      <c r="L431" s="1626"/>
      <c r="M431" s="1626"/>
      <c r="N431" s="1626"/>
      <c r="O431" s="1626"/>
      <c r="P431" s="1627"/>
      <c r="Q431" s="1627"/>
      <c r="R431" s="1626"/>
      <c r="S431" s="1626"/>
      <c r="T431" s="1626"/>
      <c r="U431" s="1626"/>
      <c r="V431" s="1626"/>
      <c r="W431" s="1626"/>
      <c r="X431" s="1626"/>
      <c r="Y431" s="1626"/>
      <c r="Z431" s="1626"/>
    </row>
    <row r="432" spans="1:26" ht="15.75" customHeight="1" x14ac:dyDescent="0.25">
      <c r="A432" s="1626"/>
      <c r="B432" s="1626"/>
      <c r="C432" s="1626"/>
      <c r="D432" s="1626"/>
      <c r="E432" s="1626"/>
      <c r="F432" s="1626"/>
      <c r="G432" s="1626"/>
      <c r="H432" s="1626"/>
      <c r="I432" s="1626"/>
      <c r="J432" s="1626"/>
      <c r="K432" s="1626"/>
      <c r="L432" s="1626"/>
      <c r="M432" s="1626"/>
      <c r="N432" s="1626"/>
      <c r="O432" s="1626"/>
      <c r="P432" s="1627"/>
      <c r="Q432" s="1627"/>
      <c r="R432" s="1626"/>
      <c r="S432" s="1626"/>
      <c r="T432" s="1626"/>
      <c r="U432" s="1626"/>
      <c r="V432" s="1626"/>
      <c r="W432" s="1626"/>
      <c r="X432" s="1626"/>
      <c r="Y432" s="1626"/>
      <c r="Z432" s="1626"/>
    </row>
    <row r="433" spans="1:26" ht="15.75" customHeight="1" x14ac:dyDescent="0.25">
      <c r="A433" s="1626"/>
      <c r="B433" s="1626"/>
      <c r="C433" s="1626"/>
      <c r="D433" s="1626"/>
      <c r="E433" s="1626"/>
      <c r="F433" s="1626"/>
      <c r="G433" s="1626"/>
      <c r="H433" s="1626"/>
      <c r="I433" s="1626"/>
      <c r="J433" s="1626"/>
      <c r="K433" s="1626"/>
      <c r="L433" s="1626"/>
      <c r="M433" s="1626"/>
      <c r="N433" s="1626"/>
      <c r="O433" s="1626"/>
      <c r="P433" s="1627"/>
      <c r="Q433" s="1627"/>
      <c r="R433" s="1626"/>
      <c r="S433" s="1626"/>
      <c r="T433" s="1626"/>
      <c r="U433" s="1626"/>
      <c r="V433" s="1626"/>
      <c r="W433" s="1626"/>
      <c r="X433" s="1626"/>
      <c r="Y433" s="1626"/>
      <c r="Z433" s="1626"/>
    </row>
    <row r="434" spans="1:26" ht="15.75" customHeight="1" x14ac:dyDescent="0.25">
      <c r="A434" s="1626"/>
      <c r="B434" s="1626"/>
      <c r="C434" s="1626"/>
      <c r="D434" s="1626"/>
      <c r="E434" s="1626"/>
      <c r="F434" s="1626"/>
      <c r="G434" s="1626"/>
      <c r="H434" s="1626"/>
      <c r="I434" s="1626"/>
      <c r="J434" s="1626"/>
      <c r="K434" s="1626"/>
      <c r="L434" s="1626"/>
      <c r="M434" s="1626"/>
      <c r="N434" s="1626"/>
      <c r="O434" s="1626"/>
      <c r="P434" s="1627"/>
      <c r="Q434" s="1627"/>
      <c r="R434" s="1626"/>
      <c r="S434" s="1626"/>
      <c r="T434" s="1626"/>
      <c r="U434" s="1626"/>
      <c r="V434" s="1626"/>
      <c r="W434" s="1626"/>
      <c r="X434" s="1626"/>
      <c r="Y434" s="1626"/>
      <c r="Z434" s="1626"/>
    </row>
    <row r="435" spans="1:26" ht="15.75" customHeight="1" x14ac:dyDescent="0.25">
      <c r="A435" s="1626"/>
      <c r="B435" s="1626"/>
      <c r="C435" s="1626"/>
      <c r="D435" s="1626"/>
      <c r="E435" s="1626"/>
      <c r="F435" s="1626"/>
      <c r="G435" s="1626"/>
      <c r="H435" s="1626"/>
      <c r="I435" s="1626"/>
      <c r="J435" s="1626"/>
      <c r="K435" s="1626"/>
      <c r="L435" s="1626"/>
      <c r="M435" s="1626"/>
      <c r="N435" s="1626"/>
      <c r="O435" s="1626"/>
      <c r="P435" s="1627"/>
      <c r="Q435" s="1627"/>
      <c r="R435" s="1626"/>
      <c r="S435" s="1626"/>
      <c r="T435" s="1626"/>
      <c r="U435" s="1626"/>
      <c r="V435" s="1626"/>
      <c r="W435" s="1626"/>
      <c r="X435" s="1626"/>
      <c r="Y435" s="1626"/>
      <c r="Z435" s="1626"/>
    </row>
    <row r="436" spans="1:26" ht="15.75" customHeight="1" x14ac:dyDescent="0.25">
      <c r="A436" s="1626"/>
      <c r="B436" s="1626"/>
      <c r="C436" s="1626"/>
      <c r="D436" s="1626"/>
      <c r="E436" s="1626"/>
      <c r="F436" s="1626"/>
      <c r="G436" s="1626"/>
      <c r="H436" s="1626"/>
      <c r="I436" s="1626"/>
      <c r="J436" s="1626"/>
      <c r="K436" s="1626"/>
      <c r="L436" s="1626"/>
      <c r="M436" s="1626"/>
      <c r="N436" s="1626"/>
      <c r="O436" s="1626"/>
      <c r="P436" s="1627"/>
      <c r="Q436" s="1627"/>
      <c r="R436" s="1626"/>
      <c r="S436" s="1626"/>
      <c r="T436" s="1626"/>
      <c r="U436" s="1626"/>
      <c r="V436" s="1626"/>
      <c r="W436" s="1626"/>
      <c r="X436" s="1626"/>
      <c r="Y436" s="1626"/>
      <c r="Z436" s="1626"/>
    </row>
    <row r="437" spans="1:26" ht="15.75" customHeight="1" x14ac:dyDescent="0.25">
      <c r="A437" s="1626"/>
      <c r="B437" s="1626"/>
      <c r="C437" s="1626"/>
      <c r="D437" s="1626"/>
      <c r="E437" s="1626"/>
      <c r="F437" s="1626"/>
      <c r="G437" s="1626"/>
      <c r="H437" s="1626"/>
      <c r="I437" s="1626"/>
      <c r="J437" s="1626"/>
      <c r="K437" s="1626"/>
      <c r="L437" s="1626"/>
      <c r="M437" s="1626"/>
      <c r="N437" s="1626"/>
      <c r="O437" s="1626"/>
      <c r="P437" s="1627"/>
      <c r="Q437" s="1627"/>
      <c r="R437" s="1626"/>
      <c r="S437" s="1626"/>
      <c r="T437" s="1626"/>
      <c r="U437" s="1626"/>
      <c r="V437" s="1626"/>
      <c r="W437" s="1626"/>
      <c r="X437" s="1626"/>
      <c r="Y437" s="1626"/>
      <c r="Z437" s="1626"/>
    </row>
    <row r="438" spans="1:26" ht="15.75" customHeight="1" x14ac:dyDescent="0.25">
      <c r="A438" s="1626"/>
      <c r="B438" s="1626"/>
      <c r="C438" s="1626"/>
      <c r="D438" s="1626"/>
      <c r="E438" s="1626"/>
      <c r="F438" s="1626"/>
      <c r="G438" s="1626"/>
      <c r="H438" s="1626"/>
      <c r="I438" s="1626"/>
      <c r="J438" s="1626"/>
      <c r="K438" s="1626"/>
      <c r="L438" s="1626"/>
      <c r="M438" s="1626"/>
      <c r="N438" s="1626"/>
      <c r="O438" s="1626"/>
      <c r="P438" s="1627"/>
      <c r="Q438" s="1627"/>
      <c r="R438" s="1626"/>
      <c r="S438" s="1626"/>
      <c r="T438" s="1626"/>
      <c r="U438" s="1626"/>
      <c r="V438" s="1626"/>
      <c r="W438" s="1626"/>
      <c r="X438" s="1626"/>
      <c r="Y438" s="1626"/>
      <c r="Z438" s="1626"/>
    </row>
    <row r="439" spans="1:26" ht="15.75" customHeight="1" x14ac:dyDescent="0.25">
      <c r="A439" s="1626"/>
      <c r="B439" s="1626"/>
      <c r="C439" s="1626"/>
      <c r="D439" s="1626"/>
      <c r="E439" s="1626"/>
      <c r="F439" s="1626"/>
      <c r="G439" s="1626"/>
      <c r="H439" s="1626"/>
      <c r="I439" s="1626"/>
      <c r="J439" s="1626"/>
      <c r="K439" s="1626"/>
      <c r="L439" s="1626"/>
      <c r="M439" s="1626"/>
      <c r="N439" s="1626"/>
      <c r="O439" s="1626"/>
      <c r="P439" s="1627"/>
      <c r="Q439" s="1627"/>
      <c r="R439" s="1626"/>
      <c r="S439" s="1626"/>
      <c r="T439" s="1626"/>
      <c r="U439" s="1626"/>
      <c r="V439" s="1626"/>
      <c r="W439" s="1626"/>
      <c r="X439" s="1626"/>
      <c r="Y439" s="1626"/>
      <c r="Z439" s="1626"/>
    </row>
    <row r="440" spans="1:26" ht="15.75" customHeight="1" x14ac:dyDescent="0.25">
      <c r="A440" s="1626"/>
      <c r="B440" s="1626"/>
      <c r="C440" s="1626"/>
      <c r="D440" s="1626"/>
      <c r="E440" s="1626"/>
      <c r="F440" s="1626"/>
      <c r="G440" s="1626"/>
      <c r="H440" s="1626"/>
      <c r="I440" s="1626"/>
      <c r="J440" s="1626"/>
      <c r="K440" s="1626"/>
      <c r="L440" s="1626"/>
      <c r="M440" s="1626"/>
      <c r="N440" s="1626"/>
      <c r="O440" s="1626"/>
      <c r="P440" s="1627"/>
      <c r="Q440" s="1627"/>
      <c r="R440" s="1626"/>
      <c r="S440" s="1626"/>
      <c r="T440" s="1626"/>
      <c r="U440" s="1626"/>
      <c r="V440" s="1626"/>
      <c r="W440" s="1626"/>
      <c r="X440" s="1626"/>
      <c r="Y440" s="1626"/>
      <c r="Z440" s="1626"/>
    </row>
    <row r="441" spans="1:26" ht="15.75" customHeight="1" x14ac:dyDescent="0.25">
      <c r="A441" s="1626"/>
      <c r="B441" s="1626"/>
      <c r="C441" s="1626"/>
      <c r="D441" s="1626"/>
      <c r="E441" s="1626"/>
      <c r="F441" s="1626"/>
      <c r="G441" s="1626"/>
      <c r="H441" s="1626"/>
      <c r="I441" s="1626"/>
      <c r="J441" s="1626"/>
      <c r="K441" s="1626"/>
      <c r="L441" s="1626"/>
      <c r="M441" s="1626"/>
      <c r="N441" s="1626"/>
      <c r="O441" s="1626"/>
      <c r="P441" s="1627"/>
      <c r="Q441" s="1627"/>
      <c r="R441" s="1626"/>
      <c r="S441" s="1626"/>
      <c r="T441" s="1626"/>
      <c r="U441" s="1626"/>
      <c r="V441" s="1626"/>
      <c r="W441" s="1626"/>
      <c r="X441" s="1626"/>
      <c r="Y441" s="1626"/>
      <c r="Z441" s="1626"/>
    </row>
    <row r="442" spans="1:26" ht="15.75" customHeight="1" x14ac:dyDescent="0.25">
      <c r="A442" s="1626"/>
      <c r="B442" s="1626"/>
      <c r="C442" s="1626"/>
      <c r="D442" s="1626"/>
      <c r="E442" s="1626"/>
      <c r="F442" s="1626"/>
      <c r="G442" s="1626"/>
      <c r="H442" s="1626"/>
      <c r="I442" s="1626"/>
      <c r="J442" s="1626"/>
      <c r="K442" s="1626"/>
      <c r="L442" s="1626"/>
      <c r="M442" s="1626"/>
      <c r="N442" s="1626"/>
      <c r="O442" s="1626"/>
      <c r="P442" s="1627"/>
      <c r="Q442" s="1627"/>
      <c r="R442" s="1626"/>
      <c r="S442" s="1626"/>
      <c r="T442" s="1626"/>
      <c r="U442" s="1626"/>
      <c r="V442" s="1626"/>
      <c r="W442" s="1626"/>
      <c r="X442" s="1626"/>
      <c r="Y442" s="1626"/>
      <c r="Z442" s="1626"/>
    </row>
    <row r="443" spans="1:26" ht="15.75" customHeight="1" x14ac:dyDescent="0.25">
      <c r="A443" s="1626"/>
      <c r="B443" s="1626"/>
      <c r="C443" s="1626"/>
      <c r="D443" s="1626"/>
      <c r="E443" s="1626"/>
      <c r="F443" s="1626"/>
      <c r="G443" s="1626"/>
      <c r="H443" s="1626"/>
      <c r="I443" s="1626"/>
      <c r="J443" s="1626"/>
      <c r="K443" s="1626"/>
      <c r="L443" s="1626"/>
      <c r="M443" s="1626"/>
      <c r="N443" s="1626"/>
      <c r="O443" s="1626"/>
      <c r="P443" s="1627"/>
      <c r="Q443" s="1627"/>
      <c r="R443" s="1626"/>
      <c r="S443" s="1626"/>
      <c r="T443" s="1626"/>
      <c r="U443" s="1626"/>
      <c r="V443" s="1626"/>
      <c r="W443" s="1626"/>
      <c r="X443" s="1626"/>
      <c r="Y443" s="1626"/>
      <c r="Z443" s="1626"/>
    </row>
    <row r="444" spans="1:26" ht="15.75" customHeight="1" x14ac:dyDescent="0.25">
      <c r="A444" s="1626"/>
      <c r="B444" s="1626"/>
      <c r="C444" s="1626"/>
      <c r="D444" s="1626"/>
      <c r="E444" s="1626"/>
      <c r="F444" s="1626"/>
      <c r="G444" s="1626"/>
      <c r="H444" s="1626"/>
      <c r="I444" s="1626"/>
      <c r="J444" s="1626"/>
      <c r="K444" s="1626"/>
      <c r="L444" s="1626"/>
      <c r="M444" s="1626"/>
      <c r="N444" s="1626"/>
      <c r="O444" s="1626"/>
      <c r="P444" s="1627"/>
      <c r="Q444" s="1627"/>
      <c r="R444" s="1626"/>
      <c r="S444" s="1626"/>
      <c r="T444" s="1626"/>
      <c r="U444" s="1626"/>
      <c r="V444" s="1626"/>
      <c r="W444" s="1626"/>
      <c r="X444" s="1626"/>
      <c r="Y444" s="1626"/>
      <c r="Z444" s="1626"/>
    </row>
    <row r="445" spans="1:26" ht="15.75" customHeight="1" x14ac:dyDescent="0.25">
      <c r="A445" s="1626"/>
      <c r="B445" s="1626"/>
      <c r="C445" s="1626"/>
      <c r="D445" s="1626"/>
      <c r="E445" s="1626"/>
      <c r="F445" s="1626"/>
      <c r="G445" s="1626"/>
      <c r="H445" s="1626"/>
      <c r="I445" s="1626"/>
      <c r="J445" s="1626"/>
      <c r="K445" s="1626"/>
      <c r="L445" s="1626"/>
      <c r="M445" s="1626"/>
      <c r="N445" s="1626"/>
      <c r="O445" s="1626"/>
      <c r="P445" s="1627"/>
      <c r="Q445" s="1627"/>
      <c r="R445" s="1626"/>
      <c r="S445" s="1626"/>
      <c r="T445" s="1626"/>
      <c r="U445" s="1626"/>
      <c r="V445" s="1626"/>
      <c r="W445" s="1626"/>
      <c r="X445" s="1626"/>
      <c r="Y445" s="1626"/>
      <c r="Z445" s="1626"/>
    </row>
    <row r="446" spans="1:26" ht="15.75" customHeight="1" x14ac:dyDescent="0.25">
      <c r="A446" s="1626"/>
      <c r="B446" s="1626"/>
      <c r="C446" s="1626"/>
      <c r="D446" s="1626"/>
      <c r="E446" s="1626"/>
      <c r="F446" s="1626"/>
      <c r="G446" s="1626"/>
      <c r="H446" s="1626"/>
      <c r="I446" s="1626"/>
      <c r="J446" s="1626"/>
      <c r="K446" s="1626"/>
      <c r="L446" s="1626"/>
      <c r="M446" s="1626"/>
      <c r="N446" s="1626"/>
      <c r="O446" s="1626"/>
      <c r="P446" s="1627"/>
      <c r="Q446" s="1627"/>
      <c r="R446" s="1626"/>
      <c r="S446" s="1626"/>
      <c r="T446" s="1626"/>
      <c r="U446" s="1626"/>
      <c r="V446" s="1626"/>
      <c r="W446" s="1626"/>
      <c r="X446" s="1626"/>
      <c r="Y446" s="1626"/>
      <c r="Z446" s="1626"/>
    </row>
    <row r="447" spans="1:26" ht="15.75" customHeight="1" x14ac:dyDescent="0.25">
      <c r="A447" s="1626"/>
      <c r="B447" s="1626"/>
      <c r="C447" s="1626"/>
      <c r="D447" s="1626"/>
      <c r="E447" s="1626"/>
      <c r="F447" s="1626"/>
      <c r="G447" s="1626"/>
      <c r="H447" s="1626"/>
      <c r="I447" s="1626"/>
      <c r="J447" s="1626"/>
      <c r="K447" s="1626"/>
      <c r="L447" s="1626"/>
      <c r="M447" s="1626"/>
      <c r="N447" s="1626"/>
      <c r="O447" s="1626"/>
      <c r="P447" s="1627"/>
      <c r="Q447" s="1627"/>
      <c r="R447" s="1626"/>
      <c r="S447" s="1626"/>
      <c r="T447" s="1626"/>
      <c r="U447" s="1626"/>
      <c r="V447" s="1626"/>
      <c r="W447" s="1626"/>
      <c r="X447" s="1626"/>
      <c r="Y447" s="1626"/>
      <c r="Z447" s="1626"/>
    </row>
    <row r="448" spans="1:26" ht="15.75" customHeight="1" x14ac:dyDescent="0.25">
      <c r="A448" s="1626"/>
      <c r="B448" s="1626"/>
      <c r="C448" s="1626"/>
      <c r="D448" s="1626"/>
      <c r="E448" s="1626"/>
      <c r="F448" s="1626"/>
      <c r="G448" s="1626"/>
      <c r="H448" s="1626"/>
      <c r="I448" s="1626"/>
      <c r="J448" s="1626"/>
      <c r="K448" s="1626"/>
      <c r="L448" s="1626"/>
      <c r="M448" s="1626"/>
      <c r="N448" s="1626"/>
      <c r="O448" s="1626"/>
      <c r="P448" s="1627"/>
      <c r="Q448" s="1627"/>
      <c r="R448" s="1626"/>
      <c r="S448" s="1626"/>
      <c r="T448" s="1626"/>
      <c r="U448" s="1626"/>
      <c r="V448" s="1626"/>
      <c r="W448" s="1626"/>
      <c r="X448" s="1626"/>
      <c r="Y448" s="1626"/>
      <c r="Z448" s="1626"/>
    </row>
    <row r="449" spans="1:26" ht="15.75" customHeight="1" x14ac:dyDescent="0.25">
      <c r="A449" s="1626"/>
      <c r="B449" s="1626"/>
      <c r="C449" s="1626"/>
      <c r="D449" s="1626"/>
      <c r="E449" s="1626"/>
      <c r="F449" s="1626"/>
      <c r="G449" s="1626"/>
      <c r="H449" s="1626"/>
      <c r="I449" s="1626"/>
      <c r="J449" s="1626"/>
      <c r="K449" s="1626"/>
      <c r="L449" s="1626"/>
      <c r="M449" s="1626"/>
      <c r="N449" s="1626"/>
      <c r="O449" s="1626"/>
      <c r="P449" s="1627"/>
      <c r="Q449" s="1627"/>
      <c r="R449" s="1626"/>
      <c r="S449" s="1626"/>
      <c r="T449" s="1626"/>
      <c r="U449" s="1626"/>
      <c r="V449" s="1626"/>
      <c r="W449" s="1626"/>
      <c r="X449" s="1626"/>
      <c r="Y449" s="1626"/>
      <c r="Z449" s="1626"/>
    </row>
    <row r="450" spans="1:26" ht="15.75" customHeight="1" x14ac:dyDescent="0.25">
      <c r="A450" s="1626"/>
      <c r="B450" s="1626"/>
      <c r="C450" s="1626"/>
      <c r="D450" s="1626"/>
      <c r="E450" s="1626"/>
      <c r="F450" s="1626"/>
      <c r="G450" s="1626"/>
      <c r="H450" s="1626"/>
      <c r="I450" s="1626"/>
      <c r="J450" s="1626"/>
      <c r="K450" s="1626"/>
      <c r="L450" s="1626"/>
      <c r="M450" s="1626"/>
      <c r="N450" s="1626"/>
      <c r="O450" s="1626"/>
      <c r="P450" s="1627"/>
      <c r="Q450" s="1627"/>
      <c r="R450" s="1626"/>
      <c r="S450" s="1626"/>
      <c r="T450" s="1626"/>
      <c r="U450" s="1626"/>
      <c r="V450" s="1626"/>
      <c r="W450" s="1626"/>
      <c r="X450" s="1626"/>
      <c r="Y450" s="1626"/>
      <c r="Z450" s="1626"/>
    </row>
    <row r="451" spans="1:26" ht="15.75" customHeight="1" x14ac:dyDescent="0.25">
      <c r="A451" s="1626"/>
      <c r="B451" s="1626"/>
      <c r="C451" s="1626"/>
      <c r="D451" s="1626"/>
      <c r="E451" s="1626"/>
      <c r="F451" s="1626"/>
      <c r="G451" s="1626"/>
      <c r="H451" s="1626"/>
      <c r="I451" s="1626"/>
      <c r="J451" s="1626"/>
      <c r="K451" s="1626"/>
      <c r="L451" s="1626"/>
      <c r="M451" s="1626"/>
      <c r="N451" s="1626"/>
      <c r="O451" s="1626"/>
      <c r="P451" s="1627"/>
      <c r="Q451" s="1627"/>
      <c r="R451" s="1626"/>
      <c r="S451" s="1626"/>
      <c r="T451" s="1626"/>
      <c r="U451" s="1626"/>
      <c r="V451" s="1626"/>
      <c r="W451" s="1626"/>
      <c r="X451" s="1626"/>
      <c r="Y451" s="1626"/>
      <c r="Z451" s="1626"/>
    </row>
    <row r="452" spans="1:26" ht="15.75" customHeight="1" x14ac:dyDescent="0.25">
      <c r="A452" s="1626"/>
      <c r="B452" s="1626"/>
      <c r="C452" s="1626"/>
      <c r="D452" s="1626"/>
      <c r="E452" s="1626"/>
      <c r="F452" s="1626"/>
      <c r="G452" s="1626"/>
      <c r="H452" s="1626"/>
      <c r="I452" s="1626"/>
      <c r="J452" s="1626"/>
      <c r="K452" s="1626"/>
      <c r="L452" s="1626"/>
      <c r="M452" s="1626"/>
      <c r="N452" s="1626"/>
      <c r="O452" s="1626"/>
      <c r="P452" s="1627"/>
      <c r="Q452" s="1627"/>
      <c r="R452" s="1626"/>
      <c r="S452" s="1626"/>
      <c r="T452" s="1626"/>
      <c r="U452" s="1626"/>
      <c r="V452" s="1626"/>
      <c r="W452" s="1626"/>
      <c r="X452" s="1626"/>
      <c r="Y452" s="1626"/>
      <c r="Z452" s="1626"/>
    </row>
    <row r="453" spans="1:26" ht="15.75" customHeight="1" x14ac:dyDescent="0.25">
      <c r="A453" s="1626"/>
      <c r="B453" s="1626"/>
      <c r="C453" s="1626"/>
      <c r="D453" s="1626"/>
      <c r="E453" s="1626"/>
      <c r="F453" s="1626"/>
      <c r="G453" s="1626"/>
      <c r="H453" s="1626"/>
      <c r="I453" s="1626"/>
      <c r="J453" s="1626"/>
      <c r="K453" s="1626"/>
      <c r="L453" s="1626"/>
      <c r="M453" s="1626"/>
      <c r="N453" s="1626"/>
      <c r="O453" s="1626"/>
      <c r="P453" s="1627"/>
      <c r="Q453" s="1627"/>
      <c r="R453" s="1626"/>
      <c r="S453" s="1626"/>
      <c r="T453" s="1626"/>
      <c r="U453" s="1626"/>
      <c r="V453" s="1626"/>
      <c r="W453" s="1626"/>
      <c r="X453" s="1626"/>
      <c r="Y453" s="1626"/>
      <c r="Z453" s="1626"/>
    </row>
    <row r="454" spans="1:26" ht="15.75" customHeight="1" x14ac:dyDescent="0.25">
      <c r="A454" s="1626"/>
      <c r="B454" s="1626"/>
      <c r="C454" s="1626"/>
      <c r="D454" s="1626"/>
      <c r="E454" s="1626"/>
      <c r="F454" s="1626"/>
      <c r="G454" s="1626"/>
      <c r="H454" s="1626"/>
      <c r="I454" s="1626"/>
      <c r="J454" s="1626"/>
      <c r="K454" s="1626"/>
      <c r="L454" s="1626"/>
      <c r="M454" s="1626"/>
      <c r="N454" s="1626"/>
      <c r="O454" s="1626"/>
      <c r="P454" s="1627"/>
      <c r="Q454" s="1627"/>
      <c r="R454" s="1626"/>
      <c r="S454" s="1626"/>
      <c r="T454" s="1626"/>
      <c r="U454" s="1626"/>
      <c r="V454" s="1626"/>
      <c r="W454" s="1626"/>
      <c r="X454" s="1626"/>
      <c r="Y454" s="1626"/>
      <c r="Z454" s="1626"/>
    </row>
    <row r="455" spans="1:26" ht="15.75" customHeight="1" x14ac:dyDescent="0.25">
      <c r="A455" s="1626"/>
      <c r="B455" s="1626"/>
      <c r="C455" s="1626"/>
      <c r="D455" s="1626"/>
      <c r="E455" s="1626"/>
      <c r="F455" s="1626"/>
      <c r="G455" s="1626"/>
      <c r="H455" s="1626"/>
      <c r="I455" s="1626"/>
      <c r="J455" s="1626"/>
      <c r="K455" s="1626"/>
      <c r="L455" s="1626"/>
      <c r="M455" s="1626"/>
      <c r="N455" s="1626"/>
      <c r="O455" s="1626"/>
      <c r="P455" s="1627"/>
      <c r="Q455" s="1627"/>
      <c r="R455" s="1626"/>
      <c r="S455" s="1626"/>
      <c r="T455" s="1626"/>
      <c r="U455" s="1626"/>
      <c r="V455" s="1626"/>
      <c r="W455" s="1626"/>
      <c r="X455" s="1626"/>
      <c r="Y455" s="1626"/>
      <c r="Z455" s="1626"/>
    </row>
    <row r="456" spans="1:26" ht="15.75" customHeight="1" x14ac:dyDescent="0.25">
      <c r="A456" s="1626"/>
      <c r="B456" s="1626"/>
      <c r="C456" s="1626"/>
      <c r="D456" s="1626"/>
      <c r="E456" s="1626"/>
      <c r="F456" s="1626"/>
      <c r="G456" s="1626"/>
      <c r="H456" s="1626"/>
      <c r="I456" s="1626"/>
      <c r="J456" s="1626"/>
      <c r="K456" s="1626"/>
      <c r="L456" s="1626"/>
      <c r="M456" s="1626"/>
      <c r="N456" s="1626"/>
      <c r="O456" s="1626"/>
      <c r="P456" s="1627"/>
      <c r="Q456" s="1627"/>
      <c r="R456" s="1626"/>
      <c r="S456" s="1626"/>
      <c r="T456" s="1626"/>
      <c r="U456" s="1626"/>
      <c r="V456" s="1626"/>
      <c r="W456" s="1626"/>
      <c r="X456" s="1626"/>
      <c r="Y456" s="1626"/>
      <c r="Z456" s="1626"/>
    </row>
    <row r="457" spans="1:26" ht="15.75" customHeight="1" x14ac:dyDescent="0.25">
      <c r="A457" s="1626"/>
      <c r="B457" s="1626"/>
      <c r="C457" s="1626"/>
      <c r="D457" s="1626"/>
      <c r="E457" s="1626"/>
      <c r="F457" s="1626"/>
      <c r="G457" s="1626"/>
      <c r="H457" s="1626"/>
      <c r="I457" s="1626"/>
      <c r="J457" s="1626"/>
      <c r="K457" s="1626"/>
      <c r="L457" s="1626"/>
      <c r="M457" s="1626"/>
      <c r="N457" s="1626"/>
      <c r="O457" s="1626"/>
      <c r="P457" s="1627"/>
      <c r="Q457" s="1627"/>
      <c r="R457" s="1626"/>
      <c r="S457" s="1626"/>
      <c r="T457" s="1626"/>
      <c r="U457" s="1626"/>
      <c r="V457" s="1626"/>
      <c r="W457" s="1626"/>
      <c r="X457" s="1626"/>
      <c r="Y457" s="1626"/>
      <c r="Z457" s="1626"/>
    </row>
    <row r="458" spans="1:26" ht="15.75" customHeight="1" x14ac:dyDescent="0.25">
      <c r="A458" s="1626"/>
      <c r="B458" s="1626"/>
      <c r="C458" s="1626"/>
      <c r="D458" s="1626"/>
      <c r="E458" s="1626"/>
      <c r="F458" s="1626"/>
      <c r="G458" s="1626"/>
      <c r="H458" s="1626"/>
      <c r="I458" s="1626"/>
      <c r="J458" s="1626"/>
      <c r="K458" s="1626"/>
      <c r="L458" s="1626"/>
      <c r="M458" s="1626"/>
      <c r="N458" s="1626"/>
      <c r="O458" s="1626"/>
      <c r="P458" s="1627"/>
      <c r="Q458" s="1627"/>
      <c r="R458" s="1626"/>
      <c r="S458" s="1626"/>
      <c r="T458" s="1626"/>
      <c r="U458" s="1626"/>
      <c r="V458" s="1626"/>
      <c r="W458" s="1626"/>
      <c r="X458" s="1626"/>
      <c r="Y458" s="1626"/>
      <c r="Z458" s="1626"/>
    </row>
    <row r="459" spans="1:26" ht="15.75" customHeight="1" x14ac:dyDescent="0.25">
      <c r="A459" s="1626"/>
      <c r="B459" s="1626"/>
      <c r="C459" s="1626"/>
      <c r="D459" s="1626"/>
      <c r="E459" s="1626"/>
      <c r="F459" s="1626"/>
      <c r="G459" s="1626"/>
      <c r="H459" s="1626"/>
      <c r="I459" s="1626"/>
      <c r="J459" s="1626"/>
      <c r="K459" s="1626"/>
      <c r="L459" s="1626"/>
      <c r="M459" s="1626"/>
      <c r="N459" s="1626"/>
      <c r="O459" s="1626"/>
      <c r="P459" s="1627"/>
      <c r="Q459" s="1627"/>
      <c r="R459" s="1626"/>
      <c r="S459" s="1626"/>
      <c r="T459" s="1626"/>
      <c r="U459" s="1626"/>
      <c r="V459" s="1626"/>
      <c r="W459" s="1626"/>
      <c r="X459" s="1626"/>
      <c r="Y459" s="1626"/>
      <c r="Z459" s="1626"/>
    </row>
    <row r="460" spans="1:26" ht="15.75" customHeight="1" x14ac:dyDescent="0.25">
      <c r="A460" s="1626"/>
      <c r="B460" s="1626"/>
      <c r="C460" s="1626"/>
      <c r="D460" s="1626"/>
      <c r="E460" s="1626"/>
      <c r="F460" s="1626"/>
      <c r="G460" s="1626"/>
      <c r="H460" s="1626"/>
      <c r="I460" s="1626"/>
      <c r="J460" s="1626"/>
      <c r="K460" s="1626"/>
      <c r="L460" s="1626"/>
      <c r="M460" s="1626"/>
      <c r="N460" s="1626"/>
      <c r="O460" s="1626"/>
      <c r="P460" s="1627"/>
      <c r="Q460" s="1627"/>
      <c r="R460" s="1626"/>
      <c r="S460" s="1626"/>
      <c r="T460" s="1626"/>
      <c r="U460" s="1626"/>
      <c r="V460" s="1626"/>
      <c r="W460" s="1626"/>
      <c r="X460" s="1626"/>
      <c r="Y460" s="1626"/>
      <c r="Z460" s="1626"/>
    </row>
    <row r="461" spans="1:26" ht="15.75" customHeight="1" x14ac:dyDescent="0.25">
      <c r="A461" s="1626"/>
      <c r="B461" s="1626"/>
      <c r="C461" s="1626"/>
      <c r="D461" s="1626"/>
      <c r="E461" s="1626"/>
      <c r="F461" s="1626"/>
      <c r="G461" s="1626"/>
      <c r="H461" s="1626"/>
      <c r="I461" s="1626"/>
      <c r="J461" s="1626"/>
      <c r="K461" s="1626"/>
      <c r="L461" s="1626"/>
      <c r="M461" s="1626"/>
      <c r="N461" s="1626"/>
      <c r="O461" s="1626"/>
      <c r="P461" s="1627"/>
      <c r="Q461" s="1627"/>
      <c r="R461" s="1626"/>
      <c r="S461" s="1626"/>
      <c r="T461" s="1626"/>
      <c r="U461" s="1626"/>
      <c r="V461" s="1626"/>
      <c r="W461" s="1626"/>
      <c r="X461" s="1626"/>
      <c r="Y461" s="1626"/>
      <c r="Z461" s="1626"/>
    </row>
    <row r="462" spans="1:26" ht="15.75" customHeight="1" x14ac:dyDescent="0.25">
      <c r="A462" s="1626"/>
      <c r="B462" s="1626"/>
      <c r="C462" s="1626"/>
      <c r="D462" s="1626"/>
      <c r="E462" s="1626"/>
      <c r="F462" s="1626"/>
      <c r="G462" s="1626"/>
      <c r="H462" s="1626"/>
      <c r="I462" s="1626"/>
      <c r="J462" s="1626"/>
      <c r="K462" s="1626"/>
      <c r="L462" s="1626"/>
      <c r="M462" s="1626"/>
      <c r="N462" s="1626"/>
      <c r="O462" s="1626"/>
      <c r="P462" s="1627"/>
      <c r="Q462" s="1627"/>
      <c r="R462" s="1626"/>
      <c r="S462" s="1626"/>
      <c r="T462" s="1626"/>
      <c r="U462" s="1626"/>
      <c r="V462" s="1626"/>
      <c r="W462" s="1626"/>
      <c r="X462" s="1626"/>
      <c r="Y462" s="1626"/>
      <c r="Z462" s="1626"/>
    </row>
    <row r="463" spans="1:26" ht="15.75" customHeight="1" x14ac:dyDescent="0.25">
      <c r="A463" s="1626"/>
      <c r="B463" s="1626"/>
      <c r="C463" s="1626"/>
      <c r="D463" s="1626"/>
      <c r="E463" s="1626"/>
      <c r="F463" s="1626"/>
      <c r="G463" s="1626"/>
      <c r="H463" s="1626"/>
      <c r="I463" s="1626"/>
      <c r="J463" s="1626"/>
      <c r="K463" s="1626"/>
      <c r="L463" s="1626"/>
      <c r="M463" s="1626"/>
      <c r="N463" s="1626"/>
      <c r="O463" s="1626"/>
      <c r="P463" s="1627"/>
      <c r="Q463" s="1627"/>
      <c r="R463" s="1626"/>
      <c r="S463" s="1626"/>
      <c r="T463" s="1626"/>
      <c r="U463" s="1626"/>
      <c r="V463" s="1626"/>
      <c r="W463" s="1626"/>
      <c r="X463" s="1626"/>
      <c r="Y463" s="1626"/>
      <c r="Z463" s="1626"/>
    </row>
    <row r="464" spans="1:26" ht="15.75" customHeight="1" x14ac:dyDescent="0.25">
      <c r="A464" s="1626"/>
      <c r="B464" s="1626"/>
      <c r="C464" s="1626"/>
      <c r="D464" s="1626"/>
      <c r="E464" s="1626"/>
      <c r="F464" s="1626"/>
      <c r="G464" s="1626"/>
      <c r="H464" s="1626"/>
      <c r="I464" s="1626"/>
      <c r="J464" s="1626"/>
      <c r="K464" s="1626"/>
      <c r="L464" s="1626"/>
      <c r="M464" s="1626"/>
      <c r="N464" s="1626"/>
      <c r="O464" s="1626"/>
      <c r="P464" s="1627"/>
      <c r="Q464" s="1627"/>
      <c r="R464" s="1626"/>
      <c r="S464" s="1626"/>
      <c r="T464" s="1626"/>
      <c r="U464" s="1626"/>
      <c r="V464" s="1626"/>
      <c r="W464" s="1626"/>
      <c r="X464" s="1626"/>
      <c r="Y464" s="1626"/>
      <c r="Z464" s="1626"/>
    </row>
    <row r="465" spans="1:26" ht="15.75" customHeight="1" x14ac:dyDescent="0.25">
      <c r="A465" s="1626"/>
      <c r="B465" s="1626"/>
      <c r="C465" s="1626"/>
      <c r="D465" s="1626"/>
      <c r="E465" s="1626"/>
      <c r="F465" s="1626"/>
      <c r="G465" s="1626"/>
      <c r="H465" s="1626"/>
      <c r="I465" s="1626"/>
      <c r="J465" s="1626"/>
      <c r="K465" s="1626"/>
      <c r="L465" s="1626"/>
      <c r="M465" s="1626"/>
      <c r="N465" s="1626"/>
      <c r="O465" s="1626"/>
      <c r="P465" s="1627"/>
      <c r="Q465" s="1627"/>
      <c r="R465" s="1626"/>
      <c r="S465" s="1626"/>
      <c r="T465" s="1626"/>
      <c r="U465" s="1626"/>
      <c r="V465" s="1626"/>
      <c r="W465" s="1626"/>
      <c r="X465" s="1626"/>
      <c r="Y465" s="1626"/>
      <c r="Z465" s="1626"/>
    </row>
    <row r="466" spans="1:26" ht="15.75" customHeight="1" x14ac:dyDescent="0.25">
      <c r="A466" s="1626"/>
      <c r="B466" s="1626"/>
      <c r="C466" s="1626"/>
      <c r="D466" s="1626"/>
      <c r="E466" s="1626"/>
      <c r="F466" s="1626"/>
      <c r="G466" s="1626"/>
      <c r="H466" s="1626"/>
      <c r="I466" s="1626"/>
      <c r="J466" s="1626"/>
      <c r="K466" s="1626"/>
      <c r="L466" s="1626"/>
      <c r="M466" s="1626"/>
      <c r="N466" s="1626"/>
      <c r="O466" s="1626"/>
      <c r="P466" s="1627"/>
      <c r="Q466" s="1627"/>
      <c r="R466" s="1626"/>
      <c r="S466" s="1626"/>
      <c r="T466" s="1626"/>
      <c r="U466" s="1626"/>
      <c r="V466" s="1626"/>
      <c r="W466" s="1626"/>
      <c r="X466" s="1626"/>
      <c r="Y466" s="1626"/>
      <c r="Z466" s="1626"/>
    </row>
    <row r="467" spans="1:26" ht="15.75" customHeight="1" x14ac:dyDescent="0.25">
      <c r="A467" s="1626"/>
      <c r="B467" s="1626"/>
      <c r="C467" s="1626"/>
      <c r="D467" s="1626"/>
      <c r="E467" s="1626"/>
      <c r="F467" s="1626"/>
      <c r="G467" s="1626"/>
      <c r="H467" s="1626"/>
      <c r="I467" s="1626"/>
      <c r="J467" s="1626"/>
      <c r="K467" s="1626"/>
      <c r="L467" s="1626"/>
      <c r="M467" s="1626"/>
      <c r="N467" s="1626"/>
      <c r="O467" s="1626"/>
      <c r="P467" s="1627"/>
      <c r="Q467" s="1627"/>
      <c r="R467" s="1626"/>
      <c r="S467" s="1626"/>
      <c r="T467" s="1626"/>
      <c r="U467" s="1626"/>
      <c r="V467" s="1626"/>
      <c r="W467" s="1626"/>
      <c r="X467" s="1626"/>
      <c r="Y467" s="1626"/>
      <c r="Z467" s="1626"/>
    </row>
    <row r="468" spans="1:26" ht="15.75" customHeight="1" x14ac:dyDescent="0.25">
      <c r="A468" s="1626"/>
      <c r="B468" s="1626"/>
      <c r="C468" s="1626"/>
      <c r="D468" s="1626"/>
      <c r="E468" s="1626"/>
      <c r="F468" s="1626"/>
      <c r="G468" s="1626"/>
      <c r="H468" s="1626"/>
      <c r="I468" s="1626"/>
      <c r="J468" s="1626"/>
      <c r="K468" s="1626"/>
      <c r="L468" s="1626"/>
      <c r="M468" s="1626"/>
      <c r="N468" s="1626"/>
      <c r="O468" s="1626"/>
      <c r="P468" s="1627"/>
      <c r="Q468" s="1627"/>
      <c r="R468" s="1626"/>
      <c r="S468" s="1626"/>
      <c r="T468" s="1626"/>
      <c r="U468" s="1626"/>
      <c r="V468" s="1626"/>
      <c r="W468" s="1626"/>
      <c r="X468" s="1626"/>
      <c r="Y468" s="1626"/>
      <c r="Z468" s="1626"/>
    </row>
    <row r="469" spans="1:26" ht="15.75" customHeight="1" x14ac:dyDescent="0.25">
      <c r="A469" s="1626"/>
      <c r="B469" s="1626"/>
      <c r="C469" s="1626"/>
      <c r="D469" s="1626"/>
      <c r="E469" s="1626"/>
      <c r="F469" s="1626"/>
      <c r="G469" s="1626"/>
      <c r="H469" s="1626"/>
      <c r="I469" s="1626"/>
      <c r="J469" s="1626"/>
      <c r="K469" s="1626"/>
      <c r="L469" s="1626"/>
      <c r="M469" s="1626"/>
      <c r="N469" s="1626"/>
      <c r="O469" s="1626"/>
      <c r="P469" s="1627"/>
      <c r="Q469" s="1627"/>
      <c r="R469" s="1626"/>
      <c r="S469" s="1626"/>
      <c r="T469" s="1626"/>
      <c r="U469" s="1626"/>
      <c r="V469" s="1626"/>
      <c r="W469" s="1626"/>
      <c r="X469" s="1626"/>
      <c r="Y469" s="1626"/>
      <c r="Z469" s="1626"/>
    </row>
    <row r="470" spans="1:26" ht="15.75" customHeight="1" x14ac:dyDescent="0.25">
      <c r="A470" s="1626"/>
      <c r="B470" s="1626"/>
      <c r="C470" s="1626"/>
      <c r="D470" s="1626"/>
      <c r="E470" s="1626"/>
      <c r="F470" s="1626"/>
      <c r="G470" s="1626"/>
      <c r="H470" s="1626"/>
      <c r="I470" s="1626"/>
      <c r="J470" s="1626"/>
      <c r="K470" s="1626"/>
      <c r="L470" s="1626"/>
      <c r="M470" s="1626"/>
      <c r="N470" s="1626"/>
      <c r="O470" s="1626"/>
      <c r="P470" s="1627"/>
      <c r="Q470" s="1627"/>
      <c r="R470" s="1626"/>
      <c r="S470" s="1626"/>
      <c r="T470" s="1626"/>
      <c r="U470" s="1626"/>
      <c r="V470" s="1626"/>
      <c r="W470" s="1626"/>
      <c r="X470" s="1626"/>
      <c r="Y470" s="1626"/>
      <c r="Z470" s="1626"/>
    </row>
    <row r="471" spans="1:26" ht="15.75" customHeight="1" x14ac:dyDescent="0.25">
      <c r="A471" s="1626"/>
      <c r="B471" s="1626"/>
      <c r="C471" s="1626"/>
      <c r="D471" s="1626"/>
      <c r="E471" s="1626"/>
      <c r="F471" s="1626"/>
      <c r="G471" s="1626"/>
      <c r="H471" s="1626"/>
      <c r="I471" s="1626"/>
      <c r="J471" s="1626"/>
      <c r="K471" s="1626"/>
      <c r="L471" s="1626"/>
      <c r="M471" s="1626"/>
      <c r="N471" s="1626"/>
      <c r="O471" s="1626"/>
      <c r="P471" s="1627"/>
      <c r="Q471" s="1627"/>
      <c r="R471" s="1626"/>
      <c r="S471" s="1626"/>
      <c r="T471" s="1626"/>
      <c r="U471" s="1626"/>
      <c r="V471" s="1626"/>
      <c r="W471" s="1626"/>
      <c r="X471" s="1626"/>
      <c r="Y471" s="1626"/>
      <c r="Z471" s="1626"/>
    </row>
    <row r="472" spans="1:26" ht="15.75" customHeight="1" x14ac:dyDescent="0.25">
      <c r="A472" s="1626"/>
      <c r="B472" s="1626"/>
      <c r="C472" s="1626"/>
      <c r="D472" s="1626"/>
      <c r="E472" s="1626"/>
      <c r="F472" s="1626"/>
      <c r="G472" s="1626"/>
      <c r="H472" s="1626"/>
      <c r="I472" s="1626"/>
      <c r="J472" s="1626"/>
      <c r="K472" s="1626"/>
      <c r="L472" s="1626"/>
      <c r="M472" s="1626"/>
      <c r="N472" s="1626"/>
      <c r="O472" s="1626"/>
      <c r="P472" s="1627"/>
      <c r="Q472" s="1627"/>
      <c r="R472" s="1626"/>
      <c r="S472" s="1626"/>
      <c r="T472" s="1626"/>
      <c r="U472" s="1626"/>
      <c r="V472" s="1626"/>
      <c r="W472" s="1626"/>
      <c r="X472" s="1626"/>
      <c r="Y472" s="1626"/>
      <c r="Z472" s="1626"/>
    </row>
    <row r="473" spans="1:26" ht="15.75" customHeight="1" x14ac:dyDescent="0.25">
      <c r="A473" s="1626"/>
      <c r="B473" s="1626"/>
      <c r="C473" s="1626"/>
      <c r="D473" s="1626"/>
      <c r="E473" s="1626"/>
      <c r="F473" s="1626"/>
      <c r="G473" s="1626"/>
      <c r="H473" s="1626"/>
      <c r="I473" s="1626"/>
      <c r="J473" s="1626"/>
      <c r="K473" s="1626"/>
      <c r="L473" s="1626"/>
      <c r="M473" s="1626"/>
      <c r="N473" s="1626"/>
      <c r="O473" s="1626"/>
      <c r="P473" s="1627"/>
      <c r="Q473" s="1627"/>
      <c r="R473" s="1626"/>
      <c r="S473" s="1626"/>
      <c r="T473" s="1626"/>
      <c r="U473" s="1626"/>
      <c r="V473" s="1626"/>
      <c r="W473" s="1626"/>
      <c r="X473" s="1626"/>
      <c r="Y473" s="1626"/>
      <c r="Z473" s="1626"/>
    </row>
    <row r="474" spans="1:26" ht="15.75" customHeight="1" x14ac:dyDescent="0.25">
      <c r="A474" s="1626"/>
      <c r="B474" s="1626"/>
      <c r="C474" s="1626"/>
      <c r="D474" s="1626"/>
      <c r="E474" s="1626"/>
      <c r="F474" s="1626"/>
      <c r="G474" s="1626"/>
      <c r="H474" s="1626"/>
      <c r="I474" s="1626"/>
      <c r="J474" s="1626"/>
      <c r="K474" s="1626"/>
      <c r="L474" s="1626"/>
      <c r="M474" s="1626"/>
      <c r="N474" s="1626"/>
      <c r="O474" s="1626"/>
      <c r="P474" s="1627"/>
      <c r="Q474" s="1627"/>
      <c r="R474" s="1626"/>
      <c r="S474" s="1626"/>
      <c r="T474" s="1626"/>
      <c r="U474" s="1626"/>
      <c r="V474" s="1626"/>
      <c r="W474" s="1626"/>
      <c r="X474" s="1626"/>
      <c r="Y474" s="1626"/>
      <c r="Z474" s="1626"/>
    </row>
    <row r="475" spans="1:26" ht="15.75" customHeight="1" x14ac:dyDescent="0.25">
      <c r="A475" s="1626"/>
      <c r="B475" s="1626"/>
      <c r="C475" s="1626"/>
      <c r="D475" s="1626"/>
      <c r="E475" s="1626"/>
      <c r="F475" s="1626"/>
      <c r="G475" s="1626"/>
      <c r="H475" s="1626"/>
      <c r="I475" s="1626"/>
      <c r="J475" s="1626"/>
      <c r="K475" s="1626"/>
      <c r="L475" s="1626"/>
      <c r="M475" s="1626"/>
      <c r="N475" s="1626"/>
      <c r="O475" s="1626"/>
      <c r="P475" s="1627"/>
      <c r="Q475" s="1627"/>
      <c r="R475" s="1626"/>
      <c r="S475" s="1626"/>
      <c r="T475" s="1626"/>
      <c r="U475" s="1626"/>
      <c r="V475" s="1626"/>
      <c r="W475" s="1626"/>
      <c r="X475" s="1626"/>
      <c r="Y475" s="1626"/>
      <c r="Z475" s="1626"/>
    </row>
    <row r="476" spans="1:26" ht="15.75" customHeight="1" x14ac:dyDescent="0.25">
      <c r="A476" s="1626"/>
      <c r="B476" s="1626"/>
      <c r="C476" s="1626"/>
      <c r="D476" s="1626"/>
      <c r="E476" s="1626"/>
      <c r="F476" s="1626"/>
      <c r="G476" s="1626"/>
      <c r="H476" s="1626"/>
      <c r="I476" s="1626"/>
      <c r="J476" s="1626"/>
      <c r="K476" s="1626"/>
      <c r="L476" s="1626"/>
      <c r="M476" s="1626"/>
      <c r="N476" s="1626"/>
      <c r="O476" s="1626"/>
      <c r="P476" s="1627"/>
      <c r="Q476" s="1627"/>
      <c r="R476" s="1626"/>
      <c r="S476" s="1626"/>
      <c r="T476" s="1626"/>
      <c r="U476" s="1626"/>
      <c r="V476" s="1626"/>
      <c r="W476" s="1626"/>
      <c r="X476" s="1626"/>
      <c r="Y476" s="1626"/>
      <c r="Z476" s="1626"/>
    </row>
    <row r="477" spans="1:26" ht="15.75" customHeight="1" x14ac:dyDescent="0.25">
      <c r="A477" s="1626"/>
      <c r="B477" s="1626"/>
      <c r="C477" s="1626"/>
      <c r="D477" s="1626"/>
      <c r="E477" s="1626"/>
      <c r="F477" s="1626"/>
      <c r="G477" s="1626"/>
      <c r="H477" s="1626"/>
      <c r="I477" s="1626"/>
      <c r="J477" s="1626"/>
      <c r="K477" s="1626"/>
      <c r="L477" s="1626"/>
      <c r="M477" s="1626"/>
      <c r="N477" s="1626"/>
      <c r="O477" s="1626"/>
      <c r="P477" s="1627"/>
      <c r="Q477" s="1627"/>
      <c r="R477" s="1626"/>
      <c r="S477" s="1626"/>
      <c r="T477" s="1626"/>
      <c r="U477" s="1626"/>
      <c r="V477" s="1626"/>
      <c r="W477" s="1626"/>
      <c r="X477" s="1626"/>
      <c r="Y477" s="1626"/>
      <c r="Z477" s="1626"/>
    </row>
    <row r="478" spans="1:26" ht="15.75" customHeight="1" x14ac:dyDescent="0.25">
      <c r="A478" s="1626"/>
      <c r="B478" s="1626"/>
      <c r="C478" s="1626"/>
      <c r="D478" s="1626"/>
      <c r="E478" s="1626"/>
      <c r="F478" s="1626"/>
      <c r="G478" s="1626"/>
      <c r="H478" s="1626"/>
      <c r="I478" s="1626"/>
      <c r="J478" s="1626"/>
      <c r="K478" s="1626"/>
      <c r="L478" s="1626"/>
      <c r="M478" s="1626"/>
      <c r="N478" s="1626"/>
      <c r="O478" s="1626"/>
      <c r="P478" s="1627"/>
      <c r="Q478" s="1627"/>
      <c r="R478" s="1626"/>
      <c r="S478" s="1626"/>
      <c r="T478" s="1626"/>
      <c r="U478" s="1626"/>
      <c r="V478" s="1626"/>
      <c r="W478" s="1626"/>
      <c r="X478" s="1626"/>
      <c r="Y478" s="1626"/>
      <c r="Z478" s="1626"/>
    </row>
    <row r="479" spans="1:26" ht="15.75" customHeight="1" x14ac:dyDescent="0.25">
      <c r="A479" s="1626"/>
      <c r="B479" s="1626"/>
      <c r="C479" s="1626"/>
      <c r="D479" s="1626"/>
      <c r="E479" s="1626"/>
      <c r="F479" s="1626"/>
      <c r="G479" s="1626"/>
      <c r="H479" s="1626"/>
      <c r="I479" s="1626"/>
      <c r="J479" s="1626"/>
      <c r="K479" s="1626"/>
      <c r="L479" s="1626"/>
      <c r="M479" s="1626"/>
      <c r="N479" s="1626"/>
      <c r="O479" s="1626"/>
      <c r="P479" s="1627"/>
      <c r="Q479" s="1627"/>
      <c r="R479" s="1626"/>
      <c r="S479" s="1626"/>
      <c r="T479" s="1626"/>
      <c r="U479" s="1626"/>
      <c r="V479" s="1626"/>
      <c r="W479" s="1626"/>
      <c r="X479" s="1626"/>
      <c r="Y479" s="1626"/>
      <c r="Z479" s="1626"/>
    </row>
    <row r="480" spans="1:26" ht="15.75" customHeight="1" x14ac:dyDescent="0.25">
      <c r="A480" s="1626"/>
      <c r="B480" s="1626"/>
      <c r="C480" s="1626"/>
      <c r="D480" s="1626"/>
      <c r="E480" s="1626"/>
      <c r="F480" s="1626"/>
      <c r="G480" s="1626"/>
      <c r="H480" s="1626"/>
      <c r="I480" s="1626"/>
      <c r="J480" s="1626"/>
      <c r="K480" s="1626"/>
      <c r="L480" s="1626"/>
      <c r="M480" s="1626"/>
      <c r="N480" s="1626"/>
      <c r="O480" s="1626"/>
      <c r="P480" s="1627"/>
      <c r="Q480" s="1627"/>
      <c r="R480" s="1626"/>
      <c r="S480" s="1626"/>
      <c r="T480" s="1626"/>
      <c r="U480" s="1626"/>
      <c r="V480" s="1626"/>
      <c r="W480" s="1626"/>
      <c r="X480" s="1626"/>
      <c r="Y480" s="1626"/>
      <c r="Z480" s="1626"/>
    </row>
    <row r="481" spans="1:26" ht="15.75" customHeight="1" x14ac:dyDescent="0.25">
      <c r="A481" s="1626"/>
      <c r="B481" s="1626"/>
      <c r="C481" s="1626"/>
      <c r="D481" s="1626"/>
      <c r="E481" s="1626"/>
      <c r="F481" s="1626"/>
      <c r="G481" s="1626"/>
      <c r="H481" s="1626"/>
      <c r="I481" s="1626"/>
      <c r="J481" s="1626"/>
      <c r="K481" s="1626"/>
      <c r="L481" s="1626"/>
      <c r="M481" s="1626"/>
      <c r="N481" s="1626"/>
      <c r="O481" s="1626"/>
      <c r="P481" s="1627"/>
      <c r="Q481" s="1627"/>
      <c r="R481" s="1626"/>
      <c r="S481" s="1626"/>
      <c r="T481" s="1626"/>
      <c r="U481" s="1626"/>
      <c r="V481" s="1626"/>
      <c r="W481" s="1626"/>
      <c r="X481" s="1626"/>
      <c r="Y481" s="1626"/>
      <c r="Z481" s="1626"/>
    </row>
    <row r="482" spans="1:26" ht="15.75" customHeight="1" x14ac:dyDescent="0.25">
      <c r="A482" s="1626"/>
      <c r="B482" s="1626"/>
      <c r="C482" s="1626"/>
      <c r="D482" s="1626"/>
      <c r="E482" s="1626"/>
      <c r="F482" s="1626"/>
      <c r="G482" s="1626"/>
      <c r="H482" s="1626"/>
      <c r="I482" s="1626"/>
      <c r="J482" s="1626"/>
      <c r="K482" s="1626"/>
      <c r="L482" s="1626"/>
      <c r="M482" s="1626"/>
      <c r="N482" s="1626"/>
      <c r="O482" s="1626"/>
      <c r="P482" s="1627"/>
      <c r="Q482" s="1627"/>
      <c r="R482" s="1626"/>
      <c r="S482" s="1626"/>
      <c r="T482" s="1626"/>
      <c r="U482" s="1626"/>
      <c r="V482" s="1626"/>
      <c r="W482" s="1626"/>
      <c r="X482" s="1626"/>
      <c r="Y482" s="1626"/>
      <c r="Z482" s="1626"/>
    </row>
    <row r="483" spans="1:26" ht="15.75" customHeight="1" x14ac:dyDescent="0.25">
      <c r="A483" s="1626"/>
      <c r="B483" s="1626"/>
      <c r="C483" s="1626"/>
      <c r="D483" s="1626"/>
      <c r="E483" s="1626"/>
      <c r="F483" s="1626"/>
      <c r="G483" s="1626"/>
      <c r="H483" s="1626"/>
      <c r="I483" s="1626"/>
      <c r="J483" s="1626"/>
      <c r="K483" s="1626"/>
      <c r="L483" s="1626"/>
      <c r="M483" s="1626"/>
      <c r="N483" s="1626"/>
      <c r="O483" s="1626"/>
      <c r="P483" s="1627"/>
      <c r="Q483" s="1627"/>
      <c r="R483" s="1626"/>
      <c r="S483" s="1626"/>
      <c r="T483" s="1626"/>
      <c r="U483" s="1626"/>
      <c r="V483" s="1626"/>
      <c r="W483" s="1626"/>
      <c r="X483" s="1626"/>
      <c r="Y483" s="1626"/>
      <c r="Z483" s="1626"/>
    </row>
    <row r="484" spans="1:26" ht="15.75" customHeight="1" x14ac:dyDescent="0.25">
      <c r="A484" s="1626"/>
      <c r="B484" s="1626"/>
      <c r="C484" s="1626"/>
      <c r="D484" s="1626"/>
      <c r="E484" s="1626"/>
      <c r="F484" s="1626"/>
      <c r="G484" s="1626"/>
      <c r="H484" s="1626"/>
      <c r="I484" s="1626"/>
      <c r="J484" s="1626"/>
      <c r="K484" s="1626"/>
      <c r="L484" s="1626"/>
      <c r="M484" s="1626"/>
      <c r="N484" s="1626"/>
      <c r="O484" s="1626"/>
      <c r="P484" s="1627"/>
      <c r="Q484" s="1627"/>
      <c r="R484" s="1626"/>
      <c r="S484" s="1626"/>
      <c r="T484" s="1626"/>
      <c r="U484" s="1626"/>
      <c r="V484" s="1626"/>
      <c r="W484" s="1626"/>
      <c r="X484" s="1626"/>
      <c r="Y484" s="1626"/>
      <c r="Z484" s="1626"/>
    </row>
    <row r="485" spans="1:26" ht="15.75" customHeight="1" x14ac:dyDescent="0.25">
      <c r="A485" s="1626"/>
      <c r="B485" s="1626"/>
      <c r="C485" s="1626"/>
      <c r="D485" s="1626"/>
      <c r="E485" s="1626"/>
      <c r="F485" s="1626"/>
      <c r="G485" s="1626"/>
      <c r="H485" s="1626"/>
      <c r="I485" s="1626"/>
      <c r="J485" s="1626"/>
      <c r="K485" s="1626"/>
      <c r="L485" s="1626"/>
      <c r="M485" s="1626"/>
      <c r="N485" s="1626"/>
      <c r="O485" s="1626"/>
      <c r="P485" s="1627"/>
      <c r="Q485" s="1627"/>
      <c r="R485" s="1626"/>
      <c r="S485" s="1626"/>
      <c r="T485" s="1626"/>
      <c r="U485" s="1626"/>
      <c r="V485" s="1626"/>
      <c r="W485" s="1626"/>
      <c r="X485" s="1626"/>
      <c r="Y485" s="1626"/>
      <c r="Z485" s="1626"/>
    </row>
    <row r="486" spans="1:26" ht="15.75" customHeight="1" x14ac:dyDescent="0.25">
      <c r="A486" s="1626"/>
      <c r="B486" s="1626"/>
      <c r="C486" s="1626"/>
      <c r="D486" s="1626"/>
      <c r="E486" s="1626"/>
      <c r="F486" s="1626"/>
      <c r="G486" s="1626"/>
      <c r="H486" s="1626"/>
      <c r="I486" s="1626"/>
      <c r="J486" s="1626"/>
      <c r="K486" s="1626"/>
      <c r="L486" s="1626"/>
      <c r="M486" s="1626"/>
      <c r="N486" s="1626"/>
      <c r="O486" s="1626"/>
      <c r="P486" s="1627"/>
      <c r="Q486" s="1627"/>
      <c r="R486" s="1626"/>
      <c r="S486" s="1626"/>
      <c r="T486" s="1626"/>
      <c r="U486" s="1626"/>
      <c r="V486" s="1626"/>
      <c r="W486" s="1626"/>
      <c r="X486" s="1626"/>
      <c r="Y486" s="1626"/>
      <c r="Z486" s="1626"/>
    </row>
    <row r="487" spans="1:26" ht="15.75" customHeight="1" x14ac:dyDescent="0.25">
      <c r="A487" s="1626"/>
      <c r="B487" s="1626"/>
      <c r="C487" s="1626"/>
      <c r="D487" s="1626"/>
      <c r="E487" s="1626"/>
      <c r="F487" s="1626"/>
      <c r="G487" s="1626"/>
      <c r="H487" s="1626"/>
      <c r="I487" s="1626"/>
      <c r="J487" s="1626"/>
      <c r="K487" s="1626"/>
      <c r="L487" s="1626"/>
      <c r="M487" s="1626"/>
      <c r="N487" s="1626"/>
      <c r="O487" s="1626"/>
      <c r="P487" s="1627"/>
      <c r="Q487" s="1627"/>
      <c r="R487" s="1626"/>
      <c r="S487" s="1626"/>
      <c r="T487" s="1626"/>
      <c r="U487" s="1626"/>
      <c r="V487" s="1626"/>
      <c r="W487" s="1626"/>
      <c r="X487" s="1626"/>
      <c r="Y487" s="1626"/>
      <c r="Z487" s="1626"/>
    </row>
    <row r="488" spans="1:26" ht="15.75" customHeight="1" x14ac:dyDescent="0.25">
      <c r="A488" s="1626"/>
      <c r="B488" s="1626"/>
      <c r="C488" s="1626"/>
      <c r="D488" s="1626"/>
      <c r="E488" s="1626"/>
      <c r="F488" s="1626"/>
      <c r="G488" s="1626"/>
      <c r="H488" s="1626"/>
      <c r="I488" s="1626"/>
      <c r="J488" s="1626"/>
      <c r="K488" s="1626"/>
      <c r="L488" s="1626"/>
      <c r="M488" s="1626"/>
      <c r="N488" s="1626"/>
      <c r="O488" s="1626"/>
      <c r="P488" s="1627"/>
      <c r="Q488" s="1627"/>
      <c r="R488" s="1626"/>
      <c r="S488" s="1626"/>
      <c r="T488" s="1626"/>
      <c r="U488" s="1626"/>
      <c r="V488" s="1626"/>
      <c r="W488" s="1626"/>
      <c r="X488" s="1626"/>
      <c r="Y488" s="1626"/>
      <c r="Z488" s="1626"/>
    </row>
    <row r="489" spans="1:26" ht="15.75" customHeight="1" x14ac:dyDescent="0.25">
      <c r="A489" s="1626"/>
      <c r="B489" s="1626"/>
      <c r="C489" s="1626"/>
      <c r="D489" s="1626"/>
      <c r="E489" s="1626"/>
      <c r="F489" s="1626"/>
      <c r="G489" s="1626"/>
      <c r="H489" s="1626"/>
      <c r="I489" s="1626"/>
      <c r="J489" s="1626"/>
      <c r="K489" s="1626"/>
      <c r="L489" s="1626"/>
      <c r="M489" s="1626"/>
      <c r="N489" s="1626"/>
      <c r="O489" s="1626"/>
      <c r="P489" s="1627"/>
      <c r="Q489" s="1627"/>
      <c r="R489" s="1626"/>
      <c r="S489" s="1626"/>
      <c r="T489" s="1626"/>
      <c r="U489" s="1626"/>
      <c r="V489" s="1626"/>
      <c r="W489" s="1626"/>
      <c r="X489" s="1626"/>
      <c r="Y489" s="1626"/>
      <c r="Z489" s="1626"/>
    </row>
    <row r="490" spans="1:26" ht="15.75" customHeight="1" x14ac:dyDescent="0.25">
      <c r="A490" s="1626"/>
      <c r="B490" s="1626"/>
      <c r="C490" s="1626"/>
      <c r="D490" s="1626"/>
      <c r="E490" s="1626"/>
      <c r="F490" s="1626"/>
      <c r="G490" s="1626"/>
      <c r="H490" s="1626"/>
      <c r="I490" s="1626"/>
      <c r="J490" s="1626"/>
      <c r="K490" s="1626"/>
      <c r="L490" s="1626"/>
      <c r="M490" s="1626"/>
      <c r="N490" s="1626"/>
      <c r="O490" s="1626"/>
      <c r="P490" s="1627"/>
      <c r="Q490" s="1627"/>
      <c r="R490" s="1626"/>
      <c r="S490" s="1626"/>
      <c r="T490" s="1626"/>
      <c r="U490" s="1626"/>
      <c r="V490" s="1626"/>
      <c r="W490" s="1626"/>
      <c r="X490" s="1626"/>
      <c r="Y490" s="1626"/>
      <c r="Z490" s="1626"/>
    </row>
    <row r="491" spans="1:26" ht="15.75" customHeight="1" x14ac:dyDescent="0.25">
      <c r="A491" s="1626"/>
      <c r="B491" s="1626"/>
      <c r="C491" s="1626"/>
      <c r="D491" s="1626"/>
      <c r="E491" s="1626"/>
      <c r="F491" s="1626"/>
      <c r="G491" s="1626"/>
      <c r="H491" s="1626"/>
      <c r="I491" s="1626"/>
      <c r="J491" s="1626"/>
      <c r="K491" s="1626"/>
      <c r="L491" s="1626"/>
      <c r="M491" s="1626"/>
      <c r="N491" s="1626"/>
      <c r="O491" s="1626"/>
      <c r="P491" s="1627"/>
      <c r="Q491" s="1627"/>
      <c r="R491" s="1626"/>
      <c r="S491" s="1626"/>
      <c r="T491" s="1626"/>
      <c r="U491" s="1626"/>
      <c r="V491" s="1626"/>
      <c r="W491" s="1626"/>
      <c r="X491" s="1626"/>
      <c r="Y491" s="1626"/>
      <c r="Z491" s="1626"/>
    </row>
    <row r="492" spans="1:26" ht="15.75" customHeight="1" x14ac:dyDescent="0.25">
      <c r="A492" s="1626"/>
      <c r="B492" s="1626"/>
      <c r="C492" s="1626"/>
      <c r="D492" s="1626"/>
      <c r="E492" s="1626"/>
      <c r="F492" s="1626"/>
      <c r="G492" s="1626"/>
      <c r="H492" s="1626"/>
      <c r="I492" s="1626"/>
      <c r="J492" s="1626"/>
      <c r="K492" s="1626"/>
      <c r="L492" s="1626"/>
      <c r="M492" s="1626"/>
      <c r="N492" s="1626"/>
      <c r="O492" s="1626"/>
      <c r="P492" s="1627"/>
      <c r="Q492" s="1627"/>
      <c r="R492" s="1626"/>
      <c r="S492" s="1626"/>
      <c r="T492" s="1626"/>
      <c r="U492" s="1626"/>
      <c r="V492" s="1626"/>
      <c r="W492" s="1626"/>
      <c r="X492" s="1626"/>
      <c r="Y492" s="1626"/>
      <c r="Z492" s="1626"/>
    </row>
    <row r="493" spans="1:26" ht="15.75" customHeight="1" x14ac:dyDescent="0.25">
      <c r="A493" s="1626"/>
      <c r="B493" s="1626"/>
      <c r="C493" s="1626"/>
      <c r="D493" s="1626"/>
      <c r="E493" s="1626"/>
      <c r="F493" s="1626"/>
      <c r="G493" s="1626"/>
      <c r="H493" s="1626"/>
      <c r="I493" s="1626"/>
      <c r="J493" s="1626"/>
      <c r="K493" s="1626"/>
      <c r="L493" s="1626"/>
      <c r="M493" s="1626"/>
      <c r="N493" s="1626"/>
      <c r="O493" s="1626"/>
      <c r="P493" s="1627"/>
      <c r="Q493" s="1627"/>
      <c r="R493" s="1626"/>
      <c r="S493" s="1626"/>
      <c r="T493" s="1626"/>
      <c r="U493" s="1626"/>
      <c r="V493" s="1626"/>
      <c r="W493" s="1626"/>
      <c r="X493" s="1626"/>
      <c r="Y493" s="1626"/>
      <c r="Z493" s="1626"/>
    </row>
    <row r="494" spans="1:26" ht="15.75" customHeight="1" x14ac:dyDescent="0.25">
      <c r="A494" s="1626"/>
      <c r="B494" s="1626"/>
      <c r="C494" s="1626"/>
      <c r="D494" s="1626"/>
      <c r="E494" s="1626"/>
      <c r="F494" s="1626"/>
      <c r="G494" s="1626"/>
      <c r="H494" s="1626"/>
      <c r="I494" s="1626"/>
      <c r="J494" s="1626"/>
      <c r="K494" s="1626"/>
      <c r="L494" s="1626"/>
      <c r="M494" s="1626"/>
      <c r="N494" s="1626"/>
      <c r="O494" s="1626"/>
      <c r="P494" s="1627"/>
      <c r="Q494" s="1627"/>
      <c r="R494" s="1626"/>
      <c r="S494" s="1626"/>
      <c r="T494" s="1626"/>
      <c r="U494" s="1626"/>
      <c r="V494" s="1626"/>
      <c r="W494" s="1626"/>
      <c r="X494" s="1626"/>
      <c r="Y494" s="1626"/>
      <c r="Z494" s="1626"/>
    </row>
    <row r="495" spans="1:26" ht="15.75" customHeight="1" x14ac:dyDescent="0.25">
      <c r="A495" s="1626"/>
      <c r="B495" s="1626"/>
      <c r="C495" s="1626"/>
      <c r="D495" s="1626"/>
      <c r="E495" s="1626"/>
      <c r="F495" s="1626"/>
      <c r="G495" s="1626"/>
      <c r="H495" s="1626"/>
      <c r="I495" s="1626"/>
      <c r="J495" s="1626"/>
      <c r="K495" s="1626"/>
      <c r="L495" s="1626"/>
      <c r="M495" s="1626"/>
      <c r="N495" s="1626"/>
      <c r="O495" s="1626"/>
      <c r="P495" s="1627"/>
      <c r="Q495" s="1627"/>
      <c r="R495" s="1626"/>
      <c r="S495" s="1626"/>
      <c r="T495" s="1626"/>
      <c r="U495" s="1626"/>
      <c r="V495" s="1626"/>
      <c r="W495" s="1626"/>
      <c r="X495" s="1626"/>
      <c r="Y495" s="1626"/>
      <c r="Z495" s="1626"/>
    </row>
    <row r="496" spans="1:26" ht="15.75" customHeight="1" x14ac:dyDescent="0.25">
      <c r="A496" s="1626"/>
      <c r="B496" s="1626"/>
      <c r="C496" s="1626"/>
      <c r="D496" s="1626"/>
      <c r="E496" s="1626"/>
      <c r="F496" s="1626"/>
      <c r="G496" s="1626"/>
      <c r="H496" s="1626"/>
      <c r="I496" s="1626"/>
      <c r="J496" s="1626"/>
      <c r="K496" s="1626"/>
      <c r="L496" s="1626"/>
      <c r="M496" s="1626"/>
      <c r="N496" s="1626"/>
      <c r="O496" s="1626"/>
      <c r="P496" s="1627"/>
      <c r="Q496" s="1627"/>
      <c r="R496" s="1626"/>
      <c r="S496" s="1626"/>
      <c r="T496" s="1626"/>
      <c r="U496" s="1626"/>
      <c r="V496" s="1626"/>
      <c r="W496" s="1626"/>
      <c r="X496" s="1626"/>
      <c r="Y496" s="1626"/>
      <c r="Z496" s="1626"/>
    </row>
    <row r="497" spans="1:26" ht="15.75" customHeight="1" x14ac:dyDescent="0.25">
      <c r="A497" s="1626"/>
      <c r="B497" s="1626"/>
      <c r="C497" s="1626"/>
      <c r="D497" s="1626"/>
      <c r="E497" s="1626"/>
      <c r="F497" s="1626"/>
      <c r="G497" s="1626"/>
      <c r="H497" s="1626"/>
      <c r="I497" s="1626"/>
      <c r="J497" s="1626"/>
      <c r="K497" s="1626"/>
      <c r="L497" s="1626"/>
      <c r="M497" s="1626"/>
      <c r="N497" s="1626"/>
      <c r="O497" s="1626"/>
      <c r="P497" s="1627"/>
      <c r="Q497" s="1627"/>
      <c r="R497" s="1626"/>
      <c r="S497" s="1626"/>
      <c r="T497" s="1626"/>
      <c r="U497" s="1626"/>
      <c r="V497" s="1626"/>
      <c r="W497" s="1626"/>
      <c r="X497" s="1626"/>
      <c r="Y497" s="1626"/>
      <c r="Z497" s="1626"/>
    </row>
    <row r="498" spans="1:26" ht="15.75" customHeight="1" x14ac:dyDescent="0.25">
      <c r="A498" s="1626"/>
      <c r="B498" s="1626"/>
      <c r="C498" s="1626"/>
      <c r="D498" s="1626"/>
      <c r="E498" s="1626"/>
      <c r="F498" s="1626"/>
      <c r="G498" s="1626"/>
      <c r="H498" s="1626"/>
      <c r="I498" s="1626"/>
      <c r="J498" s="1626"/>
      <c r="K498" s="1626"/>
      <c r="L498" s="1626"/>
      <c r="M498" s="1626"/>
      <c r="N498" s="1626"/>
      <c r="O498" s="1626"/>
      <c r="P498" s="1627"/>
      <c r="Q498" s="1627"/>
      <c r="R498" s="1626"/>
      <c r="S498" s="1626"/>
      <c r="T498" s="1626"/>
      <c r="U498" s="1626"/>
      <c r="V498" s="1626"/>
      <c r="W498" s="1626"/>
      <c r="X498" s="1626"/>
      <c r="Y498" s="1626"/>
      <c r="Z498" s="1626"/>
    </row>
    <row r="499" spans="1:26" ht="15.75" customHeight="1" x14ac:dyDescent="0.25">
      <c r="A499" s="1626"/>
      <c r="B499" s="1626"/>
      <c r="C499" s="1626"/>
      <c r="D499" s="1626"/>
      <c r="E499" s="1626"/>
      <c r="F499" s="1626"/>
      <c r="G499" s="1626"/>
      <c r="H499" s="1626"/>
      <c r="I499" s="1626"/>
      <c r="J499" s="1626"/>
      <c r="K499" s="1626"/>
      <c r="L499" s="1626"/>
      <c r="M499" s="1626"/>
      <c r="N499" s="1626"/>
      <c r="O499" s="1626"/>
      <c r="P499" s="1627"/>
      <c r="Q499" s="1627"/>
      <c r="R499" s="1626"/>
      <c r="S499" s="1626"/>
      <c r="T499" s="1626"/>
      <c r="U499" s="1626"/>
      <c r="V499" s="1626"/>
      <c r="W499" s="1626"/>
      <c r="X499" s="1626"/>
      <c r="Y499" s="1626"/>
      <c r="Z499" s="1626"/>
    </row>
    <row r="500" spans="1:26" ht="15.75" customHeight="1" x14ac:dyDescent="0.25">
      <c r="A500" s="1626"/>
      <c r="B500" s="1626"/>
      <c r="C500" s="1626"/>
      <c r="D500" s="1626"/>
      <c r="E500" s="1626"/>
      <c r="F500" s="1626"/>
      <c r="G500" s="1626"/>
      <c r="H500" s="1626"/>
      <c r="I500" s="1626"/>
      <c r="J500" s="1626"/>
      <c r="K500" s="1626"/>
      <c r="L500" s="1626"/>
      <c r="M500" s="1626"/>
      <c r="N500" s="1626"/>
      <c r="O500" s="1626"/>
      <c r="P500" s="1627"/>
      <c r="Q500" s="1627"/>
      <c r="R500" s="1626"/>
      <c r="S500" s="1626"/>
      <c r="T500" s="1626"/>
      <c r="U500" s="1626"/>
      <c r="V500" s="1626"/>
      <c r="W500" s="1626"/>
      <c r="X500" s="1626"/>
      <c r="Y500" s="1626"/>
      <c r="Z500" s="1626"/>
    </row>
    <row r="501" spans="1:26" ht="15.75" customHeight="1" x14ac:dyDescent="0.25">
      <c r="A501" s="1626"/>
      <c r="B501" s="1626"/>
      <c r="C501" s="1626"/>
      <c r="D501" s="1626"/>
      <c r="E501" s="1626"/>
      <c r="F501" s="1626"/>
      <c r="G501" s="1626"/>
      <c r="H501" s="1626"/>
      <c r="I501" s="1626"/>
      <c r="J501" s="1626"/>
      <c r="K501" s="1626"/>
      <c r="L501" s="1626"/>
      <c r="M501" s="1626"/>
      <c r="N501" s="1626"/>
      <c r="O501" s="1626"/>
      <c r="P501" s="1627"/>
      <c r="Q501" s="1627"/>
      <c r="R501" s="1626"/>
      <c r="S501" s="1626"/>
      <c r="T501" s="1626"/>
      <c r="U501" s="1626"/>
      <c r="V501" s="1626"/>
      <c r="W501" s="1626"/>
      <c r="X501" s="1626"/>
      <c r="Y501" s="1626"/>
      <c r="Z501" s="1626"/>
    </row>
    <row r="502" spans="1:26" ht="15.75" customHeight="1" x14ac:dyDescent="0.25">
      <c r="A502" s="1626"/>
      <c r="B502" s="1626"/>
      <c r="C502" s="1626"/>
      <c r="D502" s="1626"/>
      <c r="E502" s="1626"/>
      <c r="F502" s="1626"/>
      <c r="G502" s="1626"/>
      <c r="H502" s="1626"/>
      <c r="I502" s="1626"/>
      <c r="J502" s="1626"/>
      <c r="K502" s="1626"/>
      <c r="L502" s="1626"/>
      <c r="M502" s="1626"/>
      <c r="N502" s="1626"/>
      <c r="O502" s="1626"/>
      <c r="P502" s="1627"/>
      <c r="Q502" s="1627"/>
      <c r="R502" s="1626"/>
      <c r="S502" s="1626"/>
      <c r="T502" s="1626"/>
      <c r="U502" s="1626"/>
      <c r="V502" s="1626"/>
      <c r="W502" s="1626"/>
      <c r="X502" s="1626"/>
      <c r="Y502" s="1626"/>
      <c r="Z502" s="1626"/>
    </row>
    <row r="503" spans="1:26" ht="15.75" customHeight="1" x14ac:dyDescent="0.25">
      <c r="A503" s="1626"/>
      <c r="B503" s="1626"/>
      <c r="C503" s="1626"/>
      <c r="D503" s="1626"/>
      <c r="E503" s="1626"/>
      <c r="F503" s="1626"/>
      <c r="G503" s="1626"/>
      <c r="H503" s="1626"/>
      <c r="I503" s="1626"/>
      <c r="J503" s="1626"/>
      <c r="K503" s="1626"/>
      <c r="L503" s="1626"/>
      <c r="M503" s="1626"/>
      <c r="N503" s="1626"/>
      <c r="O503" s="1626"/>
      <c r="P503" s="1627"/>
      <c r="Q503" s="1627"/>
      <c r="R503" s="1626"/>
      <c r="S503" s="1626"/>
      <c r="T503" s="1626"/>
      <c r="U503" s="1626"/>
      <c r="V503" s="1626"/>
      <c r="W503" s="1626"/>
      <c r="X503" s="1626"/>
      <c r="Y503" s="1626"/>
      <c r="Z503" s="1626"/>
    </row>
    <row r="504" spans="1:26" ht="15.75" customHeight="1" x14ac:dyDescent="0.25">
      <c r="A504" s="1626"/>
      <c r="B504" s="1626"/>
      <c r="C504" s="1626"/>
      <c r="D504" s="1626"/>
      <c r="E504" s="1626"/>
      <c r="F504" s="1626"/>
      <c r="G504" s="1626"/>
      <c r="H504" s="1626"/>
      <c r="I504" s="1626"/>
      <c r="J504" s="1626"/>
      <c r="K504" s="1626"/>
      <c r="L504" s="1626"/>
      <c r="M504" s="1626"/>
      <c r="N504" s="1626"/>
      <c r="O504" s="1626"/>
      <c r="P504" s="1627"/>
      <c r="Q504" s="1627"/>
      <c r="R504" s="1626"/>
      <c r="S504" s="1626"/>
      <c r="T504" s="1626"/>
      <c r="U504" s="1626"/>
      <c r="V504" s="1626"/>
      <c r="W504" s="1626"/>
      <c r="X504" s="1626"/>
      <c r="Y504" s="1626"/>
      <c r="Z504" s="1626"/>
    </row>
    <row r="505" spans="1:26" ht="15.75" customHeight="1" x14ac:dyDescent="0.25">
      <c r="A505" s="1626"/>
      <c r="B505" s="1626"/>
      <c r="C505" s="1626"/>
      <c r="D505" s="1626"/>
      <c r="E505" s="1626"/>
      <c r="F505" s="1626"/>
      <c r="G505" s="1626"/>
      <c r="H505" s="1626"/>
      <c r="I505" s="1626"/>
      <c r="J505" s="1626"/>
      <c r="K505" s="1626"/>
      <c r="L505" s="1626"/>
      <c r="M505" s="1626"/>
      <c r="N505" s="1626"/>
      <c r="O505" s="1626"/>
      <c r="P505" s="1627"/>
      <c r="Q505" s="1627"/>
      <c r="R505" s="1626"/>
      <c r="S505" s="1626"/>
      <c r="T505" s="1626"/>
      <c r="U505" s="1626"/>
      <c r="V505" s="1626"/>
      <c r="W505" s="1626"/>
      <c r="X505" s="1626"/>
      <c r="Y505" s="1626"/>
      <c r="Z505" s="1626"/>
    </row>
    <row r="506" spans="1:26" ht="15.75" customHeight="1" x14ac:dyDescent="0.25">
      <c r="A506" s="1626"/>
      <c r="B506" s="1626"/>
      <c r="C506" s="1626"/>
      <c r="D506" s="1626"/>
      <c r="E506" s="1626"/>
      <c r="F506" s="1626"/>
      <c r="G506" s="1626"/>
      <c r="H506" s="1626"/>
      <c r="I506" s="1626"/>
      <c r="J506" s="1626"/>
      <c r="K506" s="1626"/>
      <c r="L506" s="1626"/>
      <c r="M506" s="1626"/>
      <c r="N506" s="1626"/>
      <c r="O506" s="1626"/>
      <c r="P506" s="1627"/>
      <c r="Q506" s="1627"/>
      <c r="R506" s="1626"/>
      <c r="S506" s="1626"/>
      <c r="T506" s="1626"/>
      <c r="U506" s="1626"/>
      <c r="V506" s="1626"/>
      <c r="W506" s="1626"/>
      <c r="X506" s="1626"/>
      <c r="Y506" s="1626"/>
      <c r="Z506" s="1626"/>
    </row>
    <row r="507" spans="1:26" ht="15.75" customHeight="1" x14ac:dyDescent="0.25">
      <c r="A507" s="1626"/>
      <c r="B507" s="1626"/>
      <c r="C507" s="1626"/>
      <c r="D507" s="1626"/>
      <c r="E507" s="1626"/>
      <c r="F507" s="1626"/>
      <c r="G507" s="1626"/>
      <c r="H507" s="1626"/>
      <c r="I507" s="1626"/>
      <c r="J507" s="1626"/>
      <c r="K507" s="1626"/>
      <c r="L507" s="1626"/>
      <c r="M507" s="1626"/>
      <c r="N507" s="1626"/>
      <c r="O507" s="1626"/>
      <c r="P507" s="1627"/>
      <c r="Q507" s="1627"/>
      <c r="R507" s="1626"/>
      <c r="S507" s="1626"/>
      <c r="T507" s="1626"/>
      <c r="U507" s="1626"/>
      <c r="V507" s="1626"/>
      <c r="W507" s="1626"/>
      <c r="X507" s="1626"/>
      <c r="Y507" s="1626"/>
      <c r="Z507" s="1626"/>
    </row>
    <row r="508" spans="1:26" ht="15.75" customHeight="1" x14ac:dyDescent="0.25">
      <c r="A508" s="1626"/>
      <c r="B508" s="1626"/>
      <c r="C508" s="1626"/>
      <c r="D508" s="1626"/>
      <c r="E508" s="1626"/>
      <c r="F508" s="1626"/>
      <c r="G508" s="1626"/>
      <c r="H508" s="1626"/>
      <c r="I508" s="1626"/>
      <c r="J508" s="1626"/>
      <c r="K508" s="1626"/>
      <c r="L508" s="1626"/>
      <c r="M508" s="1626"/>
      <c r="N508" s="1626"/>
      <c r="O508" s="1626"/>
      <c r="P508" s="1627"/>
      <c r="Q508" s="1627"/>
      <c r="R508" s="1626"/>
      <c r="S508" s="1626"/>
      <c r="T508" s="1626"/>
      <c r="U508" s="1626"/>
      <c r="V508" s="1626"/>
      <c r="W508" s="1626"/>
      <c r="X508" s="1626"/>
      <c r="Y508" s="1626"/>
      <c r="Z508" s="1626"/>
    </row>
    <row r="509" spans="1:26" ht="15.75" customHeight="1" x14ac:dyDescent="0.25">
      <c r="A509" s="1626"/>
      <c r="B509" s="1626"/>
      <c r="C509" s="1626"/>
      <c r="D509" s="1626"/>
      <c r="E509" s="1626"/>
      <c r="F509" s="1626"/>
      <c r="G509" s="1626"/>
      <c r="H509" s="1626"/>
      <c r="I509" s="1626"/>
      <c r="J509" s="1626"/>
      <c r="K509" s="1626"/>
      <c r="L509" s="1626"/>
      <c r="M509" s="1626"/>
      <c r="N509" s="1626"/>
      <c r="O509" s="1626"/>
      <c r="P509" s="1627"/>
      <c r="Q509" s="1627"/>
      <c r="R509" s="1626"/>
      <c r="S509" s="1626"/>
      <c r="T509" s="1626"/>
      <c r="U509" s="1626"/>
      <c r="V509" s="1626"/>
      <c r="W509" s="1626"/>
      <c r="X509" s="1626"/>
      <c r="Y509" s="1626"/>
      <c r="Z509" s="1626"/>
    </row>
    <row r="510" spans="1:26" ht="15.75" customHeight="1" x14ac:dyDescent="0.25">
      <c r="A510" s="1626"/>
      <c r="B510" s="1626"/>
      <c r="C510" s="1626"/>
      <c r="D510" s="1626"/>
      <c r="E510" s="1626"/>
      <c r="F510" s="1626"/>
      <c r="G510" s="1626"/>
      <c r="H510" s="1626"/>
      <c r="I510" s="1626"/>
      <c r="J510" s="1626"/>
      <c r="K510" s="1626"/>
      <c r="L510" s="1626"/>
      <c r="M510" s="1626"/>
      <c r="N510" s="1626"/>
      <c r="O510" s="1626"/>
      <c r="P510" s="1627"/>
      <c r="Q510" s="1627"/>
      <c r="R510" s="1626"/>
      <c r="S510" s="1626"/>
      <c r="T510" s="1626"/>
      <c r="U510" s="1626"/>
      <c r="V510" s="1626"/>
      <c r="W510" s="1626"/>
      <c r="X510" s="1626"/>
      <c r="Y510" s="1626"/>
      <c r="Z510" s="1626"/>
    </row>
    <row r="511" spans="1:26" ht="15.75" customHeight="1" x14ac:dyDescent="0.25">
      <c r="A511" s="1626"/>
      <c r="B511" s="1626"/>
      <c r="C511" s="1626"/>
      <c r="D511" s="1626"/>
      <c r="E511" s="1626"/>
      <c r="F511" s="1626"/>
      <c r="G511" s="1626"/>
      <c r="H511" s="1626"/>
      <c r="I511" s="1626"/>
      <c r="J511" s="1626"/>
      <c r="K511" s="1626"/>
      <c r="L511" s="1626"/>
      <c r="M511" s="1626"/>
      <c r="N511" s="1626"/>
      <c r="O511" s="1626"/>
      <c r="P511" s="1627"/>
      <c r="Q511" s="1627"/>
      <c r="R511" s="1626"/>
      <c r="S511" s="1626"/>
      <c r="T511" s="1626"/>
      <c r="U511" s="1626"/>
      <c r="V511" s="1626"/>
      <c r="W511" s="1626"/>
      <c r="X511" s="1626"/>
      <c r="Y511" s="1626"/>
      <c r="Z511" s="1626"/>
    </row>
    <row r="512" spans="1:26" ht="15.75" customHeight="1" x14ac:dyDescent="0.25">
      <c r="A512" s="1626"/>
      <c r="B512" s="1626"/>
      <c r="C512" s="1626"/>
      <c r="D512" s="1626"/>
      <c r="E512" s="1626"/>
      <c r="F512" s="1626"/>
      <c r="G512" s="1626"/>
      <c r="H512" s="1626"/>
      <c r="I512" s="1626"/>
      <c r="J512" s="1626"/>
      <c r="K512" s="1626"/>
      <c r="L512" s="1626"/>
      <c r="M512" s="1626"/>
      <c r="N512" s="1626"/>
      <c r="O512" s="1626"/>
      <c r="P512" s="1627"/>
      <c r="Q512" s="1627"/>
      <c r="R512" s="1626"/>
      <c r="S512" s="1626"/>
      <c r="T512" s="1626"/>
      <c r="U512" s="1626"/>
      <c r="V512" s="1626"/>
      <c r="W512" s="1626"/>
      <c r="X512" s="1626"/>
      <c r="Y512" s="1626"/>
      <c r="Z512" s="1626"/>
    </row>
    <row r="513" spans="1:26" ht="15.75" customHeight="1" x14ac:dyDescent="0.25">
      <c r="A513" s="1626"/>
      <c r="B513" s="1626"/>
      <c r="C513" s="1626"/>
      <c r="D513" s="1626"/>
      <c r="E513" s="1626"/>
      <c r="F513" s="1626"/>
      <c r="G513" s="1626"/>
      <c r="H513" s="1626"/>
      <c r="I513" s="1626"/>
      <c r="J513" s="1626"/>
      <c r="K513" s="1626"/>
      <c r="L513" s="1626"/>
      <c r="M513" s="1626"/>
      <c r="N513" s="1626"/>
      <c r="O513" s="1626"/>
      <c r="P513" s="1627"/>
      <c r="Q513" s="1627"/>
      <c r="R513" s="1626"/>
      <c r="S513" s="1626"/>
      <c r="T513" s="1626"/>
      <c r="U513" s="1626"/>
      <c r="V513" s="1626"/>
      <c r="W513" s="1626"/>
      <c r="X513" s="1626"/>
      <c r="Y513" s="1626"/>
      <c r="Z513" s="1626"/>
    </row>
    <row r="514" spans="1:26" ht="15.75" customHeight="1" x14ac:dyDescent="0.25">
      <c r="A514" s="1626"/>
      <c r="B514" s="1626"/>
      <c r="C514" s="1626"/>
      <c r="D514" s="1626"/>
      <c r="E514" s="1626"/>
      <c r="F514" s="1626"/>
      <c r="G514" s="1626"/>
      <c r="H514" s="1626"/>
      <c r="I514" s="1626"/>
      <c r="J514" s="1626"/>
      <c r="K514" s="1626"/>
      <c r="L514" s="1626"/>
      <c r="M514" s="1626"/>
      <c r="N514" s="1626"/>
      <c r="O514" s="1626"/>
      <c r="P514" s="1627"/>
      <c r="Q514" s="1627"/>
      <c r="R514" s="1626"/>
      <c r="S514" s="1626"/>
      <c r="T514" s="1626"/>
      <c r="U514" s="1626"/>
      <c r="V514" s="1626"/>
      <c r="W514" s="1626"/>
      <c r="X514" s="1626"/>
      <c r="Y514" s="1626"/>
      <c r="Z514" s="1626"/>
    </row>
    <row r="515" spans="1:26" ht="15.75" customHeight="1" x14ac:dyDescent="0.25">
      <c r="A515" s="1626"/>
      <c r="B515" s="1626"/>
      <c r="C515" s="1626"/>
      <c r="D515" s="1626"/>
      <c r="E515" s="1626"/>
      <c r="F515" s="1626"/>
      <c r="G515" s="1626"/>
      <c r="H515" s="1626"/>
      <c r="I515" s="1626"/>
      <c r="J515" s="1626"/>
      <c r="K515" s="1626"/>
      <c r="L515" s="1626"/>
      <c r="M515" s="1626"/>
      <c r="N515" s="1626"/>
      <c r="O515" s="1626"/>
      <c r="P515" s="1627"/>
      <c r="Q515" s="1627"/>
      <c r="R515" s="1626"/>
      <c r="S515" s="1626"/>
      <c r="T515" s="1626"/>
      <c r="U515" s="1626"/>
      <c r="V515" s="1626"/>
      <c r="W515" s="1626"/>
      <c r="X515" s="1626"/>
      <c r="Y515" s="1626"/>
      <c r="Z515" s="1626"/>
    </row>
    <row r="516" spans="1:26" ht="15.75" customHeight="1" x14ac:dyDescent="0.25">
      <c r="A516" s="1626"/>
      <c r="B516" s="1626"/>
      <c r="C516" s="1626"/>
      <c r="D516" s="1626"/>
      <c r="E516" s="1626"/>
      <c r="F516" s="1626"/>
      <c r="G516" s="1626"/>
      <c r="H516" s="1626"/>
      <c r="I516" s="1626"/>
      <c r="J516" s="1626"/>
      <c r="K516" s="1626"/>
      <c r="L516" s="1626"/>
      <c r="M516" s="1626"/>
      <c r="N516" s="1626"/>
      <c r="O516" s="1626"/>
      <c r="P516" s="1627"/>
      <c r="Q516" s="1627"/>
      <c r="R516" s="1626"/>
      <c r="S516" s="1626"/>
      <c r="T516" s="1626"/>
      <c r="U516" s="1626"/>
      <c r="V516" s="1626"/>
      <c r="W516" s="1626"/>
      <c r="X516" s="1626"/>
      <c r="Y516" s="1626"/>
      <c r="Z516" s="1626"/>
    </row>
    <row r="517" spans="1:26" ht="15.75" customHeight="1" x14ac:dyDescent="0.25">
      <c r="A517" s="1626"/>
      <c r="B517" s="1626"/>
      <c r="C517" s="1626"/>
      <c r="D517" s="1626"/>
      <c r="E517" s="1626"/>
      <c r="F517" s="1626"/>
      <c r="G517" s="1626"/>
      <c r="H517" s="1626"/>
      <c r="I517" s="1626"/>
      <c r="J517" s="1626"/>
      <c r="K517" s="1626"/>
      <c r="L517" s="1626"/>
      <c r="M517" s="1626"/>
      <c r="N517" s="1626"/>
      <c r="O517" s="1626"/>
      <c r="P517" s="1627"/>
      <c r="Q517" s="1627"/>
      <c r="R517" s="1626"/>
      <c r="S517" s="1626"/>
      <c r="T517" s="1626"/>
      <c r="U517" s="1626"/>
      <c r="V517" s="1626"/>
      <c r="W517" s="1626"/>
      <c r="X517" s="1626"/>
      <c r="Y517" s="1626"/>
      <c r="Z517" s="1626"/>
    </row>
    <row r="518" spans="1:26" ht="15.75" customHeight="1" x14ac:dyDescent="0.25">
      <c r="A518" s="1626"/>
      <c r="B518" s="1626"/>
      <c r="C518" s="1626"/>
      <c r="D518" s="1626"/>
      <c r="E518" s="1626"/>
      <c r="F518" s="1626"/>
      <c r="G518" s="1626"/>
      <c r="H518" s="1626"/>
      <c r="I518" s="1626"/>
      <c r="J518" s="1626"/>
      <c r="K518" s="1626"/>
      <c r="L518" s="1626"/>
      <c r="M518" s="1626"/>
      <c r="N518" s="1626"/>
      <c r="O518" s="1626"/>
      <c r="P518" s="1627"/>
      <c r="Q518" s="1627"/>
      <c r="R518" s="1626"/>
      <c r="S518" s="1626"/>
      <c r="T518" s="1626"/>
      <c r="U518" s="1626"/>
      <c r="V518" s="1626"/>
      <c r="W518" s="1626"/>
      <c r="X518" s="1626"/>
      <c r="Y518" s="1626"/>
      <c r="Z518" s="1626"/>
    </row>
    <row r="519" spans="1:26" ht="15.75" customHeight="1" x14ac:dyDescent="0.25">
      <c r="A519" s="1626"/>
      <c r="B519" s="1626"/>
      <c r="C519" s="1626"/>
      <c r="D519" s="1626"/>
      <c r="E519" s="1626"/>
      <c r="F519" s="1626"/>
      <c r="G519" s="1626"/>
      <c r="H519" s="1626"/>
      <c r="I519" s="1626"/>
      <c r="J519" s="1626"/>
      <c r="K519" s="1626"/>
      <c r="L519" s="1626"/>
      <c r="M519" s="1626"/>
      <c r="N519" s="1626"/>
      <c r="O519" s="1626"/>
      <c r="P519" s="1627"/>
      <c r="Q519" s="1627"/>
      <c r="R519" s="1626"/>
      <c r="S519" s="1626"/>
      <c r="T519" s="1626"/>
      <c r="U519" s="1626"/>
      <c r="V519" s="1626"/>
      <c r="W519" s="1626"/>
      <c r="X519" s="1626"/>
      <c r="Y519" s="1626"/>
      <c r="Z519" s="1626"/>
    </row>
    <row r="520" spans="1:26" ht="15.75" customHeight="1" x14ac:dyDescent="0.25">
      <c r="A520" s="1626"/>
      <c r="B520" s="1626"/>
      <c r="C520" s="1626"/>
      <c r="D520" s="1626"/>
      <c r="E520" s="1626"/>
      <c r="F520" s="1626"/>
      <c r="G520" s="1626"/>
      <c r="H520" s="1626"/>
      <c r="I520" s="1626"/>
      <c r="J520" s="1626"/>
      <c r="K520" s="1626"/>
      <c r="L520" s="1626"/>
      <c r="M520" s="1626"/>
      <c r="N520" s="1626"/>
      <c r="O520" s="1626"/>
      <c r="P520" s="1627"/>
      <c r="Q520" s="1627"/>
      <c r="R520" s="1626"/>
      <c r="S520" s="1626"/>
      <c r="T520" s="1626"/>
      <c r="U520" s="1626"/>
      <c r="V520" s="1626"/>
      <c r="W520" s="1626"/>
      <c r="X520" s="1626"/>
      <c r="Y520" s="1626"/>
      <c r="Z520" s="1626"/>
    </row>
    <row r="521" spans="1:26" ht="15.75" customHeight="1" x14ac:dyDescent="0.25">
      <c r="A521" s="1626"/>
      <c r="B521" s="1626"/>
      <c r="C521" s="1626"/>
      <c r="D521" s="1626"/>
      <c r="E521" s="1626"/>
      <c r="F521" s="1626"/>
      <c r="G521" s="1626"/>
      <c r="H521" s="1626"/>
      <c r="I521" s="1626"/>
      <c r="J521" s="1626"/>
      <c r="K521" s="1626"/>
      <c r="L521" s="1626"/>
      <c r="M521" s="1626"/>
      <c r="N521" s="1626"/>
      <c r="O521" s="1626"/>
      <c r="P521" s="1627"/>
      <c r="Q521" s="1627"/>
      <c r="R521" s="1626"/>
      <c r="S521" s="1626"/>
      <c r="T521" s="1626"/>
      <c r="U521" s="1626"/>
      <c r="V521" s="1626"/>
      <c r="W521" s="1626"/>
      <c r="X521" s="1626"/>
      <c r="Y521" s="1626"/>
      <c r="Z521" s="1626"/>
    </row>
    <row r="522" spans="1:26" ht="15.75" customHeight="1" x14ac:dyDescent="0.25">
      <c r="A522" s="1626"/>
      <c r="B522" s="1626"/>
      <c r="C522" s="1626"/>
      <c r="D522" s="1626"/>
      <c r="E522" s="1626"/>
      <c r="F522" s="1626"/>
      <c r="G522" s="1626"/>
      <c r="H522" s="1626"/>
      <c r="I522" s="1626"/>
      <c r="J522" s="1626"/>
      <c r="K522" s="1626"/>
      <c r="L522" s="1626"/>
      <c r="M522" s="1626"/>
      <c r="N522" s="1626"/>
      <c r="O522" s="1626"/>
      <c r="P522" s="1627"/>
      <c r="Q522" s="1627"/>
      <c r="R522" s="1626"/>
      <c r="S522" s="1626"/>
      <c r="T522" s="1626"/>
      <c r="U522" s="1626"/>
      <c r="V522" s="1626"/>
      <c r="W522" s="1626"/>
      <c r="X522" s="1626"/>
      <c r="Y522" s="1626"/>
      <c r="Z522" s="1626"/>
    </row>
    <row r="523" spans="1:26" ht="15.75" customHeight="1" x14ac:dyDescent="0.25">
      <c r="A523" s="1626"/>
      <c r="B523" s="1626"/>
      <c r="C523" s="1626"/>
      <c r="D523" s="1626"/>
      <c r="E523" s="1626"/>
      <c r="F523" s="1626"/>
      <c r="G523" s="1626"/>
      <c r="H523" s="1626"/>
      <c r="I523" s="1626"/>
      <c r="J523" s="1626"/>
      <c r="K523" s="1626"/>
      <c r="L523" s="1626"/>
      <c r="M523" s="1626"/>
      <c r="N523" s="1626"/>
      <c r="O523" s="1626"/>
      <c r="P523" s="1627"/>
      <c r="Q523" s="1627"/>
      <c r="R523" s="1626"/>
      <c r="S523" s="1626"/>
      <c r="T523" s="1626"/>
      <c r="U523" s="1626"/>
      <c r="V523" s="1626"/>
      <c r="W523" s="1626"/>
      <c r="X523" s="1626"/>
      <c r="Y523" s="1626"/>
      <c r="Z523" s="1626"/>
    </row>
    <row r="524" spans="1:26" ht="15.75" customHeight="1" x14ac:dyDescent="0.25">
      <c r="A524" s="1626"/>
      <c r="B524" s="1626"/>
      <c r="C524" s="1626"/>
      <c r="D524" s="1626"/>
      <c r="E524" s="1626"/>
      <c r="F524" s="1626"/>
      <c r="G524" s="1626"/>
      <c r="H524" s="1626"/>
      <c r="I524" s="1626"/>
      <c r="J524" s="1626"/>
      <c r="K524" s="1626"/>
      <c r="L524" s="1626"/>
      <c r="M524" s="1626"/>
      <c r="N524" s="1626"/>
      <c r="O524" s="1626"/>
      <c r="P524" s="1627"/>
      <c r="Q524" s="1627"/>
      <c r="R524" s="1626"/>
      <c r="S524" s="1626"/>
      <c r="T524" s="1626"/>
      <c r="U524" s="1626"/>
      <c r="V524" s="1626"/>
      <c r="W524" s="1626"/>
      <c r="X524" s="1626"/>
      <c r="Y524" s="1626"/>
      <c r="Z524" s="1626"/>
    </row>
    <row r="525" spans="1:26" ht="15.75" customHeight="1" x14ac:dyDescent="0.25">
      <c r="A525" s="1626"/>
      <c r="B525" s="1626"/>
      <c r="C525" s="1626"/>
      <c r="D525" s="1626"/>
      <c r="E525" s="1626"/>
      <c r="F525" s="1626"/>
      <c r="G525" s="1626"/>
      <c r="H525" s="1626"/>
      <c r="I525" s="1626"/>
      <c r="J525" s="1626"/>
      <c r="K525" s="1626"/>
      <c r="L525" s="1626"/>
      <c r="M525" s="1626"/>
      <c r="N525" s="1626"/>
      <c r="O525" s="1626"/>
      <c r="P525" s="1627"/>
      <c r="Q525" s="1627"/>
      <c r="R525" s="1626"/>
      <c r="S525" s="1626"/>
      <c r="T525" s="1626"/>
      <c r="U525" s="1626"/>
      <c r="V525" s="1626"/>
      <c r="W525" s="1626"/>
      <c r="X525" s="1626"/>
      <c r="Y525" s="1626"/>
      <c r="Z525" s="1626"/>
    </row>
    <row r="526" spans="1:26" ht="15.75" customHeight="1" x14ac:dyDescent="0.25">
      <c r="A526" s="1626"/>
      <c r="B526" s="1626"/>
      <c r="C526" s="1626"/>
      <c r="D526" s="1626"/>
      <c r="E526" s="1626"/>
      <c r="F526" s="1626"/>
      <c r="G526" s="1626"/>
      <c r="H526" s="1626"/>
      <c r="I526" s="1626"/>
      <c r="J526" s="1626"/>
      <c r="K526" s="1626"/>
      <c r="L526" s="1626"/>
      <c r="M526" s="1626"/>
      <c r="N526" s="1626"/>
      <c r="O526" s="1626"/>
      <c r="P526" s="1627"/>
      <c r="Q526" s="1627"/>
      <c r="R526" s="1626"/>
      <c r="S526" s="1626"/>
      <c r="T526" s="1626"/>
      <c r="U526" s="1626"/>
      <c r="V526" s="1626"/>
      <c r="W526" s="1626"/>
      <c r="X526" s="1626"/>
      <c r="Y526" s="1626"/>
      <c r="Z526" s="1626"/>
    </row>
    <row r="527" spans="1:26" ht="15.75" customHeight="1" x14ac:dyDescent="0.25">
      <c r="A527" s="1626"/>
      <c r="B527" s="1626"/>
      <c r="C527" s="1626"/>
      <c r="D527" s="1626"/>
      <c r="E527" s="1626"/>
      <c r="F527" s="1626"/>
      <c r="G527" s="1626"/>
      <c r="H527" s="1626"/>
      <c r="I527" s="1626"/>
      <c r="J527" s="1626"/>
      <c r="K527" s="1626"/>
      <c r="L527" s="1626"/>
      <c r="M527" s="1626"/>
      <c r="N527" s="1626"/>
      <c r="O527" s="1626"/>
      <c r="P527" s="1627"/>
      <c r="Q527" s="1627"/>
      <c r="R527" s="1626"/>
      <c r="S527" s="1626"/>
      <c r="T527" s="1626"/>
      <c r="U527" s="1626"/>
      <c r="V527" s="1626"/>
      <c r="W527" s="1626"/>
      <c r="X527" s="1626"/>
      <c r="Y527" s="1626"/>
      <c r="Z527" s="1626"/>
    </row>
    <row r="528" spans="1:26" ht="15.75" customHeight="1" x14ac:dyDescent="0.25">
      <c r="A528" s="1626"/>
      <c r="B528" s="1626"/>
      <c r="C528" s="1626"/>
      <c r="D528" s="1626"/>
      <c r="E528" s="1626"/>
      <c r="F528" s="1626"/>
      <c r="G528" s="1626"/>
      <c r="H528" s="1626"/>
      <c r="I528" s="1626"/>
      <c r="J528" s="1626"/>
      <c r="K528" s="1626"/>
      <c r="L528" s="1626"/>
      <c r="M528" s="1626"/>
      <c r="N528" s="1626"/>
      <c r="O528" s="1626"/>
      <c r="P528" s="1627"/>
      <c r="Q528" s="1627"/>
      <c r="R528" s="1626"/>
      <c r="S528" s="1626"/>
      <c r="T528" s="1626"/>
      <c r="U528" s="1626"/>
      <c r="V528" s="1626"/>
      <c r="W528" s="1626"/>
      <c r="X528" s="1626"/>
      <c r="Y528" s="1626"/>
      <c r="Z528" s="1626"/>
    </row>
    <row r="529" spans="1:26" ht="15.75" customHeight="1" x14ac:dyDescent="0.25">
      <c r="A529" s="1626"/>
      <c r="B529" s="1626"/>
      <c r="C529" s="1626"/>
      <c r="D529" s="1626"/>
      <c r="E529" s="1626"/>
      <c r="F529" s="1626"/>
      <c r="G529" s="1626"/>
      <c r="H529" s="1626"/>
      <c r="I529" s="1626"/>
      <c r="J529" s="1626"/>
      <c r="K529" s="1626"/>
      <c r="L529" s="1626"/>
      <c r="M529" s="1626"/>
      <c r="N529" s="1626"/>
      <c r="O529" s="1626"/>
      <c r="P529" s="1627"/>
      <c r="Q529" s="1627"/>
      <c r="R529" s="1626"/>
      <c r="S529" s="1626"/>
      <c r="T529" s="1626"/>
      <c r="U529" s="1626"/>
      <c r="V529" s="1626"/>
      <c r="W529" s="1626"/>
      <c r="X529" s="1626"/>
      <c r="Y529" s="1626"/>
      <c r="Z529" s="1626"/>
    </row>
    <row r="530" spans="1:26" ht="15.75" customHeight="1" x14ac:dyDescent="0.25">
      <c r="A530" s="1626"/>
      <c r="B530" s="1626"/>
      <c r="C530" s="1626"/>
      <c r="D530" s="1626"/>
      <c r="E530" s="1626"/>
      <c r="F530" s="1626"/>
      <c r="G530" s="1626"/>
      <c r="H530" s="1626"/>
      <c r="I530" s="1626"/>
      <c r="J530" s="1626"/>
      <c r="K530" s="1626"/>
      <c r="L530" s="1626"/>
      <c r="M530" s="1626"/>
      <c r="N530" s="1626"/>
      <c r="O530" s="1626"/>
      <c r="P530" s="1627"/>
      <c r="Q530" s="1627"/>
      <c r="R530" s="1626"/>
      <c r="S530" s="1626"/>
      <c r="T530" s="1626"/>
      <c r="U530" s="1626"/>
      <c r="V530" s="1626"/>
      <c r="W530" s="1626"/>
      <c r="X530" s="1626"/>
      <c r="Y530" s="1626"/>
      <c r="Z530" s="1626"/>
    </row>
    <row r="531" spans="1:26" ht="15.75" customHeight="1" x14ac:dyDescent="0.25">
      <c r="A531" s="1626"/>
      <c r="B531" s="1626"/>
      <c r="C531" s="1626"/>
      <c r="D531" s="1626"/>
      <c r="E531" s="1626"/>
      <c r="F531" s="1626"/>
      <c r="G531" s="1626"/>
      <c r="H531" s="1626"/>
      <c r="I531" s="1626"/>
      <c r="J531" s="1626"/>
      <c r="K531" s="1626"/>
      <c r="L531" s="1626"/>
      <c r="M531" s="1626"/>
      <c r="N531" s="1626"/>
      <c r="O531" s="1626"/>
      <c r="P531" s="1627"/>
      <c r="Q531" s="1627"/>
      <c r="R531" s="1626"/>
      <c r="S531" s="1626"/>
      <c r="T531" s="1626"/>
      <c r="U531" s="1626"/>
      <c r="V531" s="1626"/>
      <c r="W531" s="1626"/>
      <c r="X531" s="1626"/>
      <c r="Y531" s="1626"/>
      <c r="Z531" s="1626"/>
    </row>
    <row r="532" spans="1:26" ht="15.75" customHeight="1" x14ac:dyDescent="0.25">
      <c r="A532" s="1626"/>
      <c r="B532" s="1626"/>
      <c r="C532" s="1626"/>
      <c r="D532" s="1626"/>
      <c r="E532" s="1626"/>
      <c r="F532" s="1626"/>
      <c r="G532" s="1626"/>
      <c r="H532" s="1626"/>
      <c r="I532" s="1626"/>
      <c r="J532" s="1626"/>
      <c r="K532" s="1626"/>
      <c r="L532" s="1626"/>
      <c r="M532" s="1626"/>
      <c r="N532" s="1626"/>
      <c r="O532" s="1626"/>
      <c r="P532" s="1627"/>
      <c r="Q532" s="1627"/>
      <c r="R532" s="1626"/>
      <c r="S532" s="1626"/>
      <c r="T532" s="1626"/>
      <c r="U532" s="1626"/>
      <c r="V532" s="1626"/>
      <c r="W532" s="1626"/>
      <c r="X532" s="1626"/>
      <c r="Y532" s="1626"/>
      <c r="Z532" s="1626"/>
    </row>
    <row r="533" spans="1:26" ht="15.75" customHeight="1" x14ac:dyDescent="0.25">
      <c r="A533" s="1626"/>
      <c r="B533" s="1626"/>
      <c r="C533" s="1626"/>
      <c r="D533" s="1626"/>
      <c r="E533" s="1626"/>
      <c r="F533" s="1626"/>
      <c r="G533" s="1626"/>
      <c r="H533" s="1626"/>
      <c r="I533" s="1626"/>
      <c r="J533" s="1626"/>
      <c r="K533" s="1626"/>
      <c r="L533" s="1626"/>
      <c r="M533" s="1626"/>
      <c r="N533" s="1626"/>
      <c r="O533" s="1626"/>
      <c r="P533" s="1627"/>
      <c r="Q533" s="1627"/>
      <c r="R533" s="1626"/>
      <c r="S533" s="1626"/>
      <c r="T533" s="1626"/>
      <c r="U533" s="1626"/>
      <c r="V533" s="1626"/>
      <c r="W533" s="1626"/>
      <c r="X533" s="1626"/>
      <c r="Y533" s="1626"/>
      <c r="Z533" s="1626"/>
    </row>
    <row r="534" spans="1:26" ht="15.75" customHeight="1" x14ac:dyDescent="0.25">
      <c r="A534" s="1626"/>
      <c r="B534" s="1626"/>
      <c r="C534" s="1626"/>
      <c r="D534" s="1626"/>
      <c r="E534" s="1626"/>
      <c r="F534" s="1626"/>
      <c r="G534" s="1626"/>
      <c r="H534" s="1626"/>
      <c r="I534" s="1626"/>
      <c r="J534" s="1626"/>
      <c r="K534" s="1626"/>
      <c r="L534" s="1626"/>
      <c r="M534" s="1626"/>
      <c r="N534" s="1626"/>
      <c r="O534" s="1626"/>
      <c r="P534" s="1627"/>
      <c r="Q534" s="1627"/>
      <c r="R534" s="1626"/>
      <c r="S534" s="1626"/>
      <c r="T534" s="1626"/>
      <c r="U534" s="1626"/>
      <c r="V534" s="1626"/>
      <c r="W534" s="1626"/>
      <c r="X534" s="1626"/>
      <c r="Y534" s="1626"/>
      <c r="Z534" s="1626"/>
    </row>
    <row r="535" spans="1:26" ht="15.75" customHeight="1" x14ac:dyDescent="0.25">
      <c r="A535" s="1626"/>
      <c r="B535" s="1626"/>
      <c r="C535" s="1626"/>
      <c r="D535" s="1626"/>
      <c r="E535" s="1626"/>
      <c r="F535" s="1626"/>
      <c r="G535" s="1626"/>
      <c r="H535" s="1626"/>
      <c r="I535" s="1626"/>
      <c r="J535" s="1626"/>
      <c r="K535" s="1626"/>
      <c r="L535" s="1626"/>
      <c r="M535" s="1626"/>
      <c r="N535" s="1626"/>
      <c r="O535" s="1626"/>
      <c r="P535" s="1627"/>
      <c r="Q535" s="1627"/>
      <c r="R535" s="1626"/>
      <c r="S535" s="1626"/>
      <c r="T535" s="1626"/>
      <c r="U535" s="1626"/>
      <c r="V535" s="1626"/>
      <c r="W535" s="1626"/>
      <c r="X535" s="1626"/>
      <c r="Y535" s="1626"/>
      <c r="Z535" s="1626"/>
    </row>
    <row r="536" spans="1:26" ht="15.75" customHeight="1" x14ac:dyDescent="0.25">
      <c r="A536" s="1626"/>
      <c r="B536" s="1626"/>
      <c r="C536" s="1626"/>
      <c r="D536" s="1626"/>
      <c r="E536" s="1626"/>
      <c r="F536" s="1626"/>
      <c r="G536" s="1626"/>
      <c r="H536" s="1626"/>
      <c r="I536" s="1626"/>
      <c r="J536" s="1626"/>
      <c r="K536" s="1626"/>
      <c r="L536" s="1626"/>
      <c r="M536" s="1626"/>
      <c r="N536" s="1626"/>
      <c r="O536" s="1626"/>
      <c r="P536" s="1627"/>
      <c r="Q536" s="1627"/>
      <c r="R536" s="1626"/>
      <c r="S536" s="1626"/>
      <c r="T536" s="1626"/>
      <c r="U536" s="1626"/>
      <c r="V536" s="1626"/>
      <c r="W536" s="1626"/>
      <c r="X536" s="1626"/>
      <c r="Y536" s="1626"/>
      <c r="Z536" s="1626"/>
    </row>
    <row r="537" spans="1:26" ht="15.75" customHeight="1" x14ac:dyDescent="0.25">
      <c r="A537" s="1626"/>
      <c r="B537" s="1626"/>
      <c r="C537" s="1626"/>
      <c r="D537" s="1626"/>
      <c r="E537" s="1626"/>
      <c r="F537" s="1626"/>
      <c r="G537" s="1626"/>
      <c r="H537" s="1626"/>
      <c r="I537" s="1626"/>
      <c r="J537" s="1626"/>
      <c r="K537" s="1626"/>
      <c r="L537" s="1626"/>
      <c r="M537" s="1626"/>
      <c r="N537" s="1626"/>
      <c r="O537" s="1626"/>
      <c r="P537" s="1627"/>
      <c r="Q537" s="1627"/>
      <c r="R537" s="1626"/>
      <c r="S537" s="1626"/>
      <c r="T537" s="1626"/>
      <c r="U537" s="1626"/>
      <c r="V537" s="1626"/>
      <c r="W537" s="1626"/>
      <c r="X537" s="1626"/>
      <c r="Y537" s="1626"/>
      <c r="Z537" s="1626"/>
    </row>
    <row r="538" spans="1:26" ht="15.75" customHeight="1" x14ac:dyDescent="0.25">
      <c r="A538" s="1626"/>
      <c r="B538" s="1626"/>
      <c r="C538" s="1626"/>
      <c r="D538" s="1626"/>
      <c r="E538" s="1626"/>
      <c r="F538" s="1626"/>
      <c r="G538" s="1626"/>
      <c r="H538" s="1626"/>
      <c r="I538" s="1626"/>
      <c r="J538" s="1626"/>
      <c r="K538" s="1626"/>
      <c r="L538" s="1626"/>
      <c r="M538" s="1626"/>
      <c r="N538" s="1626"/>
      <c r="O538" s="1626"/>
      <c r="P538" s="1627"/>
      <c r="Q538" s="1627"/>
      <c r="R538" s="1626"/>
      <c r="S538" s="1626"/>
      <c r="T538" s="1626"/>
      <c r="U538" s="1626"/>
      <c r="V538" s="1626"/>
      <c r="W538" s="1626"/>
      <c r="X538" s="1626"/>
      <c r="Y538" s="1626"/>
      <c r="Z538" s="1626"/>
    </row>
    <row r="539" spans="1:26" ht="15.75" customHeight="1" x14ac:dyDescent="0.25">
      <c r="A539" s="1626"/>
      <c r="B539" s="1626"/>
      <c r="C539" s="1626"/>
      <c r="D539" s="1626"/>
      <c r="E539" s="1626"/>
      <c r="F539" s="1626"/>
      <c r="G539" s="1626"/>
      <c r="H539" s="1626"/>
      <c r="I539" s="1626"/>
      <c r="J539" s="1626"/>
      <c r="K539" s="1626"/>
      <c r="L539" s="1626"/>
      <c r="M539" s="1626"/>
      <c r="N539" s="1626"/>
      <c r="O539" s="1626"/>
      <c r="P539" s="1627"/>
      <c r="Q539" s="1627"/>
      <c r="R539" s="1626"/>
      <c r="S539" s="1626"/>
      <c r="T539" s="1626"/>
      <c r="U539" s="1626"/>
      <c r="V539" s="1626"/>
      <c r="W539" s="1626"/>
      <c r="X539" s="1626"/>
      <c r="Y539" s="1626"/>
      <c r="Z539" s="1626"/>
    </row>
    <row r="540" spans="1:26" ht="15.75" customHeight="1" x14ac:dyDescent="0.25">
      <c r="A540" s="1626"/>
      <c r="B540" s="1626"/>
      <c r="C540" s="1626"/>
      <c r="D540" s="1626"/>
      <c r="E540" s="1626"/>
      <c r="F540" s="1626"/>
      <c r="G540" s="1626"/>
      <c r="H540" s="1626"/>
      <c r="I540" s="1626"/>
      <c r="J540" s="1626"/>
      <c r="K540" s="1626"/>
      <c r="L540" s="1626"/>
      <c r="M540" s="1626"/>
      <c r="N540" s="1626"/>
      <c r="O540" s="1626"/>
      <c r="P540" s="1627"/>
      <c r="Q540" s="1627"/>
      <c r="R540" s="1626"/>
      <c r="S540" s="1626"/>
      <c r="T540" s="1626"/>
      <c r="U540" s="1626"/>
      <c r="V540" s="1626"/>
      <c r="W540" s="1626"/>
      <c r="X540" s="1626"/>
      <c r="Y540" s="1626"/>
      <c r="Z540" s="1626"/>
    </row>
    <row r="541" spans="1:26" ht="15.75" customHeight="1" x14ac:dyDescent="0.25">
      <c r="A541" s="1626"/>
      <c r="B541" s="1626"/>
      <c r="C541" s="1626"/>
      <c r="D541" s="1626"/>
      <c r="E541" s="1626"/>
      <c r="F541" s="1626"/>
      <c r="G541" s="1626"/>
      <c r="H541" s="1626"/>
      <c r="I541" s="1626"/>
      <c r="J541" s="1626"/>
      <c r="K541" s="1626"/>
      <c r="L541" s="1626"/>
      <c r="M541" s="1626"/>
      <c r="N541" s="1626"/>
      <c r="O541" s="1626"/>
      <c r="P541" s="1627"/>
      <c r="Q541" s="1627"/>
      <c r="R541" s="1626"/>
      <c r="S541" s="1626"/>
      <c r="T541" s="1626"/>
      <c r="U541" s="1626"/>
      <c r="V541" s="1626"/>
      <c r="W541" s="1626"/>
      <c r="X541" s="1626"/>
      <c r="Y541" s="1626"/>
      <c r="Z541" s="1626"/>
    </row>
    <row r="542" spans="1:26" ht="15.75" customHeight="1" x14ac:dyDescent="0.25">
      <c r="A542" s="1626"/>
      <c r="B542" s="1626"/>
      <c r="C542" s="1626"/>
      <c r="D542" s="1626"/>
      <c r="E542" s="1626"/>
      <c r="F542" s="1626"/>
      <c r="G542" s="1626"/>
      <c r="H542" s="1626"/>
      <c r="I542" s="1626"/>
      <c r="J542" s="1626"/>
      <c r="K542" s="1626"/>
      <c r="L542" s="1626"/>
      <c r="M542" s="1626"/>
      <c r="N542" s="1626"/>
      <c r="O542" s="1626"/>
      <c r="P542" s="1627"/>
      <c r="Q542" s="1627"/>
      <c r="R542" s="1626"/>
      <c r="S542" s="1626"/>
      <c r="T542" s="1626"/>
      <c r="U542" s="1626"/>
      <c r="V542" s="1626"/>
      <c r="W542" s="1626"/>
      <c r="X542" s="1626"/>
      <c r="Y542" s="1626"/>
      <c r="Z542" s="1626"/>
    </row>
    <row r="543" spans="1:26" ht="15.75" customHeight="1" x14ac:dyDescent="0.25">
      <c r="A543" s="1626"/>
      <c r="B543" s="1626"/>
      <c r="C543" s="1626"/>
      <c r="D543" s="1626"/>
      <c r="E543" s="1626"/>
      <c r="F543" s="1626"/>
      <c r="G543" s="1626"/>
      <c r="H543" s="1626"/>
      <c r="I543" s="1626"/>
      <c r="J543" s="1626"/>
      <c r="K543" s="1626"/>
      <c r="L543" s="1626"/>
      <c r="M543" s="1626"/>
      <c r="N543" s="1626"/>
      <c r="O543" s="1626"/>
      <c r="P543" s="1627"/>
      <c r="Q543" s="1627"/>
      <c r="R543" s="1626"/>
      <c r="S543" s="1626"/>
      <c r="T543" s="1626"/>
      <c r="U543" s="1626"/>
      <c r="V543" s="1626"/>
      <c r="W543" s="1626"/>
      <c r="X543" s="1626"/>
      <c r="Y543" s="1626"/>
      <c r="Z543" s="1626"/>
    </row>
    <row r="544" spans="1:26" ht="15.75" customHeight="1" x14ac:dyDescent="0.25">
      <c r="A544" s="1626"/>
      <c r="B544" s="1626"/>
      <c r="C544" s="1626"/>
      <c r="D544" s="1626"/>
      <c r="E544" s="1626"/>
      <c r="F544" s="1626"/>
      <c r="G544" s="1626"/>
      <c r="H544" s="1626"/>
      <c r="I544" s="1626"/>
      <c r="J544" s="1626"/>
      <c r="K544" s="1626"/>
      <c r="L544" s="1626"/>
      <c r="M544" s="1626"/>
      <c r="N544" s="1626"/>
      <c r="O544" s="1626"/>
      <c r="P544" s="1627"/>
      <c r="Q544" s="1627"/>
      <c r="R544" s="1626"/>
      <c r="S544" s="1626"/>
      <c r="T544" s="1626"/>
      <c r="U544" s="1626"/>
      <c r="V544" s="1626"/>
      <c r="W544" s="1626"/>
      <c r="X544" s="1626"/>
      <c r="Y544" s="1626"/>
      <c r="Z544" s="1626"/>
    </row>
    <row r="545" spans="1:26" ht="15.75" customHeight="1" x14ac:dyDescent="0.25">
      <c r="A545" s="1626"/>
      <c r="B545" s="1626"/>
      <c r="C545" s="1626"/>
      <c r="D545" s="1626"/>
      <c r="E545" s="1626"/>
      <c r="F545" s="1626"/>
      <c r="G545" s="1626"/>
      <c r="H545" s="1626"/>
      <c r="I545" s="1626"/>
      <c r="J545" s="1626"/>
      <c r="K545" s="1626"/>
      <c r="L545" s="1626"/>
      <c r="M545" s="1626"/>
      <c r="N545" s="1626"/>
      <c r="O545" s="1626"/>
      <c r="P545" s="1627"/>
      <c r="Q545" s="1627"/>
      <c r="R545" s="1626"/>
      <c r="S545" s="1626"/>
      <c r="T545" s="1626"/>
      <c r="U545" s="1626"/>
      <c r="V545" s="1626"/>
      <c r="W545" s="1626"/>
      <c r="X545" s="1626"/>
      <c r="Y545" s="1626"/>
      <c r="Z545" s="1626"/>
    </row>
    <row r="546" spans="1:26" ht="15.75" customHeight="1" x14ac:dyDescent="0.25">
      <c r="A546" s="1626"/>
      <c r="B546" s="1626"/>
      <c r="C546" s="1626"/>
      <c r="D546" s="1626"/>
      <c r="E546" s="1626"/>
      <c r="F546" s="1626"/>
      <c r="G546" s="1626"/>
      <c r="H546" s="1626"/>
      <c r="I546" s="1626"/>
      <c r="J546" s="1626"/>
      <c r="K546" s="1626"/>
      <c r="L546" s="1626"/>
      <c r="M546" s="1626"/>
      <c r="N546" s="1626"/>
      <c r="O546" s="1626"/>
      <c r="P546" s="1627"/>
      <c r="Q546" s="1627"/>
      <c r="R546" s="1626"/>
      <c r="S546" s="1626"/>
      <c r="T546" s="1626"/>
      <c r="U546" s="1626"/>
      <c r="V546" s="1626"/>
      <c r="W546" s="1626"/>
      <c r="X546" s="1626"/>
      <c r="Y546" s="1626"/>
      <c r="Z546" s="1626"/>
    </row>
    <row r="547" spans="1:26" ht="15.75" customHeight="1" x14ac:dyDescent="0.25">
      <c r="A547" s="1626"/>
      <c r="B547" s="1626"/>
      <c r="C547" s="1626"/>
      <c r="D547" s="1626"/>
      <c r="E547" s="1626"/>
      <c r="F547" s="1626"/>
      <c r="G547" s="1626"/>
      <c r="H547" s="1626"/>
      <c r="I547" s="1626"/>
      <c r="J547" s="1626"/>
      <c r="K547" s="1626"/>
      <c r="L547" s="1626"/>
      <c r="M547" s="1626"/>
      <c r="N547" s="1626"/>
      <c r="O547" s="1626"/>
      <c r="P547" s="1627"/>
      <c r="Q547" s="1627"/>
      <c r="R547" s="1626"/>
      <c r="S547" s="1626"/>
      <c r="T547" s="1626"/>
      <c r="U547" s="1626"/>
      <c r="V547" s="1626"/>
      <c r="W547" s="1626"/>
      <c r="X547" s="1626"/>
      <c r="Y547" s="1626"/>
      <c r="Z547" s="1626"/>
    </row>
    <row r="548" spans="1:26" ht="15.75" customHeight="1" x14ac:dyDescent="0.25">
      <c r="A548" s="1626"/>
      <c r="B548" s="1626"/>
      <c r="C548" s="1626"/>
      <c r="D548" s="1626"/>
      <c r="E548" s="1626"/>
      <c r="F548" s="1626"/>
      <c r="G548" s="1626"/>
      <c r="H548" s="1626"/>
      <c r="I548" s="1626"/>
      <c r="J548" s="1626"/>
      <c r="K548" s="1626"/>
      <c r="L548" s="1626"/>
      <c r="M548" s="1626"/>
      <c r="N548" s="1626"/>
      <c r="O548" s="1626"/>
      <c r="P548" s="1627"/>
      <c r="Q548" s="1627"/>
      <c r="R548" s="1626"/>
      <c r="S548" s="1626"/>
      <c r="T548" s="1626"/>
      <c r="U548" s="1626"/>
      <c r="V548" s="1626"/>
      <c r="W548" s="1626"/>
      <c r="X548" s="1626"/>
      <c r="Y548" s="1626"/>
      <c r="Z548" s="1626"/>
    </row>
    <row r="549" spans="1:26" ht="15.75" customHeight="1" x14ac:dyDescent="0.25">
      <c r="A549" s="1626"/>
      <c r="B549" s="1626"/>
      <c r="C549" s="1626"/>
      <c r="D549" s="1626"/>
      <c r="E549" s="1626"/>
      <c r="F549" s="1626"/>
      <c r="G549" s="1626"/>
      <c r="H549" s="1626"/>
      <c r="I549" s="1626"/>
      <c r="J549" s="1626"/>
      <c r="K549" s="1626"/>
      <c r="L549" s="1626"/>
      <c r="M549" s="1626"/>
      <c r="N549" s="1626"/>
      <c r="O549" s="1626"/>
      <c r="P549" s="1627"/>
      <c r="Q549" s="1627"/>
      <c r="R549" s="1626"/>
      <c r="S549" s="1626"/>
      <c r="T549" s="1626"/>
      <c r="U549" s="1626"/>
      <c r="V549" s="1626"/>
      <c r="W549" s="1626"/>
      <c r="X549" s="1626"/>
      <c r="Y549" s="1626"/>
      <c r="Z549" s="1626"/>
    </row>
    <row r="550" spans="1:26" ht="15.75" customHeight="1" x14ac:dyDescent="0.25">
      <c r="A550" s="1626"/>
      <c r="B550" s="1626"/>
      <c r="C550" s="1626"/>
      <c r="D550" s="1626"/>
      <c r="E550" s="1626"/>
      <c r="F550" s="1626"/>
      <c r="G550" s="1626"/>
      <c r="H550" s="1626"/>
      <c r="I550" s="1626"/>
      <c r="J550" s="1626"/>
      <c r="K550" s="1626"/>
      <c r="L550" s="1626"/>
      <c r="M550" s="1626"/>
      <c r="N550" s="1626"/>
      <c r="O550" s="1626"/>
      <c r="P550" s="1627"/>
      <c r="Q550" s="1627"/>
      <c r="R550" s="1626"/>
      <c r="S550" s="1626"/>
      <c r="T550" s="1626"/>
      <c r="U550" s="1626"/>
      <c r="V550" s="1626"/>
      <c r="W550" s="1626"/>
      <c r="X550" s="1626"/>
      <c r="Y550" s="1626"/>
      <c r="Z550" s="1626"/>
    </row>
    <row r="551" spans="1:26" ht="15.75" customHeight="1" x14ac:dyDescent="0.25">
      <c r="A551" s="1626"/>
      <c r="B551" s="1626"/>
      <c r="C551" s="1626"/>
      <c r="D551" s="1626"/>
      <c r="E551" s="1626"/>
      <c r="F551" s="1626"/>
      <c r="G551" s="1626"/>
      <c r="H551" s="1626"/>
      <c r="I551" s="1626"/>
      <c r="J551" s="1626"/>
      <c r="K551" s="1626"/>
      <c r="L551" s="1626"/>
      <c r="M551" s="1626"/>
      <c r="N551" s="1626"/>
      <c r="O551" s="1626"/>
      <c r="P551" s="1627"/>
      <c r="Q551" s="1627"/>
      <c r="R551" s="1626"/>
      <c r="S551" s="1626"/>
      <c r="T551" s="1626"/>
      <c r="U551" s="1626"/>
      <c r="V551" s="1626"/>
      <c r="W551" s="1626"/>
      <c r="X551" s="1626"/>
      <c r="Y551" s="1626"/>
      <c r="Z551" s="1626"/>
    </row>
    <row r="552" spans="1:26" ht="15.75" customHeight="1" x14ac:dyDescent="0.25">
      <c r="A552" s="1626"/>
      <c r="B552" s="1626"/>
      <c r="C552" s="1626"/>
      <c r="D552" s="1626"/>
      <c r="E552" s="1626"/>
      <c r="F552" s="1626"/>
      <c r="G552" s="1626"/>
      <c r="H552" s="1626"/>
      <c r="I552" s="1626"/>
      <c r="J552" s="1626"/>
      <c r="K552" s="1626"/>
      <c r="L552" s="1626"/>
      <c r="M552" s="1626"/>
      <c r="N552" s="1626"/>
      <c r="O552" s="1626"/>
      <c r="P552" s="1627"/>
      <c r="Q552" s="1627"/>
      <c r="R552" s="1626"/>
      <c r="S552" s="1626"/>
      <c r="T552" s="1626"/>
      <c r="U552" s="1626"/>
      <c r="V552" s="1626"/>
      <c r="W552" s="1626"/>
      <c r="X552" s="1626"/>
      <c r="Y552" s="1626"/>
      <c r="Z552" s="1626"/>
    </row>
    <row r="553" spans="1:26" ht="15.75" customHeight="1" x14ac:dyDescent="0.25">
      <c r="A553" s="1626"/>
      <c r="B553" s="1626"/>
      <c r="C553" s="1626"/>
      <c r="D553" s="1626"/>
      <c r="E553" s="1626"/>
      <c r="F553" s="1626"/>
      <c r="G553" s="1626"/>
      <c r="H553" s="1626"/>
      <c r="I553" s="1626"/>
      <c r="J553" s="1626"/>
      <c r="K553" s="1626"/>
      <c r="L553" s="1626"/>
      <c r="M553" s="1626"/>
      <c r="N553" s="1626"/>
      <c r="O553" s="1626"/>
      <c r="P553" s="1627"/>
      <c r="Q553" s="1627"/>
      <c r="R553" s="1626"/>
      <c r="S553" s="1626"/>
      <c r="T553" s="1626"/>
      <c r="U553" s="1626"/>
      <c r="V553" s="1626"/>
      <c r="W553" s="1626"/>
      <c r="X553" s="1626"/>
      <c r="Y553" s="1626"/>
      <c r="Z553" s="1626"/>
    </row>
    <row r="554" spans="1:26" ht="15.75" customHeight="1" x14ac:dyDescent="0.25">
      <c r="A554" s="1626"/>
      <c r="B554" s="1626"/>
      <c r="C554" s="1626"/>
      <c r="D554" s="1626"/>
      <c r="E554" s="1626"/>
      <c r="F554" s="1626"/>
      <c r="G554" s="1626"/>
      <c r="H554" s="1626"/>
      <c r="I554" s="1626"/>
      <c r="J554" s="1626"/>
      <c r="K554" s="1626"/>
      <c r="L554" s="1626"/>
      <c r="M554" s="1626"/>
      <c r="N554" s="1626"/>
      <c r="O554" s="1626"/>
      <c r="P554" s="1627"/>
      <c r="Q554" s="1627"/>
      <c r="R554" s="1626"/>
      <c r="S554" s="1626"/>
      <c r="T554" s="1626"/>
      <c r="U554" s="1626"/>
      <c r="V554" s="1626"/>
      <c r="W554" s="1626"/>
      <c r="X554" s="1626"/>
      <c r="Y554" s="1626"/>
      <c r="Z554" s="1626"/>
    </row>
    <row r="555" spans="1:26" ht="15.75" customHeight="1" x14ac:dyDescent="0.25">
      <c r="A555" s="1626"/>
      <c r="B555" s="1626"/>
      <c r="C555" s="1626"/>
      <c r="D555" s="1626"/>
      <c r="E555" s="1626"/>
      <c r="F555" s="1626"/>
      <c r="G555" s="1626"/>
      <c r="H555" s="1626"/>
      <c r="I555" s="1626"/>
      <c r="J555" s="1626"/>
      <c r="K555" s="1626"/>
      <c r="L555" s="1626"/>
      <c r="M555" s="1626"/>
      <c r="N555" s="1626"/>
      <c r="O555" s="1626"/>
      <c r="P555" s="1627"/>
      <c r="Q555" s="1627"/>
      <c r="R555" s="1626"/>
      <c r="S555" s="1626"/>
      <c r="T555" s="1626"/>
      <c r="U555" s="1626"/>
      <c r="V555" s="1626"/>
      <c r="W555" s="1626"/>
      <c r="X555" s="1626"/>
      <c r="Y555" s="1626"/>
      <c r="Z555" s="1626"/>
    </row>
    <row r="556" spans="1:26" ht="15.75" customHeight="1" x14ac:dyDescent="0.25">
      <c r="A556" s="1626"/>
      <c r="B556" s="1626"/>
      <c r="C556" s="1626"/>
      <c r="D556" s="1626"/>
      <c r="E556" s="1626"/>
      <c r="F556" s="1626"/>
      <c r="G556" s="1626"/>
      <c r="H556" s="1626"/>
      <c r="I556" s="1626"/>
      <c r="J556" s="1626"/>
      <c r="K556" s="1626"/>
      <c r="L556" s="1626"/>
      <c r="M556" s="1626"/>
      <c r="N556" s="1626"/>
      <c r="O556" s="1626"/>
      <c r="P556" s="1627"/>
      <c r="Q556" s="1627"/>
      <c r="R556" s="1626"/>
      <c r="S556" s="1626"/>
      <c r="T556" s="1626"/>
      <c r="U556" s="1626"/>
      <c r="V556" s="1626"/>
      <c r="W556" s="1626"/>
      <c r="X556" s="1626"/>
      <c r="Y556" s="1626"/>
      <c r="Z556" s="1626"/>
    </row>
    <row r="557" spans="1:26" ht="15.75" customHeight="1" x14ac:dyDescent="0.25">
      <c r="A557" s="1626"/>
      <c r="B557" s="1626"/>
      <c r="C557" s="1626"/>
      <c r="D557" s="1626"/>
      <c r="E557" s="1626"/>
      <c r="F557" s="1626"/>
      <c r="G557" s="1626"/>
      <c r="H557" s="1626"/>
      <c r="I557" s="1626"/>
      <c r="J557" s="1626"/>
      <c r="K557" s="1626"/>
      <c r="L557" s="1626"/>
      <c r="M557" s="1626"/>
      <c r="N557" s="1626"/>
      <c r="O557" s="1626"/>
      <c r="P557" s="1627"/>
      <c r="Q557" s="1627"/>
      <c r="R557" s="1626"/>
      <c r="S557" s="1626"/>
      <c r="T557" s="1626"/>
      <c r="U557" s="1626"/>
      <c r="V557" s="1626"/>
      <c r="W557" s="1626"/>
      <c r="X557" s="1626"/>
      <c r="Y557" s="1626"/>
      <c r="Z557" s="1626"/>
    </row>
    <row r="558" spans="1:26" ht="15.75" customHeight="1" x14ac:dyDescent="0.25">
      <c r="A558" s="1626"/>
      <c r="B558" s="1626"/>
      <c r="C558" s="1626"/>
      <c r="D558" s="1626"/>
      <c r="E558" s="1626"/>
      <c r="F558" s="1626"/>
      <c r="G558" s="1626"/>
      <c r="H558" s="1626"/>
      <c r="I558" s="1626"/>
      <c r="J558" s="1626"/>
      <c r="K558" s="1626"/>
      <c r="L558" s="1626"/>
      <c r="M558" s="1626"/>
      <c r="N558" s="1626"/>
      <c r="O558" s="1626"/>
      <c r="P558" s="1627"/>
      <c r="Q558" s="1627"/>
      <c r="R558" s="1626"/>
      <c r="S558" s="1626"/>
      <c r="T558" s="1626"/>
      <c r="U558" s="1626"/>
      <c r="V558" s="1626"/>
      <c r="W558" s="1626"/>
      <c r="X558" s="1626"/>
      <c r="Y558" s="1626"/>
      <c r="Z558" s="1626"/>
    </row>
    <row r="559" spans="1:26" ht="15.75" customHeight="1" x14ac:dyDescent="0.25">
      <c r="A559" s="1626"/>
      <c r="B559" s="1626"/>
      <c r="C559" s="1626"/>
      <c r="D559" s="1626"/>
      <c r="E559" s="1626"/>
      <c r="F559" s="1626"/>
      <c r="G559" s="1626"/>
      <c r="H559" s="1626"/>
      <c r="I559" s="1626"/>
      <c r="J559" s="1626"/>
      <c r="K559" s="1626"/>
      <c r="L559" s="1626"/>
      <c r="M559" s="1626"/>
      <c r="N559" s="1626"/>
      <c r="O559" s="1626"/>
      <c r="P559" s="1627"/>
      <c r="Q559" s="1627"/>
      <c r="R559" s="1626"/>
      <c r="S559" s="1626"/>
      <c r="T559" s="1626"/>
      <c r="U559" s="1626"/>
      <c r="V559" s="1626"/>
      <c r="W559" s="1626"/>
      <c r="X559" s="1626"/>
      <c r="Y559" s="1626"/>
      <c r="Z559" s="1626"/>
    </row>
    <row r="560" spans="1:26" ht="15.75" customHeight="1" x14ac:dyDescent="0.25">
      <c r="A560" s="1626"/>
      <c r="B560" s="1626"/>
      <c r="C560" s="1626"/>
      <c r="D560" s="1626"/>
      <c r="E560" s="1626"/>
      <c r="F560" s="1626"/>
      <c r="G560" s="1626"/>
      <c r="H560" s="1626"/>
      <c r="I560" s="1626"/>
      <c r="J560" s="1626"/>
      <c r="K560" s="1626"/>
      <c r="L560" s="1626"/>
      <c r="M560" s="1626"/>
      <c r="N560" s="1626"/>
      <c r="O560" s="1626"/>
      <c r="P560" s="1627"/>
      <c r="Q560" s="1627"/>
      <c r="R560" s="1626"/>
      <c r="S560" s="1626"/>
      <c r="T560" s="1626"/>
      <c r="U560" s="1626"/>
      <c r="V560" s="1626"/>
      <c r="W560" s="1626"/>
      <c r="X560" s="1626"/>
      <c r="Y560" s="1626"/>
      <c r="Z560" s="1626"/>
    </row>
    <row r="561" spans="1:26" ht="15.75" customHeight="1" x14ac:dyDescent="0.25">
      <c r="A561" s="1626"/>
      <c r="B561" s="1626"/>
      <c r="C561" s="1626"/>
      <c r="D561" s="1626"/>
      <c r="E561" s="1626"/>
      <c r="F561" s="1626"/>
      <c r="G561" s="1626"/>
      <c r="H561" s="1626"/>
      <c r="I561" s="1626"/>
      <c r="J561" s="1626"/>
      <c r="K561" s="1626"/>
      <c r="L561" s="1626"/>
      <c r="M561" s="1626"/>
      <c r="N561" s="1626"/>
      <c r="O561" s="1626"/>
      <c r="P561" s="1627"/>
      <c r="Q561" s="1627"/>
      <c r="R561" s="1626"/>
      <c r="S561" s="1626"/>
      <c r="T561" s="1626"/>
      <c r="U561" s="1626"/>
      <c r="V561" s="1626"/>
      <c r="W561" s="1626"/>
      <c r="X561" s="1626"/>
      <c r="Y561" s="1626"/>
      <c r="Z561" s="1626"/>
    </row>
    <row r="562" spans="1:26" ht="15.75" customHeight="1" x14ac:dyDescent="0.25">
      <c r="A562" s="1626"/>
      <c r="B562" s="1626"/>
      <c r="C562" s="1626"/>
      <c r="D562" s="1626"/>
      <c r="E562" s="1626"/>
      <c r="F562" s="1626"/>
      <c r="G562" s="1626"/>
      <c r="H562" s="1626"/>
      <c r="I562" s="1626"/>
      <c r="J562" s="1626"/>
      <c r="K562" s="1626"/>
      <c r="L562" s="1626"/>
      <c r="M562" s="1626"/>
      <c r="N562" s="1626"/>
      <c r="O562" s="1626"/>
      <c r="P562" s="1627"/>
      <c r="Q562" s="1627"/>
      <c r="R562" s="1626"/>
      <c r="S562" s="1626"/>
      <c r="T562" s="1626"/>
      <c r="U562" s="1626"/>
      <c r="V562" s="1626"/>
      <c r="W562" s="1626"/>
      <c r="X562" s="1626"/>
      <c r="Y562" s="1626"/>
      <c r="Z562" s="1626"/>
    </row>
    <row r="563" spans="1:26" ht="15.75" customHeight="1" x14ac:dyDescent="0.25">
      <c r="A563" s="1626"/>
      <c r="B563" s="1626"/>
      <c r="C563" s="1626"/>
      <c r="D563" s="1626"/>
      <c r="E563" s="1626"/>
      <c r="F563" s="1626"/>
      <c r="G563" s="1626"/>
      <c r="H563" s="1626"/>
      <c r="I563" s="1626"/>
      <c r="J563" s="1626"/>
      <c r="K563" s="1626"/>
      <c r="L563" s="1626"/>
      <c r="M563" s="1626"/>
      <c r="N563" s="1626"/>
      <c r="O563" s="1626"/>
      <c r="P563" s="1627"/>
      <c r="Q563" s="1627"/>
      <c r="R563" s="1626"/>
      <c r="S563" s="1626"/>
      <c r="T563" s="1626"/>
      <c r="U563" s="1626"/>
      <c r="V563" s="1626"/>
      <c r="W563" s="1626"/>
      <c r="X563" s="1626"/>
      <c r="Y563" s="1626"/>
      <c r="Z563" s="1626"/>
    </row>
    <row r="564" spans="1:26" ht="15.75" customHeight="1" x14ac:dyDescent="0.25">
      <c r="A564" s="1626"/>
      <c r="B564" s="1626"/>
      <c r="C564" s="1626"/>
      <c r="D564" s="1626"/>
      <c r="E564" s="1626"/>
      <c r="F564" s="1626"/>
      <c r="G564" s="1626"/>
      <c r="H564" s="1626"/>
      <c r="I564" s="1626"/>
      <c r="J564" s="1626"/>
      <c r="K564" s="1626"/>
      <c r="L564" s="1626"/>
      <c r="M564" s="1626"/>
      <c r="N564" s="1626"/>
      <c r="O564" s="1626"/>
      <c r="P564" s="1627"/>
      <c r="Q564" s="1627"/>
      <c r="R564" s="1626"/>
      <c r="S564" s="1626"/>
      <c r="T564" s="1626"/>
      <c r="U564" s="1626"/>
      <c r="V564" s="1626"/>
      <c r="W564" s="1626"/>
      <c r="X564" s="1626"/>
      <c r="Y564" s="1626"/>
      <c r="Z564" s="1626"/>
    </row>
    <row r="565" spans="1:26" ht="15.75" customHeight="1" x14ac:dyDescent="0.25">
      <c r="A565" s="1626"/>
      <c r="B565" s="1626"/>
      <c r="C565" s="1626"/>
      <c r="D565" s="1626"/>
      <c r="E565" s="1626"/>
      <c r="F565" s="1626"/>
      <c r="G565" s="1626"/>
      <c r="H565" s="1626"/>
      <c r="I565" s="1626"/>
      <c r="J565" s="1626"/>
      <c r="K565" s="1626"/>
      <c r="L565" s="1626"/>
      <c r="M565" s="1626"/>
      <c r="N565" s="1626"/>
      <c r="O565" s="1626"/>
      <c r="P565" s="1627"/>
      <c r="Q565" s="1627"/>
      <c r="R565" s="1626"/>
      <c r="S565" s="1626"/>
      <c r="T565" s="1626"/>
      <c r="U565" s="1626"/>
      <c r="V565" s="1626"/>
      <c r="W565" s="1626"/>
      <c r="X565" s="1626"/>
      <c r="Y565" s="1626"/>
      <c r="Z565" s="1626"/>
    </row>
    <row r="566" spans="1:26" ht="15.75" customHeight="1" x14ac:dyDescent="0.25">
      <c r="A566" s="1626"/>
      <c r="B566" s="1626"/>
      <c r="C566" s="1626"/>
      <c r="D566" s="1626"/>
      <c r="E566" s="1626"/>
      <c r="F566" s="1626"/>
      <c r="G566" s="1626"/>
      <c r="H566" s="1626"/>
      <c r="I566" s="1626"/>
      <c r="J566" s="1626"/>
      <c r="K566" s="1626"/>
      <c r="L566" s="1626"/>
      <c r="M566" s="1626"/>
      <c r="N566" s="1626"/>
      <c r="O566" s="1626"/>
      <c r="P566" s="1627"/>
      <c r="Q566" s="1627"/>
      <c r="R566" s="1626"/>
      <c r="S566" s="1626"/>
      <c r="T566" s="1626"/>
      <c r="U566" s="1626"/>
      <c r="V566" s="1626"/>
      <c r="W566" s="1626"/>
      <c r="X566" s="1626"/>
      <c r="Y566" s="1626"/>
      <c r="Z566" s="1626"/>
    </row>
    <row r="567" spans="1:26" ht="15.75" customHeight="1" x14ac:dyDescent="0.25">
      <c r="A567" s="1626"/>
      <c r="B567" s="1626"/>
      <c r="C567" s="1626"/>
      <c r="D567" s="1626"/>
      <c r="E567" s="1626"/>
      <c r="F567" s="1626"/>
      <c r="G567" s="1626"/>
      <c r="H567" s="1626"/>
      <c r="I567" s="1626"/>
      <c r="J567" s="1626"/>
      <c r="K567" s="1626"/>
      <c r="L567" s="1626"/>
      <c r="M567" s="1626"/>
      <c r="N567" s="1626"/>
      <c r="O567" s="1626"/>
      <c r="P567" s="1627"/>
      <c r="Q567" s="1627"/>
      <c r="R567" s="1626"/>
      <c r="S567" s="1626"/>
      <c r="T567" s="1626"/>
      <c r="U567" s="1626"/>
      <c r="V567" s="1626"/>
      <c r="W567" s="1626"/>
      <c r="X567" s="1626"/>
      <c r="Y567" s="1626"/>
      <c r="Z567" s="1626"/>
    </row>
    <row r="568" spans="1:26" ht="15.75" customHeight="1" x14ac:dyDescent="0.25">
      <c r="A568" s="1626"/>
      <c r="B568" s="1626"/>
      <c r="C568" s="1626"/>
      <c r="D568" s="1626"/>
      <c r="E568" s="1626"/>
      <c r="F568" s="1626"/>
      <c r="G568" s="1626"/>
      <c r="H568" s="1626"/>
      <c r="I568" s="1626"/>
      <c r="J568" s="1626"/>
      <c r="K568" s="1626"/>
      <c r="L568" s="1626"/>
      <c r="M568" s="1626"/>
      <c r="N568" s="1626"/>
      <c r="O568" s="1626"/>
      <c r="P568" s="1627"/>
      <c r="Q568" s="1627"/>
      <c r="R568" s="1626"/>
      <c r="S568" s="1626"/>
      <c r="T568" s="1626"/>
      <c r="U568" s="1626"/>
      <c r="V568" s="1626"/>
      <c r="W568" s="1626"/>
      <c r="X568" s="1626"/>
      <c r="Y568" s="1626"/>
      <c r="Z568" s="1626"/>
    </row>
    <row r="569" spans="1:26" ht="15.75" customHeight="1" x14ac:dyDescent="0.25">
      <c r="A569" s="1626"/>
      <c r="B569" s="1626"/>
      <c r="C569" s="1626"/>
      <c r="D569" s="1626"/>
      <c r="E569" s="1626"/>
      <c r="F569" s="1626"/>
      <c r="G569" s="1626"/>
      <c r="H569" s="1626"/>
      <c r="I569" s="1626"/>
      <c r="J569" s="1626"/>
      <c r="K569" s="1626"/>
      <c r="L569" s="1626"/>
      <c r="M569" s="1626"/>
      <c r="N569" s="1626"/>
      <c r="O569" s="1626"/>
      <c r="P569" s="1627"/>
      <c r="Q569" s="1627"/>
      <c r="R569" s="1626"/>
      <c r="S569" s="1626"/>
      <c r="T569" s="1626"/>
      <c r="U569" s="1626"/>
      <c r="V569" s="1626"/>
      <c r="W569" s="1626"/>
      <c r="X569" s="1626"/>
      <c r="Y569" s="1626"/>
      <c r="Z569" s="1626"/>
    </row>
    <row r="570" spans="1:26" ht="15.75" customHeight="1" x14ac:dyDescent="0.25">
      <c r="A570" s="1626"/>
      <c r="B570" s="1626"/>
      <c r="C570" s="1626"/>
      <c r="D570" s="1626"/>
      <c r="E570" s="1626"/>
      <c r="F570" s="1626"/>
      <c r="G570" s="1626"/>
      <c r="H570" s="1626"/>
      <c r="I570" s="1626"/>
      <c r="J570" s="1626"/>
      <c r="K570" s="1626"/>
      <c r="L570" s="1626"/>
      <c r="M570" s="1626"/>
      <c r="N570" s="1626"/>
      <c r="O570" s="1626"/>
      <c r="P570" s="1627"/>
      <c r="Q570" s="1627"/>
      <c r="R570" s="1626"/>
      <c r="S570" s="1626"/>
      <c r="T570" s="1626"/>
      <c r="U570" s="1626"/>
      <c r="V570" s="1626"/>
      <c r="W570" s="1626"/>
      <c r="X570" s="1626"/>
      <c r="Y570" s="1626"/>
      <c r="Z570" s="1626"/>
    </row>
    <row r="571" spans="1:26" ht="15.75" customHeight="1" x14ac:dyDescent="0.25">
      <c r="A571" s="1626"/>
      <c r="B571" s="1626"/>
      <c r="C571" s="1626"/>
      <c r="D571" s="1626"/>
      <c r="E571" s="1626"/>
      <c r="F571" s="1626"/>
      <c r="G571" s="1626"/>
      <c r="H571" s="1626"/>
      <c r="I571" s="1626"/>
      <c r="J571" s="1626"/>
      <c r="K571" s="1626"/>
      <c r="L571" s="1626"/>
      <c r="M571" s="1626"/>
      <c r="N571" s="1626"/>
      <c r="O571" s="1626"/>
      <c r="P571" s="1627"/>
      <c r="Q571" s="1627"/>
      <c r="R571" s="1626"/>
      <c r="S571" s="1626"/>
      <c r="T571" s="1626"/>
      <c r="U571" s="1626"/>
      <c r="V571" s="1626"/>
      <c r="W571" s="1626"/>
      <c r="X571" s="1626"/>
      <c r="Y571" s="1626"/>
      <c r="Z571" s="1626"/>
    </row>
    <row r="572" spans="1:26" ht="15.75" customHeight="1" x14ac:dyDescent="0.25">
      <c r="A572" s="1626"/>
      <c r="B572" s="1626"/>
      <c r="C572" s="1626"/>
      <c r="D572" s="1626"/>
      <c r="E572" s="1626"/>
      <c r="F572" s="1626"/>
      <c r="G572" s="1626"/>
      <c r="H572" s="1626"/>
      <c r="I572" s="1626"/>
      <c r="J572" s="1626"/>
      <c r="K572" s="1626"/>
      <c r="L572" s="1626"/>
      <c r="M572" s="1626"/>
      <c r="N572" s="1626"/>
      <c r="O572" s="1626"/>
      <c r="P572" s="1627"/>
      <c r="Q572" s="1627"/>
      <c r="R572" s="1626"/>
      <c r="S572" s="1626"/>
      <c r="T572" s="1626"/>
      <c r="U572" s="1626"/>
      <c r="V572" s="1626"/>
      <c r="W572" s="1626"/>
      <c r="X572" s="1626"/>
      <c r="Y572" s="1626"/>
      <c r="Z572" s="1626"/>
    </row>
    <row r="573" spans="1:26" ht="15.75" customHeight="1" x14ac:dyDescent="0.25">
      <c r="A573" s="1626"/>
      <c r="B573" s="1626"/>
      <c r="C573" s="1626"/>
      <c r="D573" s="1626"/>
      <c r="E573" s="1626"/>
      <c r="F573" s="1626"/>
      <c r="G573" s="1626"/>
      <c r="H573" s="1626"/>
      <c r="I573" s="1626"/>
      <c r="J573" s="1626"/>
      <c r="K573" s="1626"/>
      <c r="L573" s="1626"/>
      <c r="M573" s="1626"/>
      <c r="N573" s="1626"/>
      <c r="O573" s="1626"/>
      <c r="P573" s="1627"/>
      <c r="Q573" s="1627"/>
      <c r="R573" s="1626"/>
      <c r="S573" s="1626"/>
      <c r="T573" s="1626"/>
      <c r="U573" s="1626"/>
      <c r="V573" s="1626"/>
      <c r="W573" s="1626"/>
      <c r="X573" s="1626"/>
      <c r="Y573" s="1626"/>
      <c r="Z573" s="1626"/>
    </row>
    <row r="574" spans="1:26" ht="15.75" customHeight="1" x14ac:dyDescent="0.25">
      <c r="A574" s="1626"/>
      <c r="B574" s="1626"/>
      <c r="C574" s="1626"/>
      <c r="D574" s="1626"/>
      <c r="E574" s="1626"/>
      <c r="F574" s="1626"/>
      <c r="G574" s="1626"/>
      <c r="H574" s="1626"/>
      <c r="I574" s="1626"/>
      <c r="J574" s="1626"/>
      <c r="K574" s="1626"/>
      <c r="L574" s="1626"/>
      <c r="M574" s="1626"/>
      <c r="N574" s="1626"/>
      <c r="O574" s="1626"/>
      <c r="P574" s="1627"/>
      <c r="Q574" s="1627"/>
      <c r="R574" s="1626"/>
      <c r="S574" s="1626"/>
      <c r="T574" s="1626"/>
      <c r="U574" s="1626"/>
      <c r="V574" s="1626"/>
      <c r="W574" s="1626"/>
      <c r="X574" s="1626"/>
      <c r="Y574" s="1626"/>
      <c r="Z574" s="1626"/>
    </row>
    <row r="575" spans="1:26" ht="15.75" customHeight="1" x14ac:dyDescent="0.25">
      <c r="A575" s="1626"/>
      <c r="B575" s="1626"/>
      <c r="C575" s="1626"/>
      <c r="D575" s="1626"/>
      <c r="E575" s="1626"/>
      <c r="F575" s="1626"/>
      <c r="G575" s="1626"/>
      <c r="H575" s="1626"/>
      <c r="I575" s="1626"/>
      <c r="J575" s="1626"/>
      <c r="K575" s="1626"/>
      <c r="L575" s="1626"/>
      <c r="M575" s="1626"/>
      <c r="N575" s="1626"/>
      <c r="O575" s="1626"/>
      <c r="P575" s="1627"/>
      <c r="Q575" s="1627"/>
      <c r="R575" s="1626"/>
      <c r="S575" s="1626"/>
      <c r="T575" s="1626"/>
      <c r="U575" s="1626"/>
      <c r="V575" s="1626"/>
      <c r="W575" s="1626"/>
      <c r="X575" s="1626"/>
      <c r="Y575" s="1626"/>
      <c r="Z575" s="1626"/>
    </row>
    <row r="576" spans="1:26" ht="15.75" customHeight="1" x14ac:dyDescent="0.25">
      <c r="A576" s="1626"/>
      <c r="B576" s="1626"/>
      <c r="C576" s="1626"/>
      <c r="D576" s="1626"/>
      <c r="E576" s="1626"/>
      <c r="F576" s="1626"/>
      <c r="G576" s="1626"/>
      <c r="H576" s="1626"/>
      <c r="I576" s="1626"/>
      <c r="J576" s="1626"/>
      <c r="K576" s="1626"/>
      <c r="L576" s="1626"/>
      <c r="M576" s="1626"/>
      <c r="N576" s="1626"/>
      <c r="O576" s="1626"/>
      <c r="P576" s="1627"/>
      <c r="Q576" s="1627"/>
      <c r="R576" s="1626"/>
      <c r="S576" s="1626"/>
      <c r="T576" s="1626"/>
      <c r="U576" s="1626"/>
      <c r="V576" s="1626"/>
      <c r="W576" s="1626"/>
      <c r="X576" s="1626"/>
      <c r="Y576" s="1626"/>
      <c r="Z576" s="1626"/>
    </row>
    <row r="577" spans="1:26" ht="15.75" customHeight="1" x14ac:dyDescent="0.25">
      <c r="A577" s="1626"/>
      <c r="B577" s="1626"/>
      <c r="C577" s="1626"/>
      <c r="D577" s="1626"/>
      <c r="E577" s="1626"/>
      <c r="F577" s="1626"/>
      <c r="G577" s="1626"/>
      <c r="H577" s="1626"/>
      <c r="I577" s="1626"/>
      <c r="J577" s="1626"/>
      <c r="K577" s="1626"/>
      <c r="L577" s="1626"/>
      <c r="M577" s="1626"/>
      <c r="N577" s="1626"/>
      <c r="O577" s="1626"/>
      <c r="P577" s="1627"/>
      <c r="Q577" s="1627"/>
      <c r="R577" s="1626"/>
      <c r="S577" s="1626"/>
      <c r="T577" s="1626"/>
      <c r="U577" s="1626"/>
      <c r="V577" s="1626"/>
      <c r="W577" s="1626"/>
      <c r="X577" s="1626"/>
      <c r="Y577" s="1626"/>
      <c r="Z577" s="1626"/>
    </row>
    <row r="578" spans="1:26" ht="15.75" customHeight="1" x14ac:dyDescent="0.25">
      <c r="A578" s="1626"/>
      <c r="B578" s="1626"/>
      <c r="C578" s="1626"/>
      <c r="D578" s="1626"/>
      <c r="E578" s="1626"/>
      <c r="F578" s="1626"/>
      <c r="G578" s="1626"/>
      <c r="H578" s="1626"/>
      <c r="I578" s="1626"/>
      <c r="J578" s="1626"/>
      <c r="K578" s="1626"/>
      <c r="L578" s="1626"/>
      <c r="M578" s="1626"/>
      <c r="N578" s="1626"/>
      <c r="O578" s="1626"/>
      <c r="P578" s="1627"/>
      <c r="Q578" s="1627"/>
      <c r="R578" s="1626"/>
      <c r="S578" s="1626"/>
      <c r="T578" s="1626"/>
      <c r="U578" s="1626"/>
      <c r="V578" s="1626"/>
      <c r="W578" s="1626"/>
      <c r="X578" s="1626"/>
      <c r="Y578" s="1626"/>
      <c r="Z578" s="1626"/>
    </row>
    <row r="579" spans="1:26" ht="15.75" customHeight="1" x14ac:dyDescent="0.25">
      <c r="A579" s="1626"/>
      <c r="B579" s="1626"/>
      <c r="C579" s="1626"/>
      <c r="D579" s="1626"/>
      <c r="E579" s="1626"/>
      <c r="F579" s="1626"/>
      <c r="G579" s="1626"/>
      <c r="H579" s="1626"/>
      <c r="I579" s="1626"/>
      <c r="J579" s="1626"/>
      <c r="K579" s="1626"/>
      <c r="L579" s="1626"/>
      <c r="M579" s="1626"/>
      <c r="N579" s="1626"/>
      <c r="O579" s="1626"/>
      <c r="P579" s="1627"/>
      <c r="Q579" s="1627"/>
      <c r="R579" s="1626"/>
      <c r="S579" s="1626"/>
      <c r="T579" s="1626"/>
      <c r="U579" s="1626"/>
      <c r="V579" s="1626"/>
      <c r="W579" s="1626"/>
      <c r="X579" s="1626"/>
      <c r="Y579" s="1626"/>
      <c r="Z579" s="1626"/>
    </row>
    <row r="580" spans="1:26" ht="15.75" customHeight="1" x14ac:dyDescent="0.25">
      <c r="A580" s="1626"/>
      <c r="B580" s="1626"/>
      <c r="C580" s="1626"/>
      <c r="D580" s="1626"/>
      <c r="E580" s="1626"/>
      <c r="F580" s="1626"/>
      <c r="G580" s="1626"/>
      <c r="H580" s="1626"/>
      <c r="I580" s="1626"/>
      <c r="J580" s="1626"/>
      <c r="K580" s="1626"/>
      <c r="L580" s="1626"/>
      <c r="M580" s="1626"/>
      <c r="N580" s="1626"/>
      <c r="O580" s="1626"/>
      <c r="P580" s="1627"/>
      <c r="Q580" s="1627"/>
      <c r="R580" s="1626"/>
      <c r="S580" s="1626"/>
      <c r="T580" s="1626"/>
      <c r="U580" s="1626"/>
      <c r="V580" s="1626"/>
      <c r="W580" s="1626"/>
      <c r="X580" s="1626"/>
      <c r="Y580" s="1626"/>
      <c r="Z580" s="1626"/>
    </row>
    <row r="581" spans="1:26" ht="15.75" customHeight="1" x14ac:dyDescent="0.25">
      <c r="A581" s="1626"/>
      <c r="B581" s="1626"/>
      <c r="C581" s="1626"/>
      <c r="D581" s="1626"/>
      <c r="E581" s="1626"/>
      <c r="F581" s="1626"/>
      <c r="G581" s="1626"/>
      <c r="H581" s="1626"/>
      <c r="I581" s="1626"/>
      <c r="J581" s="1626"/>
      <c r="K581" s="1626"/>
      <c r="L581" s="1626"/>
      <c r="M581" s="1626"/>
      <c r="N581" s="1626"/>
      <c r="O581" s="1626"/>
      <c r="P581" s="1627"/>
      <c r="Q581" s="1627"/>
      <c r="R581" s="1626"/>
      <c r="S581" s="1626"/>
      <c r="T581" s="1626"/>
      <c r="U581" s="1626"/>
      <c r="V581" s="1626"/>
      <c r="W581" s="1626"/>
      <c r="X581" s="1626"/>
      <c r="Y581" s="1626"/>
      <c r="Z581" s="1626"/>
    </row>
    <row r="582" spans="1:26" ht="15.75" customHeight="1" x14ac:dyDescent="0.25">
      <c r="A582" s="1626"/>
      <c r="B582" s="1626"/>
      <c r="C582" s="1626"/>
      <c r="D582" s="1626"/>
      <c r="E582" s="1626"/>
      <c r="F582" s="1626"/>
      <c r="G582" s="1626"/>
      <c r="H582" s="1626"/>
      <c r="I582" s="1626"/>
      <c r="J582" s="1626"/>
      <c r="K582" s="1626"/>
      <c r="L582" s="1626"/>
      <c r="M582" s="1626"/>
      <c r="N582" s="1626"/>
      <c r="O582" s="1626"/>
      <c r="P582" s="1627"/>
      <c r="Q582" s="1627"/>
      <c r="R582" s="1626"/>
      <c r="S582" s="1626"/>
      <c r="T582" s="1626"/>
      <c r="U582" s="1626"/>
      <c r="V582" s="1626"/>
      <c r="W582" s="1626"/>
      <c r="X582" s="1626"/>
      <c r="Y582" s="1626"/>
      <c r="Z582" s="1626"/>
    </row>
    <row r="583" spans="1:26" ht="15.75" customHeight="1" x14ac:dyDescent="0.25">
      <c r="A583" s="1626"/>
      <c r="B583" s="1626"/>
      <c r="C583" s="1626"/>
      <c r="D583" s="1626"/>
      <c r="E583" s="1626"/>
      <c r="F583" s="1626"/>
      <c r="G583" s="1626"/>
      <c r="H583" s="1626"/>
      <c r="I583" s="1626"/>
      <c r="J583" s="1626"/>
      <c r="K583" s="1626"/>
      <c r="L583" s="1626"/>
      <c r="M583" s="1626"/>
      <c r="N583" s="1626"/>
      <c r="O583" s="1626"/>
      <c r="P583" s="1627"/>
      <c r="Q583" s="1627"/>
      <c r="R583" s="1626"/>
      <c r="S583" s="1626"/>
      <c r="T583" s="1626"/>
      <c r="U583" s="1626"/>
      <c r="V583" s="1626"/>
      <c r="W583" s="1626"/>
      <c r="X583" s="1626"/>
      <c r="Y583" s="1626"/>
      <c r="Z583" s="1626"/>
    </row>
    <row r="584" spans="1:26" ht="15.75" customHeight="1" x14ac:dyDescent="0.25">
      <c r="A584" s="1626"/>
      <c r="B584" s="1626"/>
      <c r="C584" s="1626"/>
      <c r="D584" s="1626"/>
      <c r="E584" s="1626"/>
      <c r="F584" s="1626"/>
      <c r="G584" s="1626"/>
      <c r="H584" s="1626"/>
      <c r="I584" s="1626"/>
      <c r="J584" s="1626"/>
      <c r="K584" s="1626"/>
      <c r="L584" s="1626"/>
      <c r="M584" s="1626"/>
      <c r="N584" s="1626"/>
      <c r="O584" s="1626"/>
      <c r="P584" s="1627"/>
      <c r="Q584" s="1627"/>
      <c r="R584" s="1626"/>
      <c r="S584" s="1626"/>
      <c r="T584" s="1626"/>
      <c r="U584" s="1626"/>
      <c r="V584" s="1626"/>
      <c r="W584" s="1626"/>
      <c r="X584" s="1626"/>
      <c r="Y584" s="1626"/>
      <c r="Z584" s="1626"/>
    </row>
    <row r="585" spans="1:26" ht="15.75" customHeight="1" x14ac:dyDescent="0.25">
      <c r="A585" s="1626"/>
      <c r="B585" s="1626"/>
      <c r="C585" s="1626"/>
      <c r="D585" s="1626"/>
      <c r="E585" s="1626"/>
      <c r="F585" s="1626"/>
      <c r="G585" s="1626"/>
      <c r="H585" s="1626"/>
      <c r="I585" s="1626"/>
      <c r="J585" s="1626"/>
      <c r="K585" s="1626"/>
      <c r="L585" s="1626"/>
      <c r="M585" s="1626"/>
      <c r="N585" s="1626"/>
      <c r="O585" s="1626"/>
      <c r="P585" s="1627"/>
      <c r="Q585" s="1627"/>
      <c r="R585" s="1626"/>
      <c r="S585" s="1626"/>
      <c r="T585" s="1626"/>
      <c r="U585" s="1626"/>
      <c r="V585" s="1626"/>
      <c r="W585" s="1626"/>
      <c r="X585" s="1626"/>
      <c r="Y585" s="1626"/>
      <c r="Z585" s="1626"/>
    </row>
    <row r="586" spans="1:26" ht="15.75" customHeight="1" x14ac:dyDescent="0.25">
      <c r="A586" s="1626"/>
      <c r="B586" s="1626"/>
      <c r="C586" s="1626"/>
      <c r="D586" s="1626"/>
      <c r="E586" s="1626"/>
      <c r="F586" s="1626"/>
      <c r="G586" s="1626"/>
      <c r="H586" s="1626"/>
      <c r="I586" s="1626"/>
      <c r="J586" s="1626"/>
      <c r="K586" s="1626"/>
      <c r="L586" s="1626"/>
      <c r="M586" s="1626"/>
      <c r="N586" s="1626"/>
      <c r="O586" s="1626"/>
      <c r="P586" s="1627"/>
      <c r="Q586" s="1627"/>
      <c r="R586" s="1626"/>
      <c r="S586" s="1626"/>
      <c r="T586" s="1626"/>
      <c r="U586" s="1626"/>
      <c r="V586" s="1626"/>
      <c r="W586" s="1626"/>
      <c r="X586" s="1626"/>
      <c r="Y586" s="1626"/>
      <c r="Z586" s="1626"/>
    </row>
    <row r="587" spans="1:26" ht="15.75" customHeight="1" x14ac:dyDescent="0.25">
      <c r="A587" s="1626"/>
      <c r="B587" s="1626"/>
      <c r="C587" s="1626"/>
      <c r="D587" s="1626"/>
      <c r="E587" s="1626"/>
      <c r="F587" s="1626"/>
      <c r="G587" s="1626"/>
      <c r="H587" s="1626"/>
      <c r="I587" s="1626"/>
      <c r="J587" s="1626"/>
      <c r="K587" s="1626"/>
      <c r="L587" s="1626"/>
      <c r="M587" s="1626"/>
      <c r="N587" s="1626"/>
      <c r="O587" s="1626"/>
      <c r="P587" s="1627"/>
      <c r="Q587" s="1627"/>
      <c r="R587" s="1626"/>
      <c r="S587" s="1626"/>
      <c r="T587" s="1626"/>
      <c r="U587" s="1626"/>
      <c r="V587" s="1626"/>
      <c r="W587" s="1626"/>
      <c r="X587" s="1626"/>
      <c r="Y587" s="1626"/>
      <c r="Z587" s="1626"/>
    </row>
    <row r="588" spans="1:26" ht="15.75" customHeight="1" x14ac:dyDescent="0.25">
      <c r="A588" s="1626"/>
      <c r="B588" s="1626"/>
      <c r="C588" s="1626"/>
      <c r="D588" s="1626"/>
      <c r="E588" s="1626"/>
      <c r="F588" s="1626"/>
      <c r="G588" s="1626"/>
      <c r="H588" s="1626"/>
      <c r="I588" s="1626"/>
      <c r="J588" s="1626"/>
      <c r="K588" s="1626"/>
      <c r="L588" s="1626"/>
      <c r="M588" s="1626"/>
      <c r="N588" s="1626"/>
      <c r="O588" s="1626"/>
      <c r="P588" s="1627"/>
      <c r="Q588" s="1627"/>
      <c r="R588" s="1626"/>
      <c r="S588" s="1626"/>
      <c r="T588" s="1626"/>
      <c r="U588" s="1626"/>
      <c r="V588" s="1626"/>
      <c r="W588" s="1626"/>
      <c r="X588" s="1626"/>
      <c r="Y588" s="1626"/>
      <c r="Z588" s="1626"/>
    </row>
    <row r="589" spans="1:26" ht="15.75" customHeight="1" x14ac:dyDescent="0.25">
      <c r="A589" s="1626"/>
      <c r="B589" s="1626"/>
      <c r="C589" s="1626"/>
      <c r="D589" s="1626"/>
      <c r="E589" s="1626"/>
      <c r="F589" s="1626"/>
      <c r="G589" s="1626"/>
      <c r="H589" s="1626"/>
      <c r="I589" s="1626"/>
      <c r="J589" s="1626"/>
      <c r="K589" s="1626"/>
      <c r="L589" s="1626"/>
      <c r="M589" s="1626"/>
      <c r="N589" s="1626"/>
      <c r="O589" s="1626"/>
      <c r="P589" s="1627"/>
      <c r="Q589" s="1627"/>
      <c r="R589" s="1626"/>
      <c r="S589" s="1626"/>
      <c r="T589" s="1626"/>
      <c r="U589" s="1626"/>
      <c r="V589" s="1626"/>
      <c r="W589" s="1626"/>
      <c r="X589" s="1626"/>
      <c r="Y589" s="1626"/>
      <c r="Z589" s="1626"/>
    </row>
    <row r="590" spans="1:26" ht="15.75" customHeight="1" x14ac:dyDescent="0.25">
      <c r="A590" s="1626"/>
      <c r="B590" s="1626"/>
      <c r="C590" s="1626"/>
      <c r="D590" s="1626"/>
      <c r="E590" s="1626"/>
      <c r="F590" s="1626"/>
      <c r="G590" s="1626"/>
      <c r="H590" s="1626"/>
      <c r="I590" s="1626"/>
      <c r="J590" s="1626"/>
      <c r="K590" s="1626"/>
      <c r="L590" s="1626"/>
      <c r="M590" s="1626"/>
      <c r="N590" s="1626"/>
      <c r="O590" s="1626"/>
      <c r="P590" s="1627"/>
      <c r="Q590" s="1627"/>
      <c r="R590" s="1626"/>
      <c r="S590" s="1626"/>
      <c r="T590" s="1626"/>
      <c r="U590" s="1626"/>
      <c r="V590" s="1626"/>
      <c r="W590" s="1626"/>
      <c r="X590" s="1626"/>
      <c r="Y590" s="1626"/>
      <c r="Z590" s="1626"/>
    </row>
    <row r="591" spans="1:26" ht="15.75" customHeight="1" x14ac:dyDescent="0.25">
      <c r="A591" s="1626"/>
      <c r="B591" s="1626"/>
      <c r="C591" s="1626"/>
      <c r="D591" s="1626"/>
      <c r="E591" s="1626"/>
      <c r="F591" s="1626"/>
      <c r="G591" s="1626"/>
      <c r="H591" s="1626"/>
      <c r="I591" s="1626"/>
      <c r="J591" s="1626"/>
      <c r="K591" s="1626"/>
      <c r="L591" s="1626"/>
      <c r="M591" s="1626"/>
      <c r="N591" s="1626"/>
      <c r="O591" s="1626"/>
      <c r="P591" s="1627"/>
      <c r="Q591" s="1627"/>
      <c r="R591" s="1626"/>
      <c r="S591" s="1626"/>
      <c r="T591" s="1626"/>
      <c r="U591" s="1626"/>
      <c r="V591" s="1626"/>
      <c r="W591" s="1626"/>
      <c r="X591" s="1626"/>
      <c r="Y591" s="1626"/>
      <c r="Z591" s="1626"/>
    </row>
    <row r="592" spans="1:26" ht="15.75" customHeight="1" x14ac:dyDescent="0.25">
      <c r="A592" s="1626"/>
      <c r="B592" s="1626"/>
      <c r="C592" s="1626"/>
      <c r="D592" s="1626"/>
      <c r="E592" s="1626"/>
      <c r="F592" s="1626"/>
      <c r="G592" s="1626"/>
      <c r="H592" s="1626"/>
      <c r="I592" s="1626"/>
      <c r="J592" s="1626"/>
      <c r="K592" s="1626"/>
      <c r="L592" s="1626"/>
      <c r="M592" s="1626"/>
      <c r="N592" s="1626"/>
      <c r="O592" s="1626"/>
      <c r="P592" s="1627"/>
      <c r="Q592" s="1627"/>
      <c r="R592" s="1626"/>
      <c r="S592" s="1626"/>
      <c r="T592" s="1626"/>
      <c r="U592" s="1626"/>
      <c r="V592" s="1626"/>
      <c r="W592" s="1626"/>
      <c r="X592" s="1626"/>
      <c r="Y592" s="1626"/>
      <c r="Z592" s="1626"/>
    </row>
    <row r="593" spans="1:26" ht="15.75" customHeight="1" x14ac:dyDescent="0.25">
      <c r="A593" s="1626"/>
      <c r="B593" s="1626"/>
      <c r="C593" s="1626"/>
      <c r="D593" s="1626"/>
      <c r="E593" s="1626"/>
      <c r="F593" s="1626"/>
      <c r="G593" s="1626"/>
      <c r="H593" s="1626"/>
      <c r="I593" s="1626"/>
      <c r="J593" s="1626"/>
      <c r="K593" s="1626"/>
      <c r="L593" s="1626"/>
      <c r="M593" s="1626"/>
      <c r="N593" s="1626"/>
      <c r="O593" s="1626"/>
      <c r="P593" s="1627"/>
      <c r="Q593" s="1627"/>
      <c r="R593" s="1626"/>
      <c r="S593" s="1626"/>
      <c r="T593" s="1626"/>
      <c r="U593" s="1626"/>
      <c r="V593" s="1626"/>
      <c r="W593" s="1626"/>
      <c r="X593" s="1626"/>
      <c r="Y593" s="1626"/>
      <c r="Z593" s="1626"/>
    </row>
    <row r="594" spans="1:26" ht="15.75" customHeight="1" x14ac:dyDescent="0.25">
      <c r="A594" s="1626"/>
      <c r="B594" s="1626"/>
      <c r="C594" s="1626"/>
      <c r="D594" s="1626"/>
      <c r="E594" s="1626"/>
      <c r="F594" s="1626"/>
      <c r="G594" s="1626"/>
      <c r="H594" s="1626"/>
      <c r="I594" s="1626"/>
      <c r="J594" s="1626"/>
      <c r="K594" s="1626"/>
      <c r="L594" s="1626"/>
      <c r="M594" s="1626"/>
      <c r="N594" s="1626"/>
      <c r="O594" s="1626"/>
      <c r="P594" s="1627"/>
      <c r="Q594" s="1627"/>
      <c r="R594" s="1626"/>
      <c r="S594" s="1626"/>
      <c r="T594" s="1626"/>
      <c r="U594" s="1626"/>
      <c r="V594" s="1626"/>
      <c r="W594" s="1626"/>
      <c r="X594" s="1626"/>
      <c r="Y594" s="1626"/>
      <c r="Z594" s="1626"/>
    </row>
    <row r="595" spans="1:26" ht="15.75" customHeight="1" x14ac:dyDescent="0.25">
      <c r="A595" s="1626"/>
      <c r="B595" s="1626"/>
      <c r="C595" s="1626"/>
      <c r="D595" s="1626"/>
      <c r="E595" s="1626"/>
      <c r="F595" s="1626"/>
      <c r="G595" s="1626"/>
      <c r="H595" s="1626"/>
      <c r="I595" s="1626"/>
      <c r="J595" s="1626"/>
      <c r="K595" s="1626"/>
      <c r="L595" s="1626"/>
      <c r="M595" s="1626"/>
      <c r="N595" s="1626"/>
      <c r="O595" s="1626"/>
      <c r="P595" s="1627"/>
      <c r="Q595" s="1627"/>
      <c r="R595" s="1626"/>
      <c r="S595" s="1626"/>
      <c r="T595" s="1626"/>
      <c r="U595" s="1626"/>
      <c r="V595" s="1626"/>
      <c r="W595" s="1626"/>
      <c r="X595" s="1626"/>
      <c r="Y595" s="1626"/>
      <c r="Z595" s="1626"/>
    </row>
    <row r="596" spans="1:26" ht="15.75" customHeight="1" x14ac:dyDescent="0.25">
      <c r="A596" s="1626"/>
      <c r="B596" s="1626"/>
      <c r="C596" s="1626"/>
      <c r="D596" s="1626"/>
      <c r="E596" s="1626"/>
      <c r="F596" s="1626"/>
      <c r="G596" s="1626"/>
      <c r="H596" s="1626"/>
      <c r="I596" s="1626"/>
      <c r="J596" s="1626"/>
      <c r="K596" s="1626"/>
      <c r="L596" s="1626"/>
      <c r="M596" s="1626"/>
      <c r="N596" s="1626"/>
      <c r="O596" s="1626"/>
      <c r="P596" s="1627"/>
      <c r="Q596" s="1627"/>
      <c r="R596" s="1626"/>
      <c r="S596" s="1626"/>
      <c r="T596" s="1626"/>
      <c r="U596" s="1626"/>
      <c r="V596" s="1626"/>
      <c r="W596" s="1626"/>
      <c r="X596" s="1626"/>
      <c r="Y596" s="1626"/>
      <c r="Z596" s="1626"/>
    </row>
    <row r="597" spans="1:26" ht="15.75" customHeight="1" x14ac:dyDescent="0.25">
      <c r="A597" s="1626"/>
      <c r="B597" s="1626"/>
      <c r="C597" s="1626"/>
      <c r="D597" s="1626"/>
      <c r="E597" s="1626"/>
      <c r="F597" s="1626"/>
      <c r="G597" s="1626"/>
      <c r="H597" s="1626"/>
      <c r="I597" s="1626"/>
      <c r="J597" s="1626"/>
      <c r="K597" s="1626"/>
      <c r="L597" s="1626"/>
      <c r="M597" s="1626"/>
      <c r="N597" s="1626"/>
      <c r="O597" s="1626"/>
      <c r="P597" s="1627"/>
      <c r="Q597" s="1627"/>
      <c r="R597" s="1626"/>
      <c r="S597" s="1626"/>
      <c r="T597" s="1626"/>
      <c r="U597" s="1626"/>
      <c r="V597" s="1626"/>
      <c r="W597" s="1626"/>
      <c r="X597" s="1626"/>
      <c r="Y597" s="1626"/>
      <c r="Z597" s="1626"/>
    </row>
    <row r="598" spans="1:26" ht="15.75" customHeight="1" x14ac:dyDescent="0.25">
      <c r="A598" s="1626"/>
      <c r="B598" s="1626"/>
      <c r="C598" s="1626"/>
      <c r="D598" s="1626"/>
      <c r="E598" s="1626"/>
      <c r="F598" s="1626"/>
      <c r="G598" s="1626"/>
      <c r="H598" s="1626"/>
      <c r="I598" s="1626"/>
      <c r="J598" s="1626"/>
      <c r="K598" s="1626"/>
      <c r="L598" s="1626"/>
      <c r="M598" s="1626"/>
      <c r="N598" s="1626"/>
      <c r="O598" s="1626"/>
      <c r="P598" s="1627"/>
      <c r="Q598" s="1627"/>
      <c r="R598" s="1626"/>
      <c r="S598" s="1626"/>
      <c r="T598" s="1626"/>
      <c r="U598" s="1626"/>
      <c r="V598" s="1626"/>
      <c r="W598" s="1626"/>
      <c r="X598" s="1626"/>
      <c r="Y598" s="1626"/>
      <c r="Z598" s="1626"/>
    </row>
    <row r="599" spans="1:26" ht="15.75" customHeight="1" x14ac:dyDescent="0.25">
      <c r="A599" s="1626"/>
      <c r="B599" s="1626"/>
      <c r="C599" s="1626"/>
      <c r="D599" s="1626"/>
      <c r="E599" s="1626"/>
      <c r="F599" s="1626"/>
      <c r="G599" s="1626"/>
      <c r="H599" s="1626"/>
      <c r="I599" s="1626"/>
      <c r="J599" s="1626"/>
      <c r="K599" s="1626"/>
      <c r="L599" s="1626"/>
      <c r="M599" s="1626"/>
      <c r="N599" s="1626"/>
      <c r="O599" s="1626"/>
      <c r="P599" s="1627"/>
      <c r="Q599" s="1627"/>
      <c r="R599" s="1626"/>
      <c r="S599" s="1626"/>
      <c r="T599" s="1626"/>
      <c r="U599" s="1626"/>
      <c r="V599" s="1626"/>
      <c r="W599" s="1626"/>
      <c r="X599" s="1626"/>
      <c r="Y599" s="1626"/>
      <c r="Z599" s="1626"/>
    </row>
    <row r="600" spans="1:26" ht="15.75" customHeight="1" x14ac:dyDescent="0.25">
      <c r="A600" s="1626"/>
      <c r="B600" s="1626"/>
      <c r="C600" s="1626"/>
      <c r="D600" s="1626"/>
      <c r="E600" s="1626"/>
      <c r="F600" s="1626"/>
      <c r="G600" s="1626"/>
      <c r="H600" s="1626"/>
      <c r="I600" s="1626"/>
      <c r="J600" s="1626"/>
      <c r="K600" s="1626"/>
      <c r="L600" s="1626"/>
      <c r="M600" s="1626"/>
      <c r="N600" s="1626"/>
      <c r="O600" s="1626"/>
      <c r="P600" s="1627"/>
      <c r="Q600" s="1627"/>
      <c r="R600" s="1626"/>
      <c r="S600" s="1626"/>
      <c r="T600" s="1626"/>
      <c r="U600" s="1626"/>
      <c r="V600" s="1626"/>
      <c r="W600" s="1626"/>
      <c r="X600" s="1626"/>
      <c r="Y600" s="1626"/>
      <c r="Z600" s="1626"/>
    </row>
    <row r="601" spans="1:26" ht="15.75" customHeight="1" x14ac:dyDescent="0.25">
      <c r="A601" s="1626"/>
      <c r="B601" s="1626"/>
      <c r="C601" s="1626"/>
      <c r="D601" s="1626"/>
      <c r="E601" s="1626"/>
      <c r="F601" s="1626"/>
      <c r="G601" s="1626"/>
      <c r="H601" s="1626"/>
      <c r="I601" s="1626"/>
      <c r="J601" s="1626"/>
      <c r="K601" s="1626"/>
      <c r="L601" s="1626"/>
      <c r="M601" s="1626"/>
      <c r="N601" s="1626"/>
      <c r="O601" s="1626"/>
      <c r="P601" s="1627"/>
      <c r="Q601" s="1627"/>
      <c r="R601" s="1626"/>
      <c r="S601" s="1626"/>
      <c r="T601" s="1626"/>
      <c r="U601" s="1626"/>
      <c r="V601" s="1626"/>
      <c r="W601" s="1626"/>
      <c r="X601" s="1626"/>
      <c r="Y601" s="1626"/>
      <c r="Z601" s="1626"/>
    </row>
    <row r="602" spans="1:26" ht="15.75" customHeight="1" x14ac:dyDescent="0.25">
      <c r="A602" s="1626"/>
      <c r="B602" s="1626"/>
      <c r="C602" s="1626"/>
      <c r="D602" s="1626"/>
      <c r="E602" s="1626"/>
      <c r="F602" s="1626"/>
      <c r="G602" s="1626"/>
      <c r="H602" s="1626"/>
      <c r="I602" s="1626"/>
      <c r="J602" s="1626"/>
      <c r="K602" s="1626"/>
      <c r="L602" s="1626"/>
      <c r="M602" s="1626"/>
      <c r="N602" s="1626"/>
      <c r="O602" s="1626"/>
      <c r="P602" s="1627"/>
      <c r="Q602" s="1627"/>
      <c r="R602" s="1626"/>
      <c r="S602" s="1626"/>
      <c r="T602" s="1626"/>
      <c r="U602" s="1626"/>
      <c r="V602" s="1626"/>
      <c r="W602" s="1626"/>
      <c r="X602" s="1626"/>
      <c r="Y602" s="1626"/>
      <c r="Z602" s="1626"/>
    </row>
    <row r="603" spans="1:26" ht="15.75" customHeight="1" x14ac:dyDescent="0.25">
      <c r="A603" s="1626"/>
      <c r="B603" s="1626"/>
      <c r="C603" s="1626"/>
      <c r="D603" s="1626"/>
      <c r="E603" s="1626"/>
      <c r="F603" s="1626"/>
      <c r="G603" s="1626"/>
      <c r="H603" s="1626"/>
      <c r="I603" s="1626"/>
      <c r="J603" s="1626"/>
      <c r="K603" s="1626"/>
      <c r="L603" s="1626"/>
      <c r="M603" s="1626"/>
      <c r="N603" s="1626"/>
      <c r="O603" s="1626"/>
      <c r="P603" s="1627"/>
      <c r="Q603" s="1627"/>
      <c r="R603" s="1626"/>
      <c r="S603" s="1626"/>
      <c r="T603" s="1626"/>
      <c r="U603" s="1626"/>
      <c r="V603" s="1626"/>
      <c r="W603" s="1626"/>
      <c r="X603" s="1626"/>
      <c r="Y603" s="1626"/>
      <c r="Z603" s="1626"/>
    </row>
    <row r="604" spans="1:26" ht="15.75" customHeight="1" x14ac:dyDescent="0.25">
      <c r="A604" s="1626"/>
      <c r="B604" s="1626"/>
      <c r="C604" s="1626"/>
      <c r="D604" s="1626"/>
      <c r="E604" s="1626"/>
      <c r="F604" s="1626"/>
      <c r="G604" s="1626"/>
      <c r="H604" s="1626"/>
      <c r="I604" s="1626"/>
      <c r="J604" s="1626"/>
      <c r="K604" s="1626"/>
      <c r="L604" s="1626"/>
      <c r="M604" s="1626"/>
      <c r="N604" s="1626"/>
      <c r="O604" s="1626"/>
      <c r="P604" s="1627"/>
      <c r="Q604" s="1627"/>
      <c r="R604" s="1626"/>
      <c r="S604" s="1626"/>
      <c r="T604" s="1626"/>
      <c r="U604" s="1626"/>
      <c r="V604" s="1626"/>
      <c r="W604" s="1626"/>
      <c r="X604" s="1626"/>
      <c r="Y604" s="1626"/>
      <c r="Z604" s="1626"/>
    </row>
    <row r="605" spans="1:26" ht="15.75" customHeight="1" x14ac:dyDescent="0.25">
      <c r="A605" s="1626"/>
      <c r="B605" s="1626"/>
      <c r="C605" s="1626"/>
      <c r="D605" s="1626"/>
      <c r="E605" s="1626"/>
      <c r="F605" s="1626"/>
      <c r="G605" s="1626"/>
      <c r="H605" s="1626"/>
      <c r="I605" s="1626"/>
      <c r="J605" s="1626"/>
      <c r="K605" s="1626"/>
      <c r="L605" s="1626"/>
      <c r="M605" s="1626"/>
      <c r="N605" s="1626"/>
      <c r="O605" s="1626"/>
      <c r="P605" s="1627"/>
      <c r="Q605" s="1627"/>
      <c r="R605" s="1626"/>
      <c r="S605" s="1626"/>
      <c r="T605" s="1626"/>
      <c r="U605" s="1626"/>
      <c r="V605" s="1626"/>
      <c r="W605" s="1626"/>
      <c r="X605" s="1626"/>
      <c r="Y605" s="1626"/>
      <c r="Z605" s="1626"/>
    </row>
    <row r="606" spans="1:26" ht="15.75" customHeight="1" x14ac:dyDescent="0.25">
      <c r="A606" s="1626"/>
      <c r="B606" s="1626"/>
      <c r="C606" s="1626"/>
      <c r="D606" s="1626"/>
      <c r="E606" s="1626"/>
      <c r="F606" s="1626"/>
      <c r="G606" s="1626"/>
      <c r="H606" s="1626"/>
      <c r="I606" s="1626"/>
      <c r="J606" s="1626"/>
      <c r="K606" s="1626"/>
      <c r="L606" s="1626"/>
      <c r="M606" s="1626"/>
      <c r="N606" s="1626"/>
      <c r="O606" s="1626"/>
      <c r="P606" s="1627"/>
      <c r="Q606" s="1627"/>
      <c r="R606" s="1626"/>
      <c r="S606" s="1626"/>
      <c r="T606" s="1626"/>
      <c r="U606" s="1626"/>
      <c r="V606" s="1626"/>
      <c r="W606" s="1626"/>
      <c r="X606" s="1626"/>
      <c r="Y606" s="1626"/>
      <c r="Z606" s="1626"/>
    </row>
    <row r="607" spans="1:26" ht="15.75" customHeight="1" x14ac:dyDescent="0.25">
      <c r="A607" s="1626"/>
      <c r="B607" s="1626"/>
      <c r="C607" s="1626"/>
      <c r="D607" s="1626"/>
      <c r="E607" s="1626"/>
      <c r="F607" s="1626"/>
      <c r="G607" s="1626"/>
      <c r="H607" s="1626"/>
      <c r="I607" s="1626"/>
      <c r="J607" s="1626"/>
      <c r="K607" s="1626"/>
      <c r="L607" s="1626"/>
      <c r="M607" s="1626"/>
      <c r="N607" s="1626"/>
      <c r="O607" s="1626"/>
      <c r="P607" s="1627"/>
      <c r="Q607" s="1627"/>
      <c r="R607" s="1626"/>
      <c r="S607" s="1626"/>
      <c r="T607" s="1626"/>
      <c r="U607" s="1626"/>
      <c r="V607" s="1626"/>
      <c r="W607" s="1626"/>
      <c r="X607" s="1626"/>
      <c r="Y607" s="1626"/>
      <c r="Z607" s="1626"/>
    </row>
    <row r="608" spans="1:26" ht="15.75" customHeight="1" x14ac:dyDescent="0.25">
      <c r="A608" s="1626"/>
      <c r="B608" s="1626"/>
      <c r="C608" s="1626"/>
      <c r="D608" s="1626"/>
      <c r="E608" s="1626"/>
      <c r="F608" s="1626"/>
      <c r="G608" s="1626"/>
      <c r="H608" s="1626"/>
      <c r="I608" s="1626"/>
      <c r="J608" s="1626"/>
      <c r="K608" s="1626"/>
      <c r="L608" s="1626"/>
      <c r="M608" s="1626"/>
      <c r="N608" s="1626"/>
      <c r="O608" s="1626"/>
      <c r="P608" s="1627"/>
      <c r="Q608" s="1627"/>
      <c r="R608" s="1626"/>
      <c r="S608" s="1626"/>
      <c r="T608" s="1626"/>
      <c r="U608" s="1626"/>
      <c r="V608" s="1626"/>
      <c r="W608" s="1626"/>
      <c r="X608" s="1626"/>
      <c r="Y608" s="1626"/>
      <c r="Z608" s="1626"/>
    </row>
    <row r="609" spans="1:26" ht="15.75" customHeight="1" x14ac:dyDescent="0.25">
      <c r="A609" s="1626"/>
      <c r="B609" s="1626"/>
      <c r="C609" s="1626"/>
      <c r="D609" s="1626"/>
      <c r="E609" s="1626"/>
      <c r="F609" s="1626"/>
      <c r="G609" s="1626"/>
      <c r="H609" s="1626"/>
      <c r="I609" s="1626"/>
      <c r="J609" s="1626"/>
      <c r="K609" s="1626"/>
      <c r="L609" s="1626"/>
      <c r="M609" s="1626"/>
      <c r="N609" s="1626"/>
      <c r="O609" s="1626"/>
      <c r="P609" s="1627"/>
      <c r="Q609" s="1627"/>
      <c r="R609" s="1626"/>
      <c r="S609" s="1626"/>
      <c r="T609" s="1626"/>
      <c r="U609" s="1626"/>
      <c r="V609" s="1626"/>
      <c r="W609" s="1626"/>
      <c r="X609" s="1626"/>
      <c r="Y609" s="1626"/>
      <c r="Z609" s="1626"/>
    </row>
    <row r="610" spans="1:26" ht="15.75" customHeight="1" x14ac:dyDescent="0.25">
      <c r="A610" s="1626"/>
      <c r="B610" s="1626"/>
      <c r="C610" s="1626"/>
      <c r="D610" s="1626"/>
      <c r="E610" s="1626"/>
      <c r="F610" s="1626"/>
      <c r="G610" s="1626"/>
      <c r="H610" s="1626"/>
      <c r="I610" s="1626"/>
      <c r="J610" s="1626"/>
      <c r="K610" s="1626"/>
      <c r="L610" s="1626"/>
      <c r="M610" s="1626"/>
      <c r="N610" s="1626"/>
      <c r="O610" s="1626"/>
      <c r="P610" s="1627"/>
      <c r="Q610" s="1627"/>
      <c r="R610" s="1626"/>
      <c r="S610" s="1626"/>
      <c r="T610" s="1626"/>
      <c r="U610" s="1626"/>
      <c r="V610" s="1626"/>
      <c r="W610" s="1626"/>
      <c r="X610" s="1626"/>
      <c r="Y610" s="1626"/>
      <c r="Z610" s="1626"/>
    </row>
    <row r="611" spans="1:26" ht="15.75" customHeight="1" x14ac:dyDescent="0.25">
      <c r="A611" s="1626"/>
      <c r="B611" s="1626"/>
      <c r="C611" s="1626"/>
      <c r="D611" s="1626"/>
      <c r="E611" s="1626"/>
      <c r="F611" s="1626"/>
      <c r="G611" s="1626"/>
      <c r="H611" s="1626"/>
      <c r="I611" s="1626"/>
      <c r="J611" s="1626"/>
      <c r="K611" s="1626"/>
      <c r="L611" s="1626"/>
      <c r="M611" s="1626"/>
      <c r="N611" s="1626"/>
      <c r="O611" s="1626"/>
      <c r="P611" s="1627"/>
      <c r="Q611" s="1627"/>
      <c r="R611" s="1626"/>
      <c r="S611" s="1626"/>
      <c r="T611" s="1626"/>
      <c r="U611" s="1626"/>
      <c r="V611" s="1626"/>
      <c r="W611" s="1626"/>
      <c r="X611" s="1626"/>
      <c r="Y611" s="1626"/>
      <c r="Z611" s="1626"/>
    </row>
    <row r="612" spans="1:26" ht="15.75" customHeight="1" x14ac:dyDescent="0.25">
      <c r="A612" s="1626"/>
      <c r="B612" s="1626"/>
      <c r="C612" s="1626"/>
      <c r="D612" s="1626"/>
      <c r="E612" s="1626"/>
      <c r="F612" s="1626"/>
      <c r="G612" s="1626"/>
      <c r="H612" s="1626"/>
      <c r="I612" s="1626"/>
      <c r="J612" s="1626"/>
      <c r="K612" s="1626"/>
      <c r="L612" s="1626"/>
      <c r="M612" s="1626"/>
      <c r="N612" s="1626"/>
      <c r="O612" s="1626"/>
      <c r="P612" s="1627"/>
      <c r="Q612" s="1627"/>
      <c r="R612" s="1626"/>
      <c r="S612" s="1626"/>
      <c r="T612" s="1626"/>
      <c r="U612" s="1626"/>
      <c r="V612" s="1626"/>
      <c r="W612" s="1626"/>
      <c r="X612" s="1626"/>
      <c r="Y612" s="1626"/>
      <c r="Z612" s="1626"/>
    </row>
    <row r="613" spans="1:26" ht="15.75" customHeight="1" x14ac:dyDescent="0.25">
      <c r="A613" s="1626"/>
      <c r="B613" s="1626"/>
      <c r="C613" s="1626"/>
      <c r="D613" s="1626"/>
      <c r="E613" s="1626"/>
      <c r="F613" s="1626"/>
      <c r="G613" s="1626"/>
      <c r="H613" s="1626"/>
      <c r="I613" s="1626"/>
      <c r="J613" s="1626"/>
      <c r="K613" s="1626"/>
      <c r="L613" s="1626"/>
      <c r="M613" s="1626"/>
      <c r="N613" s="1626"/>
      <c r="O613" s="1626"/>
      <c r="P613" s="1627"/>
      <c r="Q613" s="1627"/>
      <c r="R613" s="1626"/>
      <c r="S613" s="1626"/>
      <c r="T613" s="1626"/>
      <c r="U613" s="1626"/>
      <c r="V613" s="1626"/>
      <c r="W613" s="1626"/>
      <c r="X613" s="1626"/>
      <c r="Y613" s="1626"/>
      <c r="Z613" s="1626"/>
    </row>
    <row r="614" spans="1:26" ht="15.75" customHeight="1" x14ac:dyDescent="0.25">
      <c r="A614" s="1626"/>
      <c r="B614" s="1626"/>
      <c r="C614" s="1626"/>
      <c r="D614" s="1626"/>
      <c r="E614" s="1626"/>
      <c r="F614" s="1626"/>
      <c r="G614" s="1626"/>
      <c r="H614" s="1626"/>
      <c r="I614" s="1626"/>
      <c r="J614" s="1626"/>
      <c r="K614" s="1626"/>
      <c r="L614" s="1626"/>
      <c r="M614" s="1626"/>
      <c r="N614" s="1626"/>
      <c r="O614" s="1626"/>
      <c r="P614" s="1627"/>
      <c r="Q614" s="1627"/>
      <c r="R614" s="1626"/>
      <c r="S614" s="1626"/>
      <c r="T614" s="1626"/>
      <c r="U614" s="1626"/>
      <c r="V614" s="1626"/>
      <c r="W614" s="1626"/>
      <c r="X614" s="1626"/>
      <c r="Y614" s="1626"/>
      <c r="Z614" s="1626"/>
    </row>
    <row r="615" spans="1:26" ht="15.75" customHeight="1" x14ac:dyDescent="0.25">
      <c r="A615" s="1626"/>
      <c r="B615" s="1626"/>
      <c r="C615" s="1626"/>
      <c r="D615" s="1626"/>
      <c r="E615" s="1626"/>
      <c r="F615" s="1626"/>
      <c r="G615" s="1626"/>
      <c r="H615" s="1626"/>
      <c r="I615" s="1626"/>
      <c r="J615" s="1626"/>
      <c r="K615" s="1626"/>
      <c r="L615" s="1626"/>
      <c r="M615" s="1626"/>
      <c r="N615" s="1626"/>
      <c r="O615" s="1626"/>
      <c r="P615" s="1627"/>
      <c r="Q615" s="1627"/>
      <c r="R615" s="1626"/>
      <c r="S615" s="1626"/>
      <c r="T615" s="1626"/>
      <c r="U615" s="1626"/>
      <c r="V615" s="1626"/>
      <c r="W615" s="1626"/>
      <c r="X615" s="1626"/>
      <c r="Y615" s="1626"/>
      <c r="Z615" s="1626"/>
    </row>
    <row r="616" spans="1:26" ht="15.75" customHeight="1" x14ac:dyDescent="0.25">
      <c r="A616" s="1626"/>
      <c r="B616" s="1626"/>
      <c r="C616" s="1626"/>
      <c r="D616" s="1626"/>
      <c r="E616" s="1626"/>
      <c r="F616" s="1626"/>
      <c r="G616" s="1626"/>
      <c r="H616" s="1626"/>
      <c r="I616" s="1626"/>
      <c r="J616" s="1626"/>
      <c r="K616" s="1626"/>
      <c r="L616" s="1626"/>
      <c r="M616" s="1626"/>
      <c r="N616" s="1626"/>
      <c r="O616" s="1626"/>
      <c r="P616" s="1627"/>
      <c r="Q616" s="1627"/>
      <c r="R616" s="1626"/>
      <c r="S616" s="1626"/>
      <c r="T616" s="1626"/>
      <c r="U616" s="1626"/>
      <c r="V616" s="1626"/>
      <c r="W616" s="1626"/>
      <c r="X616" s="1626"/>
      <c r="Y616" s="1626"/>
      <c r="Z616" s="1626"/>
    </row>
    <row r="617" spans="1:26" ht="15.75" customHeight="1" x14ac:dyDescent="0.25">
      <c r="A617" s="1626"/>
      <c r="B617" s="1626"/>
      <c r="C617" s="1626"/>
      <c r="D617" s="1626"/>
      <c r="E617" s="1626"/>
      <c r="F617" s="1626"/>
      <c r="G617" s="1626"/>
      <c r="H617" s="1626"/>
      <c r="I617" s="1626"/>
      <c r="J617" s="1626"/>
      <c r="K617" s="1626"/>
      <c r="L617" s="1626"/>
      <c r="M617" s="1626"/>
      <c r="N617" s="1626"/>
      <c r="O617" s="1626"/>
      <c r="P617" s="1627"/>
      <c r="Q617" s="1627"/>
      <c r="R617" s="1626"/>
      <c r="S617" s="1626"/>
      <c r="T617" s="1626"/>
      <c r="U617" s="1626"/>
      <c r="V617" s="1626"/>
      <c r="W617" s="1626"/>
      <c r="X617" s="1626"/>
      <c r="Y617" s="1626"/>
      <c r="Z617" s="1626"/>
    </row>
    <row r="618" spans="1:26" ht="15.75" customHeight="1" x14ac:dyDescent="0.25">
      <c r="A618" s="1626"/>
      <c r="B618" s="1626"/>
      <c r="C618" s="1626"/>
      <c r="D618" s="1626"/>
      <c r="E618" s="1626"/>
      <c r="F618" s="1626"/>
      <c r="G618" s="1626"/>
      <c r="H618" s="1626"/>
      <c r="I618" s="1626"/>
      <c r="J618" s="1626"/>
      <c r="K618" s="1626"/>
      <c r="L618" s="1626"/>
      <c r="M618" s="1626"/>
      <c r="N618" s="1626"/>
      <c r="O618" s="1626"/>
      <c r="P618" s="1627"/>
      <c r="Q618" s="1627"/>
      <c r="R618" s="1626"/>
      <c r="S618" s="1626"/>
      <c r="T618" s="1626"/>
      <c r="U618" s="1626"/>
      <c r="V618" s="1626"/>
      <c r="W618" s="1626"/>
      <c r="X618" s="1626"/>
      <c r="Y618" s="1626"/>
      <c r="Z618" s="1626"/>
    </row>
    <row r="619" spans="1:26" ht="15.75" customHeight="1" x14ac:dyDescent="0.25">
      <c r="A619" s="1626"/>
      <c r="B619" s="1626"/>
      <c r="C619" s="1626"/>
      <c r="D619" s="1626"/>
      <c r="E619" s="1626"/>
      <c r="F619" s="1626"/>
      <c r="G619" s="1626"/>
      <c r="H619" s="1626"/>
      <c r="I619" s="1626"/>
      <c r="J619" s="1626"/>
      <c r="K619" s="1626"/>
      <c r="L619" s="1626"/>
      <c r="M619" s="1626"/>
      <c r="N619" s="1626"/>
      <c r="O619" s="1626"/>
      <c r="P619" s="1627"/>
      <c r="Q619" s="1627"/>
      <c r="R619" s="1626"/>
      <c r="S619" s="1626"/>
      <c r="T619" s="1626"/>
      <c r="U619" s="1626"/>
      <c r="V619" s="1626"/>
      <c r="W619" s="1626"/>
      <c r="X619" s="1626"/>
      <c r="Y619" s="1626"/>
      <c r="Z619" s="1626"/>
    </row>
    <row r="620" spans="1:26" ht="15.75" customHeight="1" x14ac:dyDescent="0.25">
      <c r="A620" s="1626"/>
      <c r="B620" s="1626"/>
      <c r="C620" s="1626"/>
      <c r="D620" s="1626"/>
      <c r="E620" s="1626"/>
      <c r="F620" s="1626"/>
      <c r="G620" s="1626"/>
      <c r="H620" s="1626"/>
      <c r="I620" s="1626"/>
      <c r="J620" s="1626"/>
      <c r="K620" s="1626"/>
      <c r="L620" s="1626"/>
      <c r="M620" s="1626"/>
      <c r="N620" s="1626"/>
      <c r="O620" s="1626"/>
      <c r="P620" s="1627"/>
      <c r="Q620" s="1627"/>
      <c r="R620" s="1626"/>
      <c r="S620" s="1626"/>
      <c r="T620" s="1626"/>
      <c r="U620" s="1626"/>
      <c r="V620" s="1626"/>
      <c r="W620" s="1626"/>
      <c r="X620" s="1626"/>
      <c r="Y620" s="1626"/>
      <c r="Z620" s="1626"/>
    </row>
    <row r="621" spans="1:26" ht="15.75" customHeight="1" x14ac:dyDescent="0.25">
      <c r="A621" s="1626"/>
      <c r="B621" s="1626"/>
      <c r="C621" s="1626"/>
      <c r="D621" s="1626"/>
      <c r="E621" s="1626"/>
      <c r="F621" s="1626"/>
      <c r="G621" s="1626"/>
      <c r="H621" s="1626"/>
      <c r="I621" s="1626"/>
      <c r="J621" s="1626"/>
      <c r="K621" s="1626"/>
      <c r="L621" s="1626"/>
      <c r="M621" s="1626"/>
      <c r="N621" s="1626"/>
      <c r="O621" s="1626"/>
      <c r="P621" s="1627"/>
      <c r="Q621" s="1627"/>
      <c r="R621" s="1626"/>
      <c r="S621" s="1626"/>
      <c r="T621" s="1626"/>
      <c r="U621" s="1626"/>
      <c r="V621" s="1626"/>
      <c r="W621" s="1626"/>
      <c r="X621" s="1626"/>
      <c r="Y621" s="1626"/>
      <c r="Z621" s="1626"/>
    </row>
    <row r="622" spans="1:26" ht="15.75" customHeight="1" x14ac:dyDescent="0.25">
      <c r="A622" s="1626"/>
      <c r="B622" s="1626"/>
      <c r="C622" s="1626"/>
      <c r="D622" s="1626"/>
      <c r="E622" s="1626"/>
      <c r="F622" s="1626"/>
      <c r="G622" s="1626"/>
      <c r="H622" s="1626"/>
      <c r="I622" s="1626"/>
      <c r="J622" s="1626"/>
      <c r="K622" s="1626"/>
      <c r="L622" s="1626"/>
      <c r="M622" s="1626"/>
      <c r="N622" s="1626"/>
      <c r="O622" s="1626"/>
      <c r="P622" s="1627"/>
      <c r="Q622" s="1627"/>
      <c r="R622" s="1626"/>
      <c r="S622" s="1626"/>
      <c r="T622" s="1626"/>
      <c r="U622" s="1626"/>
      <c r="V622" s="1626"/>
      <c r="W622" s="1626"/>
      <c r="X622" s="1626"/>
      <c r="Y622" s="1626"/>
      <c r="Z622" s="1626"/>
    </row>
    <row r="623" spans="1:26" ht="15.75" customHeight="1" x14ac:dyDescent="0.25">
      <c r="A623" s="1626"/>
      <c r="B623" s="1626"/>
      <c r="C623" s="1626"/>
      <c r="D623" s="1626"/>
      <c r="E623" s="1626"/>
      <c r="F623" s="1626"/>
      <c r="G623" s="1626"/>
      <c r="H623" s="1626"/>
      <c r="I623" s="1626"/>
      <c r="J623" s="1626"/>
      <c r="K623" s="1626"/>
      <c r="L623" s="1626"/>
      <c r="M623" s="1626"/>
      <c r="N623" s="1626"/>
      <c r="O623" s="1626"/>
      <c r="P623" s="1627"/>
      <c r="Q623" s="1627"/>
      <c r="R623" s="1626"/>
      <c r="S623" s="1626"/>
      <c r="T623" s="1626"/>
      <c r="U623" s="1626"/>
      <c r="V623" s="1626"/>
      <c r="W623" s="1626"/>
      <c r="X623" s="1626"/>
      <c r="Y623" s="1626"/>
      <c r="Z623" s="1626"/>
    </row>
    <row r="624" spans="1:26" ht="15.75" customHeight="1" x14ac:dyDescent="0.25">
      <c r="A624" s="1626"/>
      <c r="B624" s="1626"/>
      <c r="C624" s="1626"/>
      <c r="D624" s="1626"/>
      <c r="E624" s="1626"/>
      <c r="F624" s="1626"/>
      <c r="G624" s="1626"/>
      <c r="H624" s="1626"/>
      <c r="I624" s="1626"/>
      <c r="J624" s="1626"/>
      <c r="K624" s="1626"/>
      <c r="L624" s="1626"/>
      <c r="M624" s="1626"/>
      <c r="N624" s="1626"/>
      <c r="O624" s="1626"/>
      <c r="P624" s="1627"/>
      <c r="Q624" s="1627"/>
      <c r="R624" s="1626"/>
      <c r="S624" s="1626"/>
      <c r="T624" s="1626"/>
      <c r="U624" s="1626"/>
      <c r="V624" s="1626"/>
      <c r="W624" s="1626"/>
      <c r="X624" s="1626"/>
      <c r="Y624" s="1626"/>
      <c r="Z624" s="1626"/>
    </row>
    <row r="625" spans="1:26" ht="15.75" customHeight="1" x14ac:dyDescent="0.25">
      <c r="A625" s="1626"/>
      <c r="B625" s="1626"/>
      <c r="C625" s="1626"/>
      <c r="D625" s="1626"/>
      <c r="E625" s="1626"/>
      <c r="F625" s="1626"/>
      <c r="G625" s="1626"/>
      <c r="H625" s="1626"/>
      <c r="I625" s="1626"/>
      <c r="J625" s="1626"/>
      <c r="K625" s="1626"/>
      <c r="L625" s="1626"/>
      <c r="M625" s="1626"/>
      <c r="N625" s="1626"/>
      <c r="O625" s="1626"/>
      <c r="P625" s="1627"/>
      <c r="Q625" s="1627"/>
      <c r="R625" s="1626"/>
      <c r="S625" s="1626"/>
      <c r="T625" s="1626"/>
      <c r="U625" s="1626"/>
      <c r="V625" s="1626"/>
      <c r="W625" s="1626"/>
      <c r="X625" s="1626"/>
      <c r="Y625" s="1626"/>
      <c r="Z625" s="1626"/>
    </row>
    <row r="626" spans="1:26" ht="15.75" customHeight="1" x14ac:dyDescent="0.25">
      <c r="A626" s="1626"/>
      <c r="B626" s="1626"/>
      <c r="C626" s="1626"/>
      <c r="D626" s="1626"/>
      <c r="E626" s="1626"/>
      <c r="F626" s="1626"/>
      <c r="G626" s="1626"/>
      <c r="H626" s="1626"/>
      <c r="I626" s="1626"/>
      <c r="J626" s="1626"/>
      <c r="K626" s="1626"/>
      <c r="L626" s="1626"/>
      <c r="M626" s="1626"/>
      <c r="N626" s="1626"/>
      <c r="O626" s="1626"/>
      <c r="P626" s="1627"/>
      <c r="Q626" s="1627"/>
      <c r="R626" s="1626"/>
      <c r="S626" s="1626"/>
      <c r="T626" s="1626"/>
      <c r="U626" s="1626"/>
      <c r="V626" s="1626"/>
      <c r="W626" s="1626"/>
      <c r="X626" s="1626"/>
      <c r="Y626" s="1626"/>
      <c r="Z626" s="1626"/>
    </row>
    <row r="627" spans="1:26" ht="15.75" customHeight="1" x14ac:dyDescent="0.25">
      <c r="A627" s="1626"/>
      <c r="B627" s="1626"/>
      <c r="C627" s="1626"/>
      <c r="D627" s="1626"/>
      <c r="E627" s="1626"/>
      <c r="F627" s="1626"/>
      <c r="G627" s="1626"/>
      <c r="H627" s="1626"/>
      <c r="I627" s="1626"/>
      <c r="J627" s="1626"/>
      <c r="K627" s="1626"/>
      <c r="L627" s="1626"/>
      <c r="M627" s="1626"/>
      <c r="N627" s="1626"/>
      <c r="O627" s="1626"/>
      <c r="P627" s="1627"/>
      <c r="Q627" s="1627"/>
      <c r="R627" s="1626"/>
      <c r="S627" s="1626"/>
      <c r="T627" s="1626"/>
      <c r="U627" s="1626"/>
      <c r="V627" s="1626"/>
      <c r="W627" s="1626"/>
      <c r="X627" s="1626"/>
      <c r="Y627" s="1626"/>
      <c r="Z627" s="1626"/>
    </row>
    <row r="628" spans="1:26" ht="15.75" customHeight="1" x14ac:dyDescent="0.25">
      <c r="A628" s="1626"/>
      <c r="B628" s="1626"/>
      <c r="C628" s="1626"/>
      <c r="D628" s="1626"/>
      <c r="E628" s="1626"/>
      <c r="F628" s="1626"/>
      <c r="G628" s="1626"/>
      <c r="H628" s="1626"/>
      <c r="I628" s="1626"/>
      <c r="J628" s="1626"/>
      <c r="K628" s="1626"/>
      <c r="L628" s="1626"/>
      <c r="M628" s="1626"/>
      <c r="N628" s="1626"/>
      <c r="O628" s="1626"/>
      <c r="P628" s="1627"/>
      <c r="Q628" s="1627"/>
      <c r="R628" s="1626"/>
      <c r="S628" s="1626"/>
      <c r="T628" s="1626"/>
      <c r="U628" s="1626"/>
      <c r="V628" s="1626"/>
      <c r="W628" s="1626"/>
      <c r="X628" s="1626"/>
      <c r="Y628" s="1626"/>
      <c r="Z628" s="1626"/>
    </row>
    <row r="629" spans="1:26" ht="15.75" customHeight="1" x14ac:dyDescent="0.25">
      <c r="A629" s="1626"/>
      <c r="B629" s="1626"/>
      <c r="C629" s="1626"/>
      <c r="D629" s="1626"/>
      <c r="E629" s="1626"/>
      <c r="F629" s="1626"/>
      <c r="G629" s="1626"/>
      <c r="H629" s="1626"/>
      <c r="I629" s="1626"/>
      <c r="J629" s="1626"/>
      <c r="K629" s="1626"/>
      <c r="L629" s="1626"/>
      <c r="M629" s="1626"/>
      <c r="N629" s="1626"/>
      <c r="O629" s="1626"/>
      <c r="P629" s="1627"/>
      <c r="Q629" s="1627"/>
      <c r="R629" s="1626"/>
      <c r="S629" s="1626"/>
      <c r="T629" s="1626"/>
      <c r="U629" s="1626"/>
      <c r="V629" s="1626"/>
      <c r="W629" s="1626"/>
      <c r="X629" s="1626"/>
      <c r="Y629" s="1626"/>
      <c r="Z629" s="1626"/>
    </row>
    <row r="630" spans="1:26" ht="15.75" customHeight="1" x14ac:dyDescent="0.25">
      <c r="A630" s="1626"/>
      <c r="B630" s="1626"/>
      <c r="C630" s="1626"/>
      <c r="D630" s="1626"/>
      <c r="E630" s="1626"/>
      <c r="F630" s="1626"/>
      <c r="G630" s="1626"/>
      <c r="H630" s="1626"/>
      <c r="I630" s="1626"/>
      <c r="J630" s="1626"/>
      <c r="K630" s="1626"/>
      <c r="L630" s="1626"/>
      <c r="M630" s="1626"/>
      <c r="N630" s="1626"/>
      <c r="O630" s="1626"/>
      <c r="P630" s="1627"/>
      <c r="Q630" s="1627"/>
      <c r="R630" s="1626"/>
      <c r="S630" s="1626"/>
      <c r="T630" s="1626"/>
      <c r="U630" s="1626"/>
      <c r="V630" s="1626"/>
      <c r="W630" s="1626"/>
      <c r="X630" s="1626"/>
      <c r="Y630" s="1626"/>
      <c r="Z630" s="1626"/>
    </row>
    <row r="631" spans="1:26" ht="15.75" customHeight="1" x14ac:dyDescent="0.25">
      <c r="A631" s="1626"/>
      <c r="B631" s="1626"/>
      <c r="C631" s="1626"/>
      <c r="D631" s="1626"/>
      <c r="E631" s="1626"/>
      <c r="F631" s="1626"/>
      <c r="G631" s="1626"/>
      <c r="H631" s="1626"/>
      <c r="I631" s="1626"/>
      <c r="J631" s="1626"/>
      <c r="K631" s="1626"/>
      <c r="L631" s="1626"/>
      <c r="M631" s="1626"/>
      <c r="N631" s="1626"/>
      <c r="O631" s="1626"/>
      <c r="P631" s="1627"/>
      <c r="Q631" s="1627"/>
      <c r="R631" s="1626"/>
      <c r="S631" s="1626"/>
      <c r="T631" s="1626"/>
      <c r="U631" s="1626"/>
      <c r="V631" s="1626"/>
      <c r="W631" s="1626"/>
      <c r="X631" s="1626"/>
      <c r="Y631" s="1626"/>
      <c r="Z631" s="1626"/>
    </row>
    <row r="632" spans="1:26" ht="15.75" customHeight="1" x14ac:dyDescent="0.25">
      <c r="A632" s="1626"/>
      <c r="B632" s="1626"/>
      <c r="C632" s="1626"/>
      <c r="D632" s="1626"/>
      <c r="E632" s="1626"/>
      <c r="F632" s="1626"/>
      <c r="G632" s="1626"/>
      <c r="H632" s="1626"/>
      <c r="I632" s="1626"/>
      <c r="J632" s="1626"/>
      <c r="K632" s="1626"/>
      <c r="L632" s="1626"/>
      <c r="M632" s="1626"/>
      <c r="N632" s="1626"/>
      <c r="O632" s="1626"/>
      <c r="P632" s="1627"/>
      <c r="Q632" s="1627"/>
      <c r="R632" s="1626"/>
      <c r="S632" s="1626"/>
      <c r="T632" s="1626"/>
      <c r="U632" s="1626"/>
      <c r="V632" s="1626"/>
      <c r="W632" s="1626"/>
      <c r="X632" s="1626"/>
      <c r="Y632" s="1626"/>
      <c r="Z632" s="1626"/>
    </row>
    <row r="633" spans="1:26" ht="15.75" customHeight="1" x14ac:dyDescent="0.25">
      <c r="A633" s="1626"/>
      <c r="B633" s="1626"/>
      <c r="C633" s="1626"/>
      <c r="D633" s="1626"/>
      <c r="E633" s="1626"/>
      <c r="F633" s="1626"/>
      <c r="G633" s="1626"/>
      <c r="H633" s="1626"/>
      <c r="I633" s="1626"/>
      <c r="J633" s="1626"/>
      <c r="K633" s="1626"/>
      <c r="L633" s="1626"/>
      <c r="M633" s="1626"/>
      <c r="N633" s="1626"/>
      <c r="O633" s="1626"/>
      <c r="P633" s="1627"/>
      <c r="Q633" s="1627"/>
      <c r="R633" s="1626"/>
      <c r="S633" s="1626"/>
      <c r="T633" s="1626"/>
      <c r="U633" s="1626"/>
      <c r="V633" s="1626"/>
      <c r="W633" s="1626"/>
      <c r="X633" s="1626"/>
      <c r="Y633" s="1626"/>
      <c r="Z633" s="1626"/>
    </row>
    <row r="634" spans="1:26" ht="15.75" customHeight="1" x14ac:dyDescent="0.25">
      <c r="A634" s="1626"/>
      <c r="B634" s="1626"/>
      <c r="C634" s="1626"/>
      <c r="D634" s="1626"/>
      <c r="E634" s="1626"/>
      <c r="F634" s="1626"/>
      <c r="G634" s="1626"/>
      <c r="H634" s="1626"/>
      <c r="I634" s="1626"/>
      <c r="J634" s="1626"/>
      <c r="K634" s="1626"/>
      <c r="L634" s="1626"/>
      <c r="M634" s="1626"/>
      <c r="N634" s="1626"/>
      <c r="O634" s="1626"/>
      <c r="P634" s="1627"/>
      <c r="Q634" s="1627"/>
      <c r="R634" s="1626"/>
      <c r="S634" s="1626"/>
      <c r="T634" s="1626"/>
      <c r="U634" s="1626"/>
      <c r="V634" s="1626"/>
      <c r="W634" s="1626"/>
      <c r="X634" s="1626"/>
      <c r="Y634" s="1626"/>
      <c r="Z634" s="1626"/>
    </row>
    <row r="635" spans="1:26" ht="15.75" customHeight="1" x14ac:dyDescent="0.25">
      <c r="A635" s="1626"/>
      <c r="B635" s="1626"/>
      <c r="C635" s="1626"/>
      <c r="D635" s="1626"/>
      <c r="E635" s="1626"/>
      <c r="F635" s="1626"/>
      <c r="G635" s="1626"/>
      <c r="H635" s="1626"/>
      <c r="I635" s="1626"/>
      <c r="J635" s="1626"/>
      <c r="K635" s="1626"/>
      <c r="L635" s="1626"/>
      <c r="M635" s="1626"/>
      <c r="N635" s="1626"/>
      <c r="O635" s="1626"/>
      <c r="P635" s="1627"/>
      <c r="Q635" s="1627"/>
      <c r="R635" s="1626"/>
      <c r="S635" s="1626"/>
      <c r="T635" s="1626"/>
      <c r="U635" s="1626"/>
      <c r="V635" s="1626"/>
      <c r="W635" s="1626"/>
      <c r="X635" s="1626"/>
      <c r="Y635" s="1626"/>
      <c r="Z635" s="1626"/>
    </row>
    <row r="636" spans="1:26" ht="15.75" customHeight="1" x14ac:dyDescent="0.25">
      <c r="A636" s="1626"/>
      <c r="B636" s="1626"/>
      <c r="C636" s="1626"/>
      <c r="D636" s="1626"/>
      <c r="E636" s="1626"/>
      <c r="F636" s="1626"/>
      <c r="G636" s="1626"/>
      <c r="H636" s="1626"/>
      <c r="I636" s="1626"/>
      <c r="J636" s="1626"/>
      <c r="K636" s="1626"/>
      <c r="L636" s="1626"/>
      <c r="M636" s="1626"/>
      <c r="N636" s="1626"/>
      <c r="O636" s="1626"/>
      <c r="P636" s="1627"/>
      <c r="Q636" s="1627"/>
      <c r="R636" s="1626"/>
      <c r="S636" s="1626"/>
      <c r="T636" s="1626"/>
      <c r="U636" s="1626"/>
      <c r="V636" s="1626"/>
      <c r="W636" s="1626"/>
      <c r="X636" s="1626"/>
      <c r="Y636" s="1626"/>
      <c r="Z636" s="1626"/>
    </row>
    <row r="637" spans="1:26" ht="15.75" customHeight="1" x14ac:dyDescent="0.25">
      <c r="A637" s="1626"/>
      <c r="B637" s="1626"/>
      <c r="C637" s="1626"/>
      <c r="D637" s="1626"/>
      <c r="E637" s="1626"/>
      <c r="F637" s="1626"/>
      <c r="G637" s="1626"/>
      <c r="H637" s="1626"/>
      <c r="I637" s="1626"/>
      <c r="J637" s="1626"/>
      <c r="K637" s="1626"/>
      <c r="L637" s="1626"/>
      <c r="M637" s="1626"/>
      <c r="N637" s="1626"/>
      <c r="O637" s="1626"/>
      <c r="P637" s="1627"/>
      <c r="Q637" s="1627"/>
      <c r="R637" s="1626"/>
      <c r="S637" s="1626"/>
      <c r="T637" s="1626"/>
      <c r="U637" s="1626"/>
      <c r="V637" s="1626"/>
      <c r="W637" s="1626"/>
      <c r="X637" s="1626"/>
      <c r="Y637" s="1626"/>
      <c r="Z637" s="1626"/>
    </row>
    <row r="638" spans="1:26" ht="15.75" customHeight="1" x14ac:dyDescent="0.25">
      <c r="A638" s="1626"/>
      <c r="B638" s="1626"/>
      <c r="C638" s="1626"/>
      <c r="D638" s="1626"/>
      <c r="E638" s="1626"/>
      <c r="F638" s="1626"/>
      <c r="G638" s="1626"/>
      <c r="H638" s="1626"/>
      <c r="I638" s="1626"/>
      <c r="J638" s="1626"/>
      <c r="K638" s="1626"/>
      <c r="L638" s="1626"/>
      <c r="M638" s="1626"/>
      <c r="N638" s="1626"/>
      <c r="O638" s="1626"/>
      <c r="P638" s="1627"/>
      <c r="Q638" s="1627"/>
      <c r="R638" s="1626"/>
      <c r="S638" s="1626"/>
      <c r="T638" s="1626"/>
      <c r="U638" s="1626"/>
      <c r="V638" s="1626"/>
      <c r="W638" s="1626"/>
      <c r="X638" s="1626"/>
      <c r="Y638" s="1626"/>
      <c r="Z638" s="1626"/>
    </row>
    <row r="639" spans="1:26" ht="15.75" customHeight="1" x14ac:dyDescent="0.25">
      <c r="A639" s="1626"/>
      <c r="B639" s="1626"/>
      <c r="C639" s="1626"/>
      <c r="D639" s="1626"/>
      <c r="E639" s="1626"/>
      <c r="F639" s="1626"/>
      <c r="G639" s="1626"/>
      <c r="H639" s="1626"/>
      <c r="I639" s="1626"/>
      <c r="J639" s="1626"/>
      <c r="K639" s="1626"/>
      <c r="L639" s="1626"/>
      <c r="M639" s="1626"/>
      <c r="N639" s="1626"/>
      <c r="O639" s="1626"/>
      <c r="P639" s="1627"/>
      <c r="Q639" s="1627"/>
      <c r="R639" s="1626"/>
      <c r="S639" s="1626"/>
      <c r="T639" s="1626"/>
      <c r="U639" s="1626"/>
      <c r="V639" s="1626"/>
      <c r="W639" s="1626"/>
      <c r="X639" s="1626"/>
      <c r="Y639" s="1626"/>
      <c r="Z639" s="1626"/>
    </row>
    <row r="640" spans="1:26" ht="15.75" customHeight="1" x14ac:dyDescent="0.25">
      <c r="A640" s="1626"/>
      <c r="B640" s="1626"/>
      <c r="C640" s="1626"/>
      <c r="D640" s="1626"/>
      <c r="E640" s="1626"/>
      <c r="F640" s="1626"/>
      <c r="G640" s="1626"/>
      <c r="H640" s="1626"/>
      <c r="I640" s="1626"/>
      <c r="J640" s="1626"/>
      <c r="K640" s="1626"/>
      <c r="L640" s="1626"/>
      <c r="M640" s="1626"/>
      <c r="N640" s="1626"/>
      <c r="O640" s="1626"/>
      <c r="P640" s="1627"/>
      <c r="Q640" s="1627"/>
      <c r="R640" s="1626"/>
      <c r="S640" s="1626"/>
      <c r="T640" s="1626"/>
      <c r="U640" s="1626"/>
      <c r="V640" s="1626"/>
      <c r="W640" s="1626"/>
      <c r="X640" s="1626"/>
      <c r="Y640" s="1626"/>
      <c r="Z640" s="1626"/>
    </row>
    <row r="641" spans="1:26" ht="15.75" customHeight="1" x14ac:dyDescent="0.25">
      <c r="A641" s="1626"/>
      <c r="B641" s="1626"/>
      <c r="C641" s="1626"/>
      <c r="D641" s="1626"/>
      <c r="E641" s="1626"/>
      <c r="F641" s="1626"/>
      <c r="G641" s="1626"/>
      <c r="H641" s="1626"/>
      <c r="I641" s="1626"/>
      <c r="J641" s="1626"/>
      <c r="K641" s="1626"/>
      <c r="L641" s="1626"/>
      <c r="M641" s="1626"/>
      <c r="N641" s="1626"/>
      <c r="O641" s="1626"/>
      <c r="P641" s="1627"/>
      <c r="Q641" s="1627"/>
      <c r="R641" s="1626"/>
      <c r="S641" s="1626"/>
      <c r="T641" s="1626"/>
      <c r="U641" s="1626"/>
      <c r="V641" s="1626"/>
      <c r="W641" s="1626"/>
      <c r="X641" s="1626"/>
      <c r="Y641" s="1626"/>
      <c r="Z641" s="1626"/>
    </row>
    <row r="642" spans="1:26" ht="15.75" customHeight="1" x14ac:dyDescent="0.25">
      <c r="A642" s="1626"/>
      <c r="B642" s="1626"/>
      <c r="C642" s="1626"/>
      <c r="D642" s="1626"/>
      <c r="E642" s="1626"/>
      <c r="F642" s="1626"/>
      <c r="G642" s="1626"/>
      <c r="H642" s="1626"/>
      <c r="I642" s="1626"/>
      <c r="J642" s="1626"/>
      <c r="K642" s="1626"/>
      <c r="L642" s="1626"/>
      <c r="M642" s="1626"/>
      <c r="N642" s="1626"/>
      <c r="O642" s="1626"/>
      <c r="P642" s="1627"/>
      <c r="Q642" s="1627"/>
      <c r="R642" s="1626"/>
      <c r="S642" s="1626"/>
      <c r="T642" s="1626"/>
      <c r="U642" s="1626"/>
      <c r="V642" s="1626"/>
      <c r="W642" s="1626"/>
      <c r="X642" s="1626"/>
      <c r="Y642" s="1626"/>
      <c r="Z642" s="1626"/>
    </row>
    <row r="643" spans="1:26" ht="15.75" customHeight="1" x14ac:dyDescent="0.25">
      <c r="A643" s="1626"/>
      <c r="B643" s="1626"/>
      <c r="C643" s="1626"/>
      <c r="D643" s="1626"/>
      <c r="E643" s="1626"/>
      <c r="F643" s="1626"/>
      <c r="G643" s="1626"/>
      <c r="H643" s="1626"/>
      <c r="I643" s="1626"/>
      <c r="J643" s="1626"/>
      <c r="K643" s="1626"/>
      <c r="L643" s="1626"/>
      <c r="M643" s="1626"/>
      <c r="N643" s="1626"/>
      <c r="O643" s="1626"/>
      <c r="P643" s="1627"/>
      <c r="Q643" s="1627"/>
      <c r="R643" s="1626"/>
      <c r="S643" s="1626"/>
      <c r="T643" s="1626"/>
      <c r="U643" s="1626"/>
      <c r="V643" s="1626"/>
      <c r="W643" s="1626"/>
      <c r="X643" s="1626"/>
      <c r="Y643" s="1626"/>
      <c r="Z643" s="1626"/>
    </row>
    <row r="644" spans="1:26" ht="15.75" customHeight="1" x14ac:dyDescent="0.25">
      <c r="A644" s="1626"/>
      <c r="B644" s="1626"/>
      <c r="C644" s="1626"/>
      <c r="D644" s="1626"/>
      <c r="E644" s="1626"/>
      <c r="F644" s="1626"/>
      <c r="G644" s="1626"/>
      <c r="H644" s="1626"/>
      <c r="I644" s="1626"/>
      <c r="J644" s="1626"/>
      <c r="K644" s="1626"/>
      <c r="L644" s="1626"/>
      <c r="M644" s="1626"/>
      <c r="N644" s="1626"/>
      <c r="O644" s="1626"/>
      <c r="P644" s="1627"/>
      <c r="Q644" s="1627"/>
      <c r="R644" s="1626"/>
      <c r="S644" s="1626"/>
      <c r="T644" s="1626"/>
      <c r="U644" s="1626"/>
      <c r="V644" s="1626"/>
      <c r="W644" s="1626"/>
      <c r="X644" s="1626"/>
      <c r="Y644" s="1626"/>
      <c r="Z644" s="1626"/>
    </row>
    <row r="645" spans="1:26" ht="15.75" customHeight="1" x14ac:dyDescent="0.25">
      <c r="A645" s="1626"/>
      <c r="B645" s="1626"/>
      <c r="C645" s="1626"/>
      <c r="D645" s="1626"/>
      <c r="E645" s="1626"/>
      <c r="F645" s="1626"/>
      <c r="G645" s="1626"/>
      <c r="H645" s="1626"/>
      <c r="I645" s="1626"/>
      <c r="J645" s="1626"/>
      <c r="K645" s="1626"/>
      <c r="L645" s="1626"/>
      <c r="M645" s="1626"/>
      <c r="N645" s="1626"/>
      <c r="O645" s="1626"/>
      <c r="P645" s="1627"/>
      <c r="Q645" s="1627"/>
      <c r="R645" s="1626"/>
      <c r="S645" s="1626"/>
      <c r="T645" s="1626"/>
      <c r="U645" s="1626"/>
      <c r="V645" s="1626"/>
      <c r="W645" s="1626"/>
      <c r="X645" s="1626"/>
      <c r="Y645" s="1626"/>
      <c r="Z645" s="1626"/>
    </row>
    <row r="646" spans="1:26" ht="15.75" customHeight="1" x14ac:dyDescent="0.25">
      <c r="A646" s="1626"/>
      <c r="B646" s="1626"/>
      <c r="C646" s="1626"/>
      <c r="D646" s="1626"/>
      <c r="E646" s="1626"/>
      <c r="F646" s="1626"/>
      <c r="G646" s="1626"/>
      <c r="H646" s="1626"/>
      <c r="I646" s="1626"/>
      <c r="J646" s="1626"/>
      <c r="K646" s="1626"/>
      <c r="L646" s="1626"/>
      <c r="M646" s="1626"/>
      <c r="N646" s="1626"/>
      <c r="O646" s="1626"/>
      <c r="P646" s="1627"/>
      <c r="Q646" s="1627"/>
      <c r="R646" s="1626"/>
      <c r="S646" s="1626"/>
      <c r="T646" s="1626"/>
      <c r="U646" s="1626"/>
      <c r="V646" s="1626"/>
      <c r="W646" s="1626"/>
      <c r="X646" s="1626"/>
      <c r="Y646" s="1626"/>
      <c r="Z646" s="1626"/>
    </row>
    <row r="647" spans="1:26" ht="15.75" customHeight="1" x14ac:dyDescent="0.25">
      <c r="A647" s="1626"/>
      <c r="B647" s="1626"/>
      <c r="C647" s="1626"/>
      <c r="D647" s="1626"/>
      <c r="E647" s="1626"/>
      <c r="F647" s="1626"/>
      <c r="G647" s="1626"/>
      <c r="H647" s="1626"/>
      <c r="I647" s="1626"/>
      <c r="J647" s="1626"/>
      <c r="K647" s="1626"/>
      <c r="L647" s="1626"/>
      <c r="M647" s="1626"/>
      <c r="N647" s="1626"/>
      <c r="O647" s="1626"/>
      <c r="P647" s="1627"/>
      <c r="Q647" s="1627"/>
      <c r="R647" s="1626"/>
      <c r="S647" s="1626"/>
      <c r="T647" s="1626"/>
      <c r="U647" s="1626"/>
      <c r="V647" s="1626"/>
      <c r="W647" s="1626"/>
      <c r="X647" s="1626"/>
      <c r="Y647" s="1626"/>
      <c r="Z647" s="1626"/>
    </row>
    <row r="648" spans="1:26" ht="15.75" customHeight="1" x14ac:dyDescent="0.25">
      <c r="A648" s="1626"/>
      <c r="B648" s="1626"/>
      <c r="C648" s="1626"/>
      <c r="D648" s="1626"/>
      <c r="E648" s="1626"/>
      <c r="F648" s="1626"/>
      <c r="G648" s="1626"/>
      <c r="H648" s="1626"/>
      <c r="I648" s="1626"/>
      <c r="J648" s="1626"/>
      <c r="K648" s="1626"/>
      <c r="L648" s="1626"/>
      <c r="M648" s="1626"/>
      <c r="N648" s="1626"/>
      <c r="O648" s="1626"/>
      <c r="P648" s="1627"/>
      <c r="Q648" s="1627"/>
      <c r="R648" s="1626"/>
      <c r="S648" s="1626"/>
      <c r="T648" s="1626"/>
      <c r="U648" s="1626"/>
      <c r="V648" s="1626"/>
      <c r="W648" s="1626"/>
      <c r="X648" s="1626"/>
      <c r="Y648" s="1626"/>
      <c r="Z648" s="1626"/>
    </row>
    <row r="649" spans="1:26" ht="15.75" customHeight="1" x14ac:dyDescent="0.25">
      <c r="A649" s="1626"/>
      <c r="B649" s="1626"/>
      <c r="C649" s="1626"/>
      <c r="D649" s="1626"/>
      <c r="E649" s="1626"/>
      <c r="F649" s="1626"/>
      <c r="G649" s="1626"/>
      <c r="H649" s="1626"/>
      <c r="I649" s="1626"/>
      <c r="J649" s="1626"/>
      <c r="K649" s="1626"/>
      <c r="L649" s="1626"/>
      <c r="M649" s="1626"/>
      <c r="N649" s="1626"/>
      <c r="O649" s="1626"/>
      <c r="P649" s="1627"/>
      <c r="Q649" s="1627"/>
      <c r="R649" s="1626"/>
      <c r="S649" s="1626"/>
      <c r="T649" s="1626"/>
      <c r="U649" s="1626"/>
      <c r="V649" s="1626"/>
      <c r="W649" s="1626"/>
      <c r="X649" s="1626"/>
      <c r="Y649" s="1626"/>
      <c r="Z649" s="1626"/>
    </row>
    <row r="650" spans="1:26" ht="15.75" customHeight="1" x14ac:dyDescent="0.25">
      <c r="A650" s="1626"/>
      <c r="B650" s="1626"/>
      <c r="C650" s="1626"/>
      <c r="D650" s="1626"/>
      <c r="E650" s="1626"/>
      <c r="F650" s="1626"/>
      <c r="G650" s="1626"/>
      <c r="H650" s="1626"/>
      <c r="I650" s="1626"/>
      <c r="J650" s="1626"/>
      <c r="K650" s="1626"/>
      <c r="L650" s="1626"/>
      <c r="M650" s="1626"/>
      <c r="N650" s="1626"/>
      <c r="O650" s="1626"/>
      <c r="P650" s="1627"/>
      <c r="Q650" s="1627"/>
      <c r="R650" s="1626"/>
      <c r="S650" s="1626"/>
      <c r="T650" s="1626"/>
      <c r="U650" s="1626"/>
      <c r="V650" s="1626"/>
      <c r="W650" s="1626"/>
      <c r="X650" s="1626"/>
      <c r="Y650" s="1626"/>
      <c r="Z650" s="1626"/>
    </row>
    <row r="651" spans="1:26" ht="15.75" customHeight="1" x14ac:dyDescent="0.25">
      <c r="A651" s="1626"/>
      <c r="B651" s="1626"/>
      <c r="C651" s="1626"/>
      <c r="D651" s="1626"/>
      <c r="E651" s="1626"/>
      <c r="F651" s="1626"/>
      <c r="G651" s="1626"/>
      <c r="H651" s="1626"/>
      <c r="I651" s="1626"/>
      <c r="J651" s="1626"/>
      <c r="K651" s="1626"/>
      <c r="L651" s="1626"/>
      <c r="M651" s="1626"/>
      <c r="N651" s="1626"/>
      <c r="O651" s="1626"/>
      <c r="P651" s="1627"/>
      <c r="Q651" s="1627"/>
      <c r="R651" s="1626"/>
      <c r="S651" s="1626"/>
      <c r="T651" s="1626"/>
      <c r="U651" s="1626"/>
      <c r="V651" s="1626"/>
      <c r="W651" s="1626"/>
      <c r="X651" s="1626"/>
      <c r="Y651" s="1626"/>
      <c r="Z651" s="1626"/>
    </row>
    <row r="652" spans="1:26" ht="15.75" customHeight="1" x14ac:dyDescent="0.25">
      <c r="A652" s="1626"/>
      <c r="B652" s="1626"/>
      <c r="C652" s="1626"/>
      <c r="D652" s="1626"/>
      <c r="E652" s="1626"/>
      <c r="F652" s="1626"/>
      <c r="G652" s="1626"/>
      <c r="H652" s="1626"/>
      <c r="I652" s="1626"/>
      <c r="J652" s="1626"/>
      <c r="K652" s="1626"/>
      <c r="L652" s="1626"/>
      <c r="M652" s="1626"/>
      <c r="N652" s="1626"/>
      <c r="O652" s="1626"/>
      <c r="P652" s="1627"/>
      <c r="Q652" s="1627"/>
      <c r="R652" s="1626"/>
      <c r="S652" s="1626"/>
      <c r="T652" s="1626"/>
      <c r="U652" s="1626"/>
      <c r="V652" s="1626"/>
      <c r="W652" s="1626"/>
      <c r="X652" s="1626"/>
      <c r="Y652" s="1626"/>
      <c r="Z652" s="1626"/>
    </row>
    <row r="653" spans="1:26" ht="15.75" customHeight="1" x14ac:dyDescent="0.25">
      <c r="A653" s="1626"/>
      <c r="B653" s="1626"/>
      <c r="C653" s="1626"/>
      <c r="D653" s="1626"/>
      <c r="E653" s="1626"/>
      <c r="F653" s="1626"/>
      <c r="G653" s="1626"/>
      <c r="H653" s="1626"/>
      <c r="I653" s="1626"/>
      <c r="J653" s="1626"/>
      <c r="K653" s="1626"/>
      <c r="L653" s="1626"/>
      <c r="M653" s="1626"/>
      <c r="N653" s="1626"/>
      <c r="O653" s="1626"/>
      <c r="P653" s="1627"/>
      <c r="Q653" s="1627"/>
      <c r="R653" s="1626"/>
      <c r="S653" s="1626"/>
      <c r="T653" s="1626"/>
      <c r="U653" s="1626"/>
      <c r="V653" s="1626"/>
      <c r="W653" s="1626"/>
      <c r="X653" s="1626"/>
      <c r="Y653" s="1626"/>
      <c r="Z653" s="1626"/>
    </row>
    <row r="654" spans="1:26" ht="15.75" customHeight="1" x14ac:dyDescent="0.25">
      <c r="A654" s="1626"/>
      <c r="B654" s="1626"/>
      <c r="C654" s="1626"/>
      <c r="D654" s="1626"/>
      <c r="E654" s="1626"/>
      <c r="F654" s="1626"/>
      <c r="G654" s="1626"/>
      <c r="H654" s="1626"/>
      <c r="I654" s="1626"/>
      <c r="J654" s="1626"/>
      <c r="K654" s="1626"/>
      <c r="L654" s="1626"/>
      <c r="M654" s="1626"/>
      <c r="N654" s="1626"/>
      <c r="O654" s="1626"/>
      <c r="P654" s="1627"/>
      <c r="Q654" s="1627"/>
      <c r="R654" s="1626"/>
      <c r="S654" s="1626"/>
      <c r="T654" s="1626"/>
      <c r="U654" s="1626"/>
      <c r="V654" s="1626"/>
      <c r="W654" s="1626"/>
      <c r="X654" s="1626"/>
      <c r="Y654" s="1626"/>
      <c r="Z654" s="1626"/>
    </row>
    <row r="655" spans="1:26" ht="15.75" customHeight="1" x14ac:dyDescent="0.25">
      <c r="A655" s="1626"/>
      <c r="B655" s="1626"/>
      <c r="C655" s="1626"/>
      <c r="D655" s="1626"/>
      <c r="E655" s="1626"/>
      <c r="F655" s="1626"/>
      <c r="G655" s="1626"/>
      <c r="H655" s="1626"/>
      <c r="I655" s="1626"/>
      <c r="J655" s="1626"/>
      <c r="K655" s="1626"/>
      <c r="L655" s="1626"/>
      <c r="M655" s="1626"/>
      <c r="N655" s="1626"/>
      <c r="O655" s="1626"/>
      <c r="P655" s="1627"/>
      <c r="Q655" s="1627"/>
      <c r="R655" s="1626"/>
      <c r="S655" s="1626"/>
      <c r="T655" s="1626"/>
      <c r="U655" s="1626"/>
      <c r="V655" s="1626"/>
      <c r="W655" s="1626"/>
      <c r="X655" s="1626"/>
      <c r="Y655" s="1626"/>
      <c r="Z655" s="1626"/>
    </row>
    <row r="656" spans="1:26" ht="15.75" customHeight="1" x14ac:dyDescent="0.25">
      <c r="A656" s="1626"/>
      <c r="B656" s="1626"/>
      <c r="C656" s="1626"/>
      <c r="D656" s="1626"/>
      <c r="E656" s="1626"/>
      <c r="F656" s="1626"/>
      <c r="G656" s="1626"/>
      <c r="H656" s="1626"/>
      <c r="I656" s="1626"/>
      <c r="J656" s="1626"/>
      <c r="K656" s="1626"/>
      <c r="L656" s="1626"/>
      <c r="M656" s="1626"/>
      <c r="N656" s="1626"/>
      <c r="O656" s="1626"/>
      <c r="P656" s="1627"/>
      <c r="Q656" s="1627"/>
      <c r="R656" s="1626"/>
      <c r="S656" s="1626"/>
      <c r="T656" s="1626"/>
      <c r="U656" s="1626"/>
      <c r="V656" s="1626"/>
      <c r="W656" s="1626"/>
      <c r="X656" s="1626"/>
      <c r="Y656" s="1626"/>
      <c r="Z656" s="1626"/>
    </row>
    <row r="657" spans="1:26" ht="15.75" customHeight="1" x14ac:dyDescent="0.25">
      <c r="A657" s="1626"/>
      <c r="B657" s="1626"/>
      <c r="C657" s="1626"/>
      <c r="D657" s="1626"/>
      <c r="E657" s="1626"/>
      <c r="F657" s="1626"/>
      <c r="G657" s="1626"/>
      <c r="H657" s="1626"/>
      <c r="I657" s="1626"/>
      <c r="J657" s="1626"/>
      <c r="K657" s="1626"/>
      <c r="L657" s="1626"/>
      <c r="M657" s="1626"/>
      <c r="N657" s="1626"/>
      <c r="O657" s="1626"/>
      <c r="P657" s="1627"/>
      <c r="Q657" s="1627"/>
      <c r="R657" s="1626"/>
      <c r="S657" s="1626"/>
      <c r="T657" s="1626"/>
      <c r="U657" s="1626"/>
      <c r="V657" s="1626"/>
      <c r="W657" s="1626"/>
      <c r="X657" s="1626"/>
      <c r="Y657" s="1626"/>
      <c r="Z657" s="1626"/>
    </row>
    <row r="658" spans="1:26" ht="15.75" customHeight="1" x14ac:dyDescent="0.25">
      <c r="A658" s="1626"/>
      <c r="B658" s="1626"/>
      <c r="C658" s="1626"/>
      <c r="D658" s="1626"/>
      <c r="E658" s="1626"/>
      <c r="F658" s="1626"/>
      <c r="G658" s="1626"/>
      <c r="H658" s="1626"/>
      <c r="I658" s="1626"/>
      <c r="J658" s="1626"/>
      <c r="K658" s="1626"/>
      <c r="L658" s="1626"/>
      <c r="M658" s="1626"/>
      <c r="N658" s="1626"/>
      <c r="O658" s="1626"/>
      <c r="P658" s="1627"/>
      <c r="Q658" s="1627"/>
      <c r="R658" s="1626"/>
      <c r="S658" s="1626"/>
      <c r="T658" s="1626"/>
      <c r="U658" s="1626"/>
      <c r="V658" s="1626"/>
      <c r="W658" s="1626"/>
      <c r="X658" s="1626"/>
      <c r="Y658" s="1626"/>
      <c r="Z658" s="1626"/>
    </row>
    <row r="659" spans="1:26" ht="15.75" customHeight="1" x14ac:dyDescent="0.25">
      <c r="A659" s="1626"/>
      <c r="B659" s="1626"/>
      <c r="C659" s="1626"/>
      <c r="D659" s="1626"/>
      <c r="E659" s="1626"/>
      <c r="F659" s="1626"/>
      <c r="G659" s="1626"/>
      <c r="H659" s="1626"/>
      <c r="I659" s="1626"/>
      <c r="J659" s="1626"/>
      <c r="K659" s="1626"/>
      <c r="L659" s="1626"/>
      <c r="M659" s="1626"/>
      <c r="N659" s="1626"/>
      <c r="O659" s="1626"/>
      <c r="P659" s="1627"/>
      <c r="Q659" s="1627"/>
      <c r="R659" s="1626"/>
      <c r="S659" s="1626"/>
      <c r="T659" s="1626"/>
      <c r="U659" s="1626"/>
      <c r="V659" s="1626"/>
      <c r="W659" s="1626"/>
      <c r="X659" s="1626"/>
      <c r="Y659" s="1626"/>
      <c r="Z659" s="1626"/>
    </row>
    <row r="660" spans="1:26" ht="15.75" customHeight="1" x14ac:dyDescent="0.25">
      <c r="A660" s="1626"/>
      <c r="B660" s="1626"/>
      <c r="C660" s="1626"/>
      <c r="D660" s="1626"/>
      <c r="E660" s="1626"/>
      <c r="F660" s="1626"/>
      <c r="G660" s="1626"/>
      <c r="H660" s="1626"/>
      <c r="I660" s="1626"/>
      <c r="J660" s="1626"/>
      <c r="K660" s="1626"/>
      <c r="L660" s="1626"/>
      <c r="M660" s="1626"/>
      <c r="N660" s="1626"/>
      <c r="O660" s="1626"/>
      <c r="P660" s="1627"/>
      <c r="Q660" s="1627"/>
      <c r="R660" s="1626"/>
      <c r="S660" s="1626"/>
      <c r="T660" s="1626"/>
      <c r="U660" s="1626"/>
      <c r="V660" s="1626"/>
      <c r="W660" s="1626"/>
      <c r="X660" s="1626"/>
      <c r="Y660" s="1626"/>
      <c r="Z660" s="1626"/>
    </row>
    <row r="661" spans="1:26" ht="15.75" customHeight="1" x14ac:dyDescent="0.25">
      <c r="A661" s="1626"/>
      <c r="B661" s="1626"/>
      <c r="C661" s="1626"/>
      <c r="D661" s="1626"/>
      <c r="E661" s="1626"/>
      <c r="F661" s="1626"/>
      <c r="G661" s="1626"/>
      <c r="H661" s="1626"/>
      <c r="I661" s="1626"/>
      <c r="J661" s="1626"/>
      <c r="K661" s="1626"/>
      <c r="L661" s="1626"/>
      <c r="M661" s="1626"/>
      <c r="N661" s="1626"/>
      <c r="O661" s="1626"/>
      <c r="P661" s="1627"/>
      <c r="Q661" s="1627"/>
      <c r="R661" s="1626"/>
      <c r="S661" s="1626"/>
      <c r="T661" s="1626"/>
      <c r="U661" s="1626"/>
      <c r="V661" s="1626"/>
      <c r="W661" s="1626"/>
      <c r="X661" s="1626"/>
      <c r="Y661" s="1626"/>
      <c r="Z661" s="1626"/>
    </row>
    <row r="662" spans="1:26" ht="15.75" customHeight="1" x14ac:dyDescent="0.25">
      <c r="A662" s="1626"/>
      <c r="B662" s="1626"/>
      <c r="C662" s="1626"/>
      <c r="D662" s="1626"/>
      <c r="E662" s="1626"/>
      <c r="F662" s="1626"/>
      <c r="G662" s="1626"/>
      <c r="H662" s="1626"/>
      <c r="I662" s="1626"/>
      <c r="J662" s="1626"/>
      <c r="K662" s="1626"/>
      <c r="L662" s="1626"/>
      <c r="M662" s="1626"/>
      <c r="N662" s="1626"/>
      <c r="O662" s="1626"/>
      <c r="P662" s="1627"/>
      <c r="Q662" s="1627"/>
      <c r="R662" s="1626"/>
      <c r="S662" s="1626"/>
      <c r="T662" s="1626"/>
      <c r="U662" s="1626"/>
      <c r="V662" s="1626"/>
      <c r="W662" s="1626"/>
      <c r="X662" s="1626"/>
      <c r="Y662" s="1626"/>
      <c r="Z662" s="1626"/>
    </row>
    <row r="663" spans="1:26" ht="15.75" customHeight="1" x14ac:dyDescent="0.25">
      <c r="A663" s="1626"/>
      <c r="B663" s="1626"/>
      <c r="C663" s="1626"/>
      <c r="D663" s="1626"/>
      <c r="E663" s="1626"/>
      <c r="F663" s="1626"/>
      <c r="G663" s="1626"/>
      <c r="H663" s="1626"/>
      <c r="I663" s="1626"/>
      <c r="J663" s="1626"/>
      <c r="K663" s="1626"/>
      <c r="L663" s="1626"/>
      <c r="M663" s="1626"/>
      <c r="N663" s="1626"/>
      <c r="O663" s="1626"/>
      <c r="P663" s="1627"/>
      <c r="Q663" s="1627"/>
      <c r="R663" s="1626"/>
      <c r="S663" s="1626"/>
      <c r="T663" s="1626"/>
      <c r="U663" s="1626"/>
      <c r="V663" s="1626"/>
      <c r="W663" s="1626"/>
      <c r="X663" s="1626"/>
      <c r="Y663" s="1626"/>
      <c r="Z663" s="1626"/>
    </row>
    <row r="664" spans="1:26" ht="15.75" customHeight="1" x14ac:dyDescent="0.25">
      <c r="A664" s="1626"/>
      <c r="B664" s="1626"/>
      <c r="C664" s="1626"/>
      <c r="D664" s="1626"/>
      <c r="E664" s="1626"/>
      <c r="F664" s="1626"/>
      <c r="G664" s="1626"/>
      <c r="H664" s="1626"/>
      <c r="I664" s="1626"/>
      <c r="J664" s="1626"/>
      <c r="K664" s="1626"/>
      <c r="L664" s="1626"/>
      <c r="M664" s="1626"/>
      <c r="N664" s="1626"/>
      <c r="O664" s="1626"/>
      <c r="P664" s="1627"/>
      <c r="Q664" s="1627"/>
      <c r="R664" s="1626"/>
      <c r="S664" s="1626"/>
      <c r="T664" s="1626"/>
      <c r="U664" s="1626"/>
      <c r="V664" s="1626"/>
      <c r="W664" s="1626"/>
      <c r="X664" s="1626"/>
      <c r="Y664" s="1626"/>
      <c r="Z664" s="1626"/>
    </row>
    <row r="665" spans="1:26" ht="15.75" customHeight="1" x14ac:dyDescent="0.25">
      <c r="A665" s="1626"/>
      <c r="B665" s="1626"/>
      <c r="C665" s="1626"/>
      <c r="D665" s="1626"/>
      <c r="E665" s="1626"/>
      <c r="F665" s="1626"/>
      <c r="G665" s="1626"/>
      <c r="H665" s="1626"/>
      <c r="I665" s="1626"/>
      <c r="J665" s="1626"/>
      <c r="K665" s="1626"/>
      <c r="L665" s="1626"/>
      <c r="M665" s="1626"/>
      <c r="N665" s="1626"/>
      <c r="O665" s="1626"/>
      <c r="P665" s="1627"/>
      <c r="Q665" s="1627"/>
      <c r="R665" s="1626"/>
      <c r="S665" s="1626"/>
      <c r="T665" s="1626"/>
      <c r="U665" s="1626"/>
      <c r="V665" s="1626"/>
      <c r="W665" s="1626"/>
      <c r="X665" s="1626"/>
      <c r="Y665" s="1626"/>
      <c r="Z665" s="1626"/>
    </row>
    <row r="666" spans="1:26" ht="15.75" customHeight="1" x14ac:dyDescent="0.25">
      <c r="A666" s="1626"/>
      <c r="B666" s="1626"/>
      <c r="C666" s="1626"/>
      <c r="D666" s="1626"/>
      <c r="E666" s="1626"/>
      <c r="F666" s="1626"/>
      <c r="G666" s="1626"/>
      <c r="H666" s="1626"/>
      <c r="I666" s="1626"/>
      <c r="J666" s="1626"/>
      <c r="K666" s="1626"/>
      <c r="L666" s="1626"/>
      <c r="M666" s="1626"/>
      <c r="N666" s="1626"/>
      <c r="O666" s="1626"/>
      <c r="P666" s="1627"/>
      <c r="Q666" s="1627"/>
      <c r="R666" s="1626"/>
      <c r="S666" s="1626"/>
      <c r="T666" s="1626"/>
      <c r="U666" s="1626"/>
      <c r="V666" s="1626"/>
      <c r="W666" s="1626"/>
      <c r="X666" s="1626"/>
      <c r="Y666" s="1626"/>
      <c r="Z666" s="1626"/>
    </row>
    <row r="667" spans="1:26" ht="15.75" customHeight="1" x14ac:dyDescent="0.25">
      <c r="A667" s="1626"/>
      <c r="B667" s="1626"/>
      <c r="C667" s="1626"/>
      <c r="D667" s="1626"/>
      <c r="E667" s="1626"/>
      <c r="F667" s="1626"/>
      <c r="G667" s="1626"/>
      <c r="H667" s="1626"/>
      <c r="I667" s="1626"/>
      <c r="J667" s="1626"/>
      <c r="K667" s="1626"/>
      <c r="L667" s="1626"/>
      <c r="M667" s="1626"/>
      <c r="N667" s="1626"/>
      <c r="O667" s="1626"/>
      <c r="P667" s="1627"/>
      <c r="Q667" s="1627"/>
      <c r="R667" s="1626"/>
      <c r="S667" s="1626"/>
      <c r="T667" s="1626"/>
      <c r="U667" s="1626"/>
      <c r="V667" s="1626"/>
      <c r="W667" s="1626"/>
      <c r="X667" s="1626"/>
      <c r="Y667" s="1626"/>
      <c r="Z667" s="1626"/>
    </row>
    <row r="668" spans="1:26" ht="15.75" customHeight="1" x14ac:dyDescent="0.25">
      <c r="A668" s="1626"/>
      <c r="B668" s="1626"/>
      <c r="C668" s="1626"/>
      <c r="D668" s="1626"/>
      <c r="E668" s="1626"/>
      <c r="F668" s="1626"/>
      <c r="G668" s="1626"/>
      <c r="H668" s="1626"/>
      <c r="I668" s="1626"/>
      <c r="J668" s="1626"/>
      <c r="K668" s="1626"/>
      <c r="L668" s="1626"/>
      <c r="M668" s="1626"/>
      <c r="N668" s="1626"/>
      <c r="O668" s="1626"/>
      <c r="P668" s="1627"/>
      <c r="Q668" s="1627"/>
      <c r="R668" s="1626"/>
      <c r="S668" s="1626"/>
      <c r="T668" s="1626"/>
      <c r="U668" s="1626"/>
      <c r="V668" s="1626"/>
      <c r="W668" s="1626"/>
      <c r="X668" s="1626"/>
      <c r="Y668" s="1626"/>
      <c r="Z668" s="1626"/>
    </row>
    <row r="669" spans="1:26" ht="15.75" customHeight="1" x14ac:dyDescent="0.25">
      <c r="A669" s="1626"/>
      <c r="B669" s="1626"/>
      <c r="C669" s="1626"/>
      <c r="D669" s="1626"/>
      <c r="E669" s="1626"/>
      <c r="F669" s="1626"/>
      <c r="G669" s="1626"/>
      <c r="H669" s="1626"/>
      <c r="I669" s="1626"/>
      <c r="J669" s="1626"/>
      <c r="K669" s="1626"/>
      <c r="L669" s="1626"/>
      <c r="M669" s="1626"/>
      <c r="N669" s="1626"/>
      <c r="O669" s="1626"/>
      <c r="P669" s="1627"/>
      <c r="Q669" s="1627"/>
      <c r="R669" s="1626"/>
      <c r="S669" s="1626"/>
      <c r="T669" s="1626"/>
      <c r="U669" s="1626"/>
      <c r="V669" s="1626"/>
      <c r="W669" s="1626"/>
      <c r="X669" s="1626"/>
      <c r="Y669" s="1626"/>
      <c r="Z669" s="1626"/>
    </row>
    <row r="670" spans="1:26" ht="15.75" customHeight="1" x14ac:dyDescent="0.25">
      <c r="A670" s="1626"/>
      <c r="B670" s="1626"/>
      <c r="C670" s="1626"/>
      <c r="D670" s="1626"/>
      <c r="E670" s="1626"/>
      <c r="F670" s="1626"/>
      <c r="G670" s="1626"/>
      <c r="H670" s="1626"/>
      <c r="I670" s="1626"/>
      <c r="J670" s="1626"/>
      <c r="K670" s="1626"/>
      <c r="L670" s="1626"/>
      <c r="M670" s="1626"/>
      <c r="N670" s="1626"/>
      <c r="O670" s="1626"/>
      <c r="P670" s="1627"/>
      <c r="Q670" s="1627"/>
      <c r="R670" s="1626"/>
      <c r="S670" s="1626"/>
      <c r="T670" s="1626"/>
      <c r="U670" s="1626"/>
      <c r="V670" s="1626"/>
      <c r="W670" s="1626"/>
      <c r="X670" s="1626"/>
      <c r="Y670" s="1626"/>
      <c r="Z670" s="1626"/>
    </row>
    <row r="671" spans="1:26" ht="15.75" customHeight="1" x14ac:dyDescent="0.25">
      <c r="A671" s="1626"/>
      <c r="B671" s="1626"/>
      <c r="C671" s="1626"/>
      <c r="D671" s="1626"/>
      <c r="E671" s="1626"/>
      <c r="F671" s="1626"/>
      <c r="G671" s="1626"/>
      <c r="H671" s="1626"/>
      <c r="I671" s="1626"/>
      <c r="J671" s="1626"/>
      <c r="K671" s="1626"/>
      <c r="L671" s="1626"/>
      <c r="M671" s="1626"/>
      <c r="N671" s="1626"/>
      <c r="O671" s="1626"/>
      <c r="P671" s="1627"/>
      <c r="Q671" s="1627"/>
      <c r="R671" s="1626"/>
      <c r="S671" s="1626"/>
      <c r="T671" s="1626"/>
      <c r="U671" s="1626"/>
      <c r="V671" s="1626"/>
      <c r="W671" s="1626"/>
      <c r="X671" s="1626"/>
      <c r="Y671" s="1626"/>
      <c r="Z671" s="1626"/>
    </row>
    <row r="672" spans="1:26" ht="15.75" customHeight="1" x14ac:dyDescent="0.25">
      <c r="A672" s="1626"/>
      <c r="B672" s="1626"/>
      <c r="C672" s="1626"/>
      <c r="D672" s="1626"/>
      <c r="E672" s="1626"/>
      <c r="F672" s="1626"/>
      <c r="G672" s="1626"/>
      <c r="H672" s="1626"/>
      <c r="I672" s="1626"/>
      <c r="J672" s="1626"/>
      <c r="K672" s="1626"/>
      <c r="L672" s="1626"/>
      <c r="M672" s="1626"/>
      <c r="N672" s="1626"/>
      <c r="O672" s="1626"/>
      <c r="P672" s="1627"/>
      <c r="Q672" s="1627"/>
      <c r="R672" s="1626"/>
      <c r="S672" s="1626"/>
      <c r="T672" s="1626"/>
      <c r="U672" s="1626"/>
      <c r="V672" s="1626"/>
      <c r="W672" s="1626"/>
      <c r="X672" s="1626"/>
      <c r="Y672" s="1626"/>
      <c r="Z672" s="1626"/>
    </row>
    <row r="673" spans="1:26" ht="15.75" customHeight="1" x14ac:dyDescent="0.25">
      <c r="A673" s="1626"/>
      <c r="B673" s="1626"/>
      <c r="C673" s="1626"/>
      <c r="D673" s="1626"/>
      <c r="E673" s="1626"/>
      <c r="F673" s="1626"/>
      <c r="G673" s="1626"/>
      <c r="H673" s="1626"/>
      <c r="I673" s="1626"/>
      <c r="J673" s="1626"/>
      <c r="K673" s="1626"/>
      <c r="L673" s="1626"/>
      <c r="M673" s="1626"/>
      <c r="N673" s="1626"/>
      <c r="O673" s="1626"/>
      <c r="P673" s="1627"/>
      <c r="Q673" s="1627"/>
      <c r="R673" s="1626"/>
      <c r="S673" s="1626"/>
      <c r="T673" s="1626"/>
      <c r="U673" s="1626"/>
      <c r="V673" s="1626"/>
      <c r="W673" s="1626"/>
      <c r="X673" s="1626"/>
      <c r="Y673" s="1626"/>
      <c r="Z673" s="1626"/>
    </row>
    <row r="674" spans="1:26" ht="15.75" customHeight="1" x14ac:dyDescent="0.25">
      <c r="A674" s="1626"/>
      <c r="B674" s="1626"/>
      <c r="C674" s="1626"/>
      <c r="D674" s="1626"/>
      <c r="E674" s="1626"/>
      <c r="F674" s="1626"/>
      <c r="G674" s="1626"/>
      <c r="H674" s="1626"/>
      <c r="I674" s="1626"/>
      <c r="J674" s="1626"/>
      <c r="K674" s="1626"/>
      <c r="L674" s="1626"/>
      <c r="M674" s="1626"/>
      <c r="N674" s="1626"/>
      <c r="O674" s="1626"/>
      <c r="P674" s="1627"/>
      <c r="Q674" s="1627"/>
      <c r="R674" s="1626"/>
      <c r="S674" s="1626"/>
      <c r="T674" s="1626"/>
      <c r="U674" s="1626"/>
      <c r="V674" s="1626"/>
      <c r="W674" s="1626"/>
      <c r="X674" s="1626"/>
      <c r="Y674" s="1626"/>
      <c r="Z674" s="1626"/>
    </row>
    <row r="675" spans="1:26" ht="15.75" customHeight="1" x14ac:dyDescent="0.25">
      <c r="A675" s="1626"/>
      <c r="B675" s="1626"/>
      <c r="C675" s="1626"/>
      <c r="D675" s="1626"/>
      <c r="E675" s="1626"/>
      <c r="F675" s="1626"/>
      <c r="G675" s="1626"/>
      <c r="H675" s="1626"/>
      <c r="I675" s="1626"/>
      <c r="J675" s="1626"/>
      <c r="K675" s="1626"/>
      <c r="L675" s="1626"/>
      <c r="M675" s="1626"/>
      <c r="N675" s="1626"/>
      <c r="O675" s="1626"/>
      <c r="P675" s="1627"/>
      <c r="Q675" s="1627"/>
      <c r="R675" s="1626"/>
      <c r="S675" s="1626"/>
      <c r="T675" s="1626"/>
      <c r="U675" s="1626"/>
      <c r="V675" s="1626"/>
      <c r="W675" s="1626"/>
      <c r="X675" s="1626"/>
      <c r="Y675" s="1626"/>
      <c r="Z675" s="1626"/>
    </row>
    <row r="676" spans="1:26" ht="15.75" customHeight="1" x14ac:dyDescent="0.25">
      <c r="A676" s="1626"/>
      <c r="B676" s="1626"/>
      <c r="C676" s="1626"/>
      <c r="D676" s="1626"/>
      <c r="E676" s="1626"/>
      <c r="F676" s="1626"/>
      <c r="G676" s="1626"/>
      <c r="H676" s="1626"/>
      <c r="I676" s="1626"/>
      <c r="J676" s="1626"/>
      <c r="K676" s="1626"/>
      <c r="L676" s="1626"/>
      <c r="M676" s="1626"/>
      <c r="N676" s="1626"/>
      <c r="O676" s="1626"/>
      <c r="P676" s="1627"/>
      <c r="Q676" s="1627"/>
      <c r="R676" s="1626"/>
      <c r="S676" s="1626"/>
      <c r="T676" s="1626"/>
      <c r="U676" s="1626"/>
      <c r="V676" s="1626"/>
      <c r="W676" s="1626"/>
      <c r="X676" s="1626"/>
      <c r="Y676" s="1626"/>
      <c r="Z676" s="1626"/>
    </row>
    <row r="677" spans="1:26" ht="15.75" customHeight="1" x14ac:dyDescent="0.25">
      <c r="A677" s="1626"/>
      <c r="B677" s="1626"/>
      <c r="C677" s="1626"/>
      <c r="D677" s="1626"/>
      <c r="E677" s="1626"/>
      <c r="F677" s="1626"/>
      <c r="G677" s="1626"/>
      <c r="H677" s="1626"/>
      <c r="I677" s="1626"/>
      <c r="J677" s="1626"/>
      <c r="K677" s="1626"/>
      <c r="L677" s="1626"/>
      <c r="M677" s="1626"/>
      <c r="N677" s="1626"/>
      <c r="O677" s="1626"/>
      <c r="P677" s="1627"/>
      <c r="Q677" s="1627"/>
      <c r="R677" s="1626"/>
      <c r="S677" s="1626"/>
      <c r="T677" s="1626"/>
      <c r="U677" s="1626"/>
      <c r="V677" s="1626"/>
      <c r="W677" s="1626"/>
      <c r="X677" s="1626"/>
      <c r="Y677" s="1626"/>
      <c r="Z677" s="1626"/>
    </row>
    <row r="678" spans="1:26" ht="15.75" customHeight="1" x14ac:dyDescent="0.25">
      <c r="A678" s="1626"/>
      <c r="B678" s="1626"/>
      <c r="C678" s="1626"/>
      <c r="D678" s="1626"/>
      <c r="E678" s="1626"/>
      <c r="F678" s="1626"/>
      <c r="G678" s="1626"/>
      <c r="H678" s="1626"/>
      <c r="I678" s="1626"/>
      <c r="J678" s="1626"/>
      <c r="K678" s="1626"/>
      <c r="L678" s="1626"/>
      <c r="M678" s="1626"/>
      <c r="N678" s="1626"/>
      <c r="O678" s="1626"/>
      <c r="P678" s="1627"/>
      <c r="Q678" s="1627"/>
      <c r="R678" s="1626"/>
      <c r="S678" s="1626"/>
      <c r="T678" s="1626"/>
      <c r="U678" s="1626"/>
      <c r="V678" s="1626"/>
      <c r="W678" s="1626"/>
      <c r="X678" s="1626"/>
      <c r="Y678" s="1626"/>
      <c r="Z678" s="1626"/>
    </row>
    <row r="679" spans="1:26" ht="15.75" customHeight="1" x14ac:dyDescent="0.25">
      <c r="A679" s="1626"/>
      <c r="B679" s="1626"/>
      <c r="C679" s="1626"/>
      <c r="D679" s="1626"/>
      <c r="E679" s="1626"/>
      <c r="F679" s="1626"/>
      <c r="G679" s="1626"/>
      <c r="H679" s="1626"/>
      <c r="I679" s="1626"/>
      <c r="J679" s="1626"/>
      <c r="K679" s="1626"/>
      <c r="L679" s="1626"/>
      <c r="M679" s="1626"/>
      <c r="N679" s="1626"/>
      <c r="O679" s="1626"/>
      <c r="P679" s="1627"/>
      <c r="Q679" s="1627"/>
      <c r="R679" s="1626"/>
      <c r="S679" s="1626"/>
      <c r="T679" s="1626"/>
      <c r="U679" s="1626"/>
      <c r="V679" s="1626"/>
      <c r="W679" s="1626"/>
      <c r="X679" s="1626"/>
      <c r="Y679" s="1626"/>
      <c r="Z679" s="1626"/>
    </row>
    <row r="680" spans="1:26" ht="15.75" customHeight="1" x14ac:dyDescent="0.25">
      <c r="A680" s="1626"/>
      <c r="B680" s="1626"/>
      <c r="C680" s="1626"/>
      <c r="D680" s="1626"/>
      <c r="E680" s="1626"/>
      <c r="F680" s="1626"/>
      <c r="G680" s="1626"/>
      <c r="H680" s="1626"/>
      <c r="I680" s="1626"/>
      <c r="J680" s="1626"/>
      <c r="K680" s="1626"/>
      <c r="L680" s="1626"/>
      <c r="M680" s="1626"/>
      <c r="N680" s="1626"/>
      <c r="O680" s="1626"/>
      <c r="P680" s="1627"/>
      <c r="Q680" s="1627"/>
      <c r="R680" s="1626"/>
      <c r="S680" s="1626"/>
      <c r="T680" s="1626"/>
      <c r="U680" s="1626"/>
      <c r="V680" s="1626"/>
      <c r="W680" s="1626"/>
      <c r="X680" s="1626"/>
      <c r="Y680" s="1626"/>
      <c r="Z680" s="1626"/>
    </row>
    <row r="681" spans="1:26" ht="15.75" customHeight="1" x14ac:dyDescent="0.25">
      <c r="A681" s="1626"/>
      <c r="B681" s="1626"/>
      <c r="C681" s="1626"/>
      <c r="D681" s="1626"/>
      <c r="E681" s="1626"/>
      <c r="F681" s="1626"/>
      <c r="G681" s="1626"/>
      <c r="H681" s="1626"/>
      <c r="I681" s="1626"/>
      <c r="J681" s="1626"/>
      <c r="K681" s="1626"/>
      <c r="L681" s="1626"/>
      <c r="M681" s="1626"/>
      <c r="N681" s="1626"/>
      <c r="O681" s="1626"/>
      <c r="P681" s="1627"/>
      <c r="Q681" s="1627"/>
      <c r="R681" s="1626"/>
      <c r="S681" s="1626"/>
      <c r="T681" s="1626"/>
      <c r="U681" s="1626"/>
      <c r="V681" s="1626"/>
      <c r="W681" s="1626"/>
      <c r="X681" s="1626"/>
      <c r="Y681" s="1626"/>
      <c r="Z681" s="1626"/>
    </row>
    <row r="682" spans="1:26" ht="15.75" customHeight="1" x14ac:dyDescent="0.25">
      <c r="A682" s="1626"/>
      <c r="B682" s="1626"/>
      <c r="C682" s="1626"/>
      <c r="D682" s="1626"/>
      <c r="E682" s="1626"/>
      <c r="F682" s="1626"/>
      <c r="G682" s="1626"/>
      <c r="H682" s="1626"/>
      <c r="I682" s="1626"/>
      <c r="J682" s="1626"/>
      <c r="K682" s="1626"/>
      <c r="L682" s="1626"/>
      <c r="M682" s="1626"/>
      <c r="N682" s="1626"/>
      <c r="O682" s="1626"/>
      <c r="P682" s="1627"/>
      <c r="Q682" s="1627"/>
      <c r="R682" s="1626"/>
      <c r="S682" s="1626"/>
      <c r="T682" s="1626"/>
      <c r="U682" s="1626"/>
      <c r="V682" s="1626"/>
      <c r="W682" s="1626"/>
      <c r="X682" s="1626"/>
      <c r="Y682" s="1626"/>
      <c r="Z682" s="1626"/>
    </row>
    <row r="683" spans="1:26" ht="15.75" customHeight="1" x14ac:dyDescent="0.25">
      <c r="A683" s="1626"/>
      <c r="B683" s="1626"/>
      <c r="C683" s="1626"/>
      <c r="D683" s="1626"/>
      <c r="E683" s="1626"/>
      <c r="F683" s="1626"/>
      <c r="G683" s="1626"/>
      <c r="H683" s="1626"/>
      <c r="I683" s="1626"/>
      <c r="J683" s="1626"/>
      <c r="K683" s="1626"/>
      <c r="L683" s="1626"/>
      <c r="M683" s="1626"/>
      <c r="N683" s="1626"/>
      <c r="O683" s="1626"/>
      <c r="P683" s="1627"/>
      <c r="Q683" s="1627"/>
      <c r="R683" s="1626"/>
      <c r="S683" s="1626"/>
      <c r="T683" s="1626"/>
      <c r="U683" s="1626"/>
      <c r="V683" s="1626"/>
      <c r="W683" s="1626"/>
      <c r="X683" s="1626"/>
      <c r="Y683" s="1626"/>
      <c r="Z683" s="1626"/>
    </row>
    <row r="684" spans="1:26" ht="15.75" customHeight="1" x14ac:dyDescent="0.25">
      <c r="A684" s="1626"/>
      <c r="B684" s="1626"/>
      <c r="C684" s="1626"/>
      <c r="D684" s="1626"/>
      <c r="E684" s="1626"/>
      <c r="F684" s="1626"/>
      <c r="G684" s="1626"/>
      <c r="H684" s="1626"/>
      <c r="I684" s="1626"/>
      <c r="J684" s="1626"/>
      <c r="K684" s="1626"/>
      <c r="L684" s="1626"/>
      <c r="M684" s="1626"/>
      <c r="N684" s="1626"/>
      <c r="O684" s="1626"/>
      <c r="P684" s="1627"/>
      <c r="Q684" s="1627"/>
      <c r="R684" s="1626"/>
      <c r="S684" s="1626"/>
      <c r="T684" s="1626"/>
      <c r="U684" s="1626"/>
      <c r="V684" s="1626"/>
      <c r="W684" s="1626"/>
      <c r="X684" s="1626"/>
      <c r="Y684" s="1626"/>
      <c r="Z684" s="1626"/>
    </row>
    <row r="685" spans="1:26" ht="15.75" customHeight="1" x14ac:dyDescent="0.25">
      <c r="A685" s="1626"/>
      <c r="B685" s="1626"/>
      <c r="C685" s="1626"/>
      <c r="D685" s="1626"/>
      <c r="E685" s="1626"/>
      <c r="F685" s="1626"/>
      <c r="G685" s="1626"/>
      <c r="H685" s="1626"/>
      <c r="I685" s="1626"/>
      <c r="J685" s="1626"/>
      <c r="K685" s="1626"/>
      <c r="L685" s="1626"/>
      <c r="M685" s="1626"/>
      <c r="N685" s="1626"/>
      <c r="O685" s="1626"/>
      <c r="P685" s="1627"/>
      <c r="Q685" s="1627"/>
      <c r="R685" s="1626"/>
      <c r="S685" s="1626"/>
      <c r="T685" s="1626"/>
      <c r="U685" s="1626"/>
      <c r="V685" s="1626"/>
      <c r="W685" s="1626"/>
      <c r="X685" s="1626"/>
      <c r="Y685" s="1626"/>
      <c r="Z685" s="1626"/>
    </row>
    <row r="686" spans="1:26" ht="15.75" customHeight="1" x14ac:dyDescent="0.25">
      <c r="A686" s="1626"/>
      <c r="B686" s="1626"/>
      <c r="C686" s="1626"/>
      <c r="D686" s="1626"/>
      <c r="E686" s="1626"/>
      <c r="F686" s="1626"/>
      <c r="G686" s="1626"/>
      <c r="H686" s="1626"/>
      <c r="I686" s="1626"/>
      <c r="J686" s="1626"/>
      <c r="K686" s="1626"/>
      <c r="L686" s="1626"/>
      <c r="M686" s="1626"/>
      <c r="N686" s="1626"/>
      <c r="O686" s="1626"/>
      <c r="P686" s="1627"/>
      <c r="Q686" s="1627"/>
      <c r="R686" s="1626"/>
      <c r="S686" s="1626"/>
      <c r="T686" s="1626"/>
      <c r="U686" s="1626"/>
      <c r="V686" s="1626"/>
      <c r="W686" s="1626"/>
      <c r="X686" s="1626"/>
      <c r="Y686" s="1626"/>
      <c r="Z686" s="1626"/>
    </row>
    <row r="687" spans="1:26" ht="15.75" customHeight="1" x14ac:dyDescent="0.25">
      <c r="A687" s="1626"/>
      <c r="B687" s="1626"/>
      <c r="C687" s="1626"/>
      <c r="D687" s="1626"/>
      <c r="E687" s="1626"/>
      <c r="F687" s="1626"/>
      <c r="G687" s="1626"/>
      <c r="H687" s="1626"/>
      <c r="I687" s="1626"/>
      <c r="J687" s="1626"/>
      <c r="K687" s="1626"/>
      <c r="L687" s="1626"/>
      <c r="M687" s="1626"/>
      <c r="N687" s="1626"/>
      <c r="O687" s="1626"/>
      <c r="P687" s="1627"/>
      <c r="Q687" s="1627"/>
      <c r="R687" s="1626"/>
      <c r="S687" s="1626"/>
      <c r="T687" s="1626"/>
      <c r="U687" s="1626"/>
      <c r="V687" s="1626"/>
      <c r="W687" s="1626"/>
      <c r="X687" s="1626"/>
      <c r="Y687" s="1626"/>
      <c r="Z687" s="1626"/>
    </row>
    <row r="688" spans="1:26" ht="15.75" customHeight="1" x14ac:dyDescent="0.25">
      <c r="A688" s="1626"/>
      <c r="B688" s="1626"/>
      <c r="C688" s="1626"/>
      <c r="D688" s="1626"/>
      <c r="E688" s="1626"/>
      <c r="F688" s="1626"/>
      <c r="G688" s="1626"/>
      <c r="H688" s="1626"/>
      <c r="I688" s="1626"/>
      <c r="J688" s="1626"/>
      <c r="K688" s="1626"/>
      <c r="L688" s="1626"/>
      <c r="M688" s="1626"/>
      <c r="N688" s="1626"/>
      <c r="O688" s="1626"/>
      <c r="P688" s="1627"/>
      <c r="Q688" s="1627"/>
      <c r="R688" s="1626"/>
      <c r="S688" s="1626"/>
      <c r="T688" s="1626"/>
      <c r="U688" s="1626"/>
      <c r="V688" s="1626"/>
      <c r="W688" s="1626"/>
      <c r="X688" s="1626"/>
      <c r="Y688" s="1626"/>
      <c r="Z688" s="1626"/>
    </row>
    <row r="689" spans="1:26" ht="15.75" customHeight="1" x14ac:dyDescent="0.25">
      <c r="A689" s="1626"/>
      <c r="B689" s="1626"/>
      <c r="C689" s="1626"/>
      <c r="D689" s="1626"/>
      <c r="E689" s="1626"/>
      <c r="F689" s="1626"/>
      <c r="G689" s="1626"/>
      <c r="H689" s="1626"/>
      <c r="I689" s="1626"/>
      <c r="J689" s="1626"/>
      <c r="K689" s="1626"/>
      <c r="L689" s="1626"/>
      <c r="M689" s="1626"/>
      <c r="N689" s="1626"/>
      <c r="O689" s="1626"/>
      <c r="P689" s="1627"/>
      <c r="Q689" s="1627"/>
      <c r="R689" s="1626"/>
      <c r="S689" s="1626"/>
      <c r="T689" s="1626"/>
      <c r="U689" s="1626"/>
      <c r="V689" s="1626"/>
      <c r="W689" s="1626"/>
      <c r="X689" s="1626"/>
      <c r="Y689" s="1626"/>
      <c r="Z689" s="1626"/>
    </row>
    <row r="690" spans="1:26" ht="15.75" customHeight="1" x14ac:dyDescent="0.25">
      <c r="A690" s="1626"/>
      <c r="B690" s="1626"/>
      <c r="C690" s="1626"/>
      <c r="D690" s="1626"/>
      <c r="E690" s="1626"/>
      <c r="F690" s="1626"/>
      <c r="G690" s="1626"/>
      <c r="H690" s="1626"/>
      <c r="I690" s="1626"/>
      <c r="J690" s="1626"/>
      <c r="K690" s="1626"/>
      <c r="L690" s="1626"/>
      <c r="M690" s="1626"/>
      <c r="N690" s="1626"/>
      <c r="O690" s="1626"/>
      <c r="P690" s="1627"/>
      <c r="Q690" s="1627"/>
      <c r="R690" s="1626"/>
      <c r="S690" s="1626"/>
      <c r="T690" s="1626"/>
      <c r="U690" s="1626"/>
      <c r="V690" s="1626"/>
      <c r="W690" s="1626"/>
      <c r="X690" s="1626"/>
      <c r="Y690" s="1626"/>
      <c r="Z690" s="1626"/>
    </row>
    <row r="691" spans="1:26" ht="15.75" customHeight="1" x14ac:dyDescent="0.25">
      <c r="A691" s="1626"/>
      <c r="B691" s="1626"/>
      <c r="C691" s="1626"/>
      <c r="D691" s="1626"/>
      <c r="E691" s="1626"/>
      <c r="F691" s="1626"/>
      <c r="G691" s="1626"/>
      <c r="H691" s="1626"/>
      <c r="I691" s="1626"/>
      <c r="J691" s="1626"/>
      <c r="K691" s="1626"/>
      <c r="L691" s="1626"/>
      <c r="M691" s="1626"/>
      <c r="N691" s="1626"/>
      <c r="O691" s="1626"/>
      <c r="P691" s="1627"/>
      <c r="Q691" s="1627"/>
      <c r="R691" s="1626"/>
      <c r="S691" s="1626"/>
      <c r="T691" s="1626"/>
      <c r="U691" s="1626"/>
      <c r="V691" s="1626"/>
      <c r="W691" s="1626"/>
      <c r="X691" s="1626"/>
      <c r="Y691" s="1626"/>
      <c r="Z691" s="1626"/>
    </row>
    <row r="692" spans="1:26" ht="15.75" customHeight="1" x14ac:dyDescent="0.25">
      <c r="A692" s="1626"/>
      <c r="B692" s="1626"/>
      <c r="C692" s="1626"/>
      <c r="D692" s="1626"/>
      <c r="E692" s="1626"/>
      <c r="F692" s="1626"/>
      <c r="G692" s="1626"/>
      <c r="H692" s="1626"/>
      <c r="I692" s="1626"/>
      <c r="J692" s="1626"/>
      <c r="K692" s="1626"/>
      <c r="L692" s="1626"/>
      <c r="M692" s="1626"/>
      <c r="N692" s="1626"/>
      <c r="O692" s="1626"/>
      <c r="P692" s="1627"/>
      <c r="Q692" s="1627"/>
      <c r="R692" s="1626"/>
      <c r="S692" s="1626"/>
      <c r="T692" s="1626"/>
      <c r="U692" s="1626"/>
      <c r="V692" s="1626"/>
      <c r="W692" s="1626"/>
      <c r="X692" s="1626"/>
      <c r="Y692" s="1626"/>
      <c r="Z692" s="1626"/>
    </row>
    <row r="693" spans="1:26" ht="15.75" customHeight="1" x14ac:dyDescent="0.25">
      <c r="A693" s="1626"/>
      <c r="B693" s="1626"/>
      <c r="C693" s="1626"/>
      <c r="D693" s="1626"/>
      <c r="E693" s="1626"/>
      <c r="F693" s="1626"/>
      <c r="G693" s="1626"/>
      <c r="H693" s="1626"/>
      <c r="I693" s="1626"/>
      <c r="J693" s="1626"/>
      <c r="K693" s="1626"/>
      <c r="L693" s="1626"/>
      <c r="M693" s="1626"/>
      <c r="N693" s="1626"/>
      <c r="O693" s="1626"/>
      <c r="P693" s="1627"/>
      <c r="Q693" s="1627"/>
      <c r="R693" s="1626"/>
      <c r="S693" s="1626"/>
      <c r="T693" s="1626"/>
      <c r="U693" s="1626"/>
      <c r="V693" s="1626"/>
      <c r="W693" s="1626"/>
      <c r="X693" s="1626"/>
      <c r="Y693" s="1626"/>
      <c r="Z693" s="1626"/>
    </row>
    <row r="694" spans="1:26" ht="15.75" customHeight="1" x14ac:dyDescent="0.25">
      <c r="A694" s="1626"/>
      <c r="B694" s="1626"/>
      <c r="C694" s="1626"/>
      <c r="D694" s="1626"/>
      <c r="E694" s="1626"/>
      <c r="F694" s="1626"/>
      <c r="G694" s="1626"/>
      <c r="H694" s="1626"/>
      <c r="I694" s="1626"/>
      <c r="J694" s="1626"/>
      <c r="K694" s="1626"/>
      <c r="L694" s="1626"/>
      <c r="M694" s="1626"/>
      <c r="N694" s="1626"/>
      <c r="O694" s="1626"/>
      <c r="P694" s="1627"/>
      <c r="Q694" s="1627"/>
      <c r="R694" s="1626"/>
      <c r="S694" s="1626"/>
      <c r="T694" s="1626"/>
      <c r="U694" s="1626"/>
      <c r="V694" s="1626"/>
      <c r="W694" s="1626"/>
      <c r="X694" s="1626"/>
      <c r="Y694" s="1626"/>
      <c r="Z694" s="1626"/>
    </row>
    <row r="695" spans="1:26" ht="15.75" customHeight="1" x14ac:dyDescent="0.25">
      <c r="A695" s="1626"/>
      <c r="B695" s="1626"/>
      <c r="C695" s="1626"/>
      <c r="D695" s="1626"/>
      <c r="E695" s="1626"/>
      <c r="F695" s="1626"/>
      <c r="G695" s="1626"/>
      <c r="H695" s="1626"/>
      <c r="I695" s="1626"/>
      <c r="J695" s="1626"/>
      <c r="K695" s="1626"/>
      <c r="L695" s="1626"/>
      <c r="M695" s="1626"/>
      <c r="N695" s="1626"/>
      <c r="O695" s="1626"/>
      <c r="P695" s="1627"/>
      <c r="Q695" s="1627"/>
      <c r="R695" s="1626"/>
      <c r="S695" s="1626"/>
      <c r="T695" s="1626"/>
      <c r="U695" s="1626"/>
      <c r="V695" s="1626"/>
      <c r="W695" s="1626"/>
      <c r="X695" s="1626"/>
      <c r="Y695" s="1626"/>
      <c r="Z695" s="1626"/>
    </row>
    <row r="696" spans="1:26" ht="15.75" customHeight="1" x14ac:dyDescent="0.25">
      <c r="A696" s="1626"/>
      <c r="B696" s="1626"/>
      <c r="C696" s="1626"/>
      <c r="D696" s="1626"/>
      <c r="E696" s="1626"/>
      <c r="F696" s="1626"/>
      <c r="G696" s="1626"/>
      <c r="H696" s="1626"/>
      <c r="I696" s="1626"/>
      <c r="J696" s="1626"/>
      <c r="K696" s="1626"/>
      <c r="L696" s="1626"/>
      <c r="M696" s="1626"/>
      <c r="N696" s="1626"/>
      <c r="O696" s="1626"/>
      <c r="P696" s="1627"/>
      <c r="Q696" s="1627"/>
      <c r="R696" s="1626"/>
      <c r="S696" s="1626"/>
      <c r="T696" s="1626"/>
      <c r="U696" s="1626"/>
      <c r="V696" s="1626"/>
      <c r="W696" s="1626"/>
      <c r="X696" s="1626"/>
      <c r="Y696" s="1626"/>
      <c r="Z696" s="1626"/>
    </row>
    <row r="697" spans="1:26" ht="15.75" customHeight="1" x14ac:dyDescent="0.25">
      <c r="A697" s="1626"/>
      <c r="B697" s="1626"/>
      <c r="C697" s="1626"/>
      <c r="D697" s="1626"/>
      <c r="E697" s="1626"/>
      <c r="F697" s="1626"/>
      <c r="G697" s="1626"/>
      <c r="H697" s="1626"/>
      <c r="I697" s="1626"/>
      <c r="J697" s="1626"/>
      <c r="K697" s="1626"/>
      <c r="L697" s="1626"/>
      <c r="M697" s="1626"/>
      <c r="N697" s="1626"/>
      <c r="O697" s="1626"/>
      <c r="P697" s="1627"/>
      <c r="Q697" s="1627"/>
      <c r="R697" s="1626"/>
      <c r="S697" s="1626"/>
      <c r="T697" s="1626"/>
      <c r="U697" s="1626"/>
      <c r="V697" s="1626"/>
      <c r="W697" s="1626"/>
      <c r="X697" s="1626"/>
      <c r="Y697" s="1626"/>
      <c r="Z697" s="1626"/>
    </row>
    <row r="698" spans="1:26" ht="15.75" customHeight="1" x14ac:dyDescent="0.25">
      <c r="A698" s="1626"/>
      <c r="B698" s="1626"/>
      <c r="C698" s="1626"/>
      <c r="D698" s="1626"/>
      <c r="E698" s="1626"/>
      <c r="F698" s="1626"/>
      <c r="G698" s="1626"/>
      <c r="H698" s="1626"/>
      <c r="I698" s="1626"/>
      <c r="J698" s="1626"/>
      <c r="K698" s="1626"/>
      <c r="L698" s="1626"/>
      <c r="M698" s="1626"/>
      <c r="N698" s="1626"/>
      <c r="O698" s="1626"/>
      <c r="P698" s="1627"/>
      <c r="Q698" s="1627"/>
      <c r="R698" s="1626"/>
      <c r="S698" s="1626"/>
      <c r="T698" s="1626"/>
      <c r="U698" s="1626"/>
      <c r="V698" s="1626"/>
      <c r="W698" s="1626"/>
      <c r="X698" s="1626"/>
      <c r="Y698" s="1626"/>
      <c r="Z698" s="1626"/>
    </row>
    <row r="699" spans="1:26" ht="15.75" customHeight="1" x14ac:dyDescent="0.25">
      <c r="A699" s="1626"/>
      <c r="B699" s="1626"/>
      <c r="C699" s="1626"/>
      <c r="D699" s="1626"/>
      <c r="E699" s="1626"/>
      <c r="F699" s="1626"/>
      <c r="G699" s="1626"/>
      <c r="H699" s="1626"/>
      <c r="I699" s="1626"/>
      <c r="J699" s="1626"/>
      <c r="K699" s="1626"/>
      <c r="L699" s="1626"/>
      <c r="M699" s="1626"/>
      <c r="N699" s="1626"/>
      <c r="O699" s="1626"/>
      <c r="P699" s="1627"/>
      <c r="Q699" s="1627"/>
      <c r="R699" s="1626"/>
      <c r="S699" s="1626"/>
      <c r="T699" s="1626"/>
      <c r="U699" s="1626"/>
      <c r="V699" s="1626"/>
      <c r="W699" s="1626"/>
      <c r="X699" s="1626"/>
      <c r="Y699" s="1626"/>
      <c r="Z699" s="1626"/>
    </row>
    <row r="700" spans="1:26" ht="15.75" customHeight="1" x14ac:dyDescent="0.25">
      <c r="A700" s="1626"/>
      <c r="B700" s="1626"/>
      <c r="C700" s="1626"/>
      <c r="D700" s="1626"/>
      <c r="E700" s="1626"/>
      <c r="F700" s="1626"/>
      <c r="G700" s="1626"/>
      <c r="H700" s="1626"/>
      <c r="I700" s="1626"/>
      <c r="J700" s="1626"/>
      <c r="K700" s="1626"/>
      <c r="L700" s="1626"/>
      <c r="M700" s="1626"/>
      <c r="N700" s="1626"/>
      <c r="O700" s="1626"/>
      <c r="P700" s="1627"/>
      <c r="Q700" s="1627"/>
      <c r="R700" s="1626"/>
      <c r="S700" s="1626"/>
      <c r="T700" s="1626"/>
      <c r="U700" s="1626"/>
      <c r="V700" s="1626"/>
      <c r="W700" s="1626"/>
      <c r="X700" s="1626"/>
      <c r="Y700" s="1626"/>
      <c r="Z700" s="1626"/>
    </row>
    <row r="701" spans="1:26" ht="15.75" customHeight="1" x14ac:dyDescent="0.25">
      <c r="A701" s="1626"/>
      <c r="B701" s="1626"/>
      <c r="C701" s="1626"/>
      <c r="D701" s="1626"/>
      <c r="E701" s="1626"/>
      <c r="F701" s="1626"/>
      <c r="G701" s="1626"/>
      <c r="H701" s="1626"/>
      <c r="I701" s="1626"/>
      <c r="J701" s="1626"/>
      <c r="K701" s="1626"/>
      <c r="L701" s="1626"/>
      <c r="M701" s="1626"/>
      <c r="N701" s="1626"/>
      <c r="O701" s="1626"/>
      <c r="P701" s="1627"/>
      <c r="Q701" s="1627"/>
      <c r="R701" s="1626"/>
      <c r="S701" s="1626"/>
      <c r="T701" s="1626"/>
      <c r="U701" s="1626"/>
      <c r="V701" s="1626"/>
      <c r="W701" s="1626"/>
      <c r="X701" s="1626"/>
      <c r="Y701" s="1626"/>
      <c r="Z701" s="1626"/>
    </row>
    <row r="702" spans="1:26" ht="15.75" customHeight="1" x14ac:dyDescent="0.25">
      <c r="A702" s="1626"/>
      <c r="B702" s="1626"/>
      <c r="C702" s="1626"/>
      <c r="D702" s="1626"/>
      <c r="E702" s="1626"/>
      <c r="F702" s="1626"/>
      <c r="G702" s="1626"/>
      <c r="H702" s="1626"/>
      <c r="I702" s="1626"/>
      <c r="J702" s="1626"/>
      <c r="K702" s="1626"/>
      <c r="L702" s="1626"/>
      <c r="M702" s="1626"/>
      <c r="N702" s="1626"/>
      <c r="O702" s="1626"/>
      <c r="P702" s="1627"/>
      <c r="Q702" s="1627"/>
      <c r="R702" s="1626"/>
      <c r="S702" s="1626"/>
      <c r="T702" s="1626"/>
      <c r="U702" s="1626"/>
      <c r="V702" s="1626"/>
      <c r="W702" s="1626"/>
      <c r="X702" s="1626"/>
      <c r="Y702" s="1626"/>
      <c r="Z702" s="1626"/>
    </row>
    <row r="703" spans="1:26" ht="15.75" customHeight="1" x14ac:dyDescent="0.25">
      <c r="A703" s="1626"/>
      <c r="B703" s="1626"/>
      <c r="C703" s="1626"/>
      <c r="D703" s="1626"/>
      <c r="E703" s="1626"/>
      <c r="F703" s="1626"/>
      <c r="G703" s="1626"/>
      <c r="H703" s="1626"/>
      <c r="I703" s="1626"/>
      <c r="J703" s="1626"/>
      <c r="K703" s="1626"/>
      <c r="L703" s="1626"/>
      <c r="M703" s="1626"/>
      <c r="N703" s="1626"/>
      <c r="O703" s="1626"/>
      <c r="P703" s="1627"/>
      <c r="Q703" s="1627"/>
      <c r="R703" s="1626"/>
      <c r="S703" s="1626"/>
      <c r="T703" s="1626"/>
      <c r="U703" s="1626"/>
      <c r="V703" s="1626"/>
      <c r="W703" s="1626"/>
      <c r="X703" s="1626"/>
      <c r="Y703" s="1626"/>
      <c r="Z703" s="1626"/>
    </row>
    <row r="704" spans="1:26" ht="15.75" customHeight="1" x14ac:dyDescent="0.25">
      <c r="A704" s="1626"/>
      <c r="B704" s="1626"/>
      <c r="C704" s="1626"/>
      <c r="D704" s="1626"/>
      <c r="E704" s="1626"/>
      <c r="F704" s="1626"/>
      <c r="G704" s="1626"/>
      <c r="H704" s="1626"/>
      <c r="I704" s="1626"/>
      <c r="J704" s="1626"/>
      <c r="K704" s="1626"/>
      <c r="L704" s="1626"/>
      <c r="M704" s="1626"/>
      <c r="N704" s="1626"/>
      <c r="O704" s="1626"/>
      <c r="P704" s="1627"/>
      <c r="Q704" s="1627"/>
      <c r="R704" s="1626"/>
      <c r="S704" s="1626"/>
      <c r="T704" s="1626"/>
      <c r="U704" s="1626"/>
      <c r="V704" s="1626"/>
      <c r="W704" s="1626"/>
      <c r="X704" s="1626"/>
      <c r="Y704" s="1626"/>
      <c r="Z704" s="1626"/>
    </row>
    <row r="705" spans="1:26" ht="15.75" customHeight="1" x14ac:dyDescent="0.25">
      <c r="A705" s="1626"/>
      <c r="B705" s="1626"/>
      <c r="C705" s="1626"/>
      <c r="D705" s="1626"/>
      <c r="E705" s="1626"/>
      <c r="F705" s="1626"/>
      <c r="G705" s="1626"/>
      <c r="H705" s="1626"/>
      <c r="I705" s="1626"/>
      <c r="J705" s="1626"/>
      <c r="K705" s="1626"/>
      <c r="L705" s="1626"/>
      <c r="M705" s="1626"/>
      <c r="N705" s="1626"/>
      <c r="O705" s="1626"/>
      <c r="P705" s="1627"/>
      <c r="Q705" s="1627"/>
      <c r="R705" s="1626"/>
      <c r="S705" s="1626"/>
      <c r="T705" s="1626"/>
      <c r="U705" s="1626"/>
      <c r="V705" s="1626"/>
      <c r="W705" s="1626"/>
      <c r="X705" s="1626"/>
      <c r="Y705" s="1626"/>
      <c r="Z705" s="1626"/>
    </row>
    <row r="706" spans="1:26" ht="15.75" customHeight="1" x14ac:dyDescent="0.25">
      <c r="A706" s="1626"/>
      <c r="B706" s="1626"/>
      <c r="C706" s="1626"/>
      <c r="D706" s="1626"/>
      <c r="E706" s="1626"/>
      <c r="F706" s="1626"/>
      <c r="G706" s="1626"/>
      <c r="H706" s="1626"/>
      <c r="I706" s="1626"/>
      <c r="J706" s="1626"/>
      <c r="K706" s="1626"/>
      <c r="L706" s="1626"/>
      <c r="M706" s="1626"/>
      <c r="N706" s="1626"/>
      <c r="O706" s="1626"/>
      <c r="P706" s="1627"/>
      <c r="Q706" s="1627"/>
      <c r="R706" s="1626"/>
      <c r="S706" s="1626"/>
      <c r="T706" s="1626"/>
      <c r="U706" s="1626"/>
      <c r="V706" s="1626"/>
      <c r="W706" s="1626"/>
      <c r="X706" s="1626"/>
      <c r="Y706" s="1626"/>
      <c r="Z706" s="1626"/>
    </row>
    <row r="707" spans="1:26" ht="15.75" customHeight="1" x14ac:dyDescent="0.25">
      <c r="A707" s="1626"/>
      <c r="B707" s="1626"/>
      <c r="C707" s="1626"/>
      <c r="D707" s="1626"/>
      <c r="E707" s="1626"/>
      <c r="F707" s="1626"/>
      <c r="G707" s="1626"/>
      <c r="H707" s="1626"/>
      <c r="I707" s="1626"/>
      <c r="J707" s="1626"/>
      <c r="K707" s="1626"/>
      <c r="L707" s="1626"/>
      <c r="M707" s="1626"/>
      <c r="N707" s="1626"/>
      <c r="O707" s="1626"/>
      <c r="P707" s="1627"/>
      <c r="Q707" s="1627"/>
      <c r="R707" s="1626"/>
      <c r="S707" s="1626"/>
      <c r="T707" s="1626"/>
      <c r="U707" s="1626"/>
      <c r="V707" s="1626"/>
      <c r="W707" s="1626"/>
      <c r="X707" s="1626"/>
      <c r="Y707" s="1626"/>
      <c r="Z707" s="1626"/>
    </row>
    <row r="708" spans="1:26" ht="15.75" customHeight="1" x14ac:dyDescent="0.25">
      <c r="A708" s="1626"/>
      <c r="B708" s="1626"/>
      <c r="C708" s="1626"/>
      <c r="D708" s="1626"/>
      <c r="E708" s="1626"/>
      <c r="F708" s="1626"/>
      <c r="G708" s="1626"/>
      <c r="H708" s="1626"/>
      <c r="I708" s="1626"/>
      <c r="J708" s="1626"/>
      <c r="K708" s="1626"/>
      <c r="L708" s="1626"/>
      <c r="M708" s="1626"/>
      <c r="N708" s="1626"/>
      <c r="O708" s="1626"/>
      <c r="P708" s="1627"/>
      <c r="Q708" s="1627"/>
      <c r="R708" s="1626"/>
      <c r="S708" s="1626"/>
      <c r="T708" s="1626"/>
      <c r="U708" s="1626"/>
      <c r="V708" s="1626"/>
      <c r="W708" s="1626"/>
      <c r="X708" s="1626"/>
      <c r="Y708" s="1626"/>
      <c r="Z708" s="1626"/>
    </row>
    <row r="709" spans="1:26" ht="15.75" customHeight="1" x14ac:dyDescent="0.25">
      <c r="A709" s="1626"/>
      <c r="B709" s="1626"/>
      <c r="C709" s="1626"/>
      <c r="D709" s="1626"/>
      <c r="E709" s="1626"/>
      <c r="F709" s="1626"/>
      <c r="G709" s="1626"/>
      <c r="H709" s="1626"/>
      <c r="I709" s="1626"/>
      <c r="J709" s="1626"/>
      <c r="K709" s="1626"/>
      <c r="L709" s="1626"/>
      <c r="M709" s="1626"/>
      <c r="N709" s="1626"/>
      <c r="O709" s="1626"/>
      <c r="P709" s="1627"/>
      <c r="Q709" s="1627"/>
      <c r="R709" s="1626"/>
      <c r="S709" s="1626"/>
      <c r="T709" s="1626"/>
      <c r="U709" s="1626"/>
      <c r="V709" s="1626"/>
      <c r="W709" s="1626"/>
      <c r="X709" s="1626"/>
      <c r="Y709" s="1626"/>
      <c r="Z709" s="1626"/>
    </row>
    <row r="710" spans="1:26" ht="15.75" customHeight="1" x14ac:dyDescent="0.25">
      <c r="A710" s="1626"/>
      <c r="B710" s="1626"/>
      <c r="C710" s="1626"/>
      <c r="D710" s="1626"/>
      <c r="E710" s="1626"/>
      <c r="F710" s="1626"/>
      <c r="G710" s="1626"/>
      <c r="H710" s="1626"/>
      <c r="I710" s="1626"/>
      <c r="J710" s="1626"/>
      <c r="K710" s="1626"/>
      <c r="L710" s="1626"/>
      <c r="M710" s="1626"/>
      <c r="N710" s="1626"/>
      <c r="O710" s="1626"/>
      <c r="P710" s="1627"/>
      <c r="Q710" s="1627"/>
      <c r="R710" s="1626"/>
      <c r="S710" s="1626"/>
      <c r="T710" s="1626"/>
      <c r="U710" s="1626"/>
      <c r="V710" s="1626"/>
      <c r="W710" s="1626"/>
      <c r="X710" s="1626"/>
      <c r="Y710" s="1626"/>
      <c r="Z710" s="1626"/>
    </row>
    <row r="711" spans="1:26" ht="15.75" customHeight="1" x14ac:dyDescent="0.25">
      <c r="A711" s="1626"/>
      <c r="B711" s="1626"/>
      <c r="C711" s="1626"/>
      <c r="D711" s="1626"/>
      <c r="E711" s="1626"/>
      <c r="F711" s="1626"/>
      <c r="G711" s="1626"/>
      <c r="H711" s="1626"/>
      <c r="I711" s="1626"/>
      <c r="J711" s="1626"/>
      <c r="K711" s="1626"/>
      <c r="L711" s="1626"/>
      <c r="M711" s="1626"/>
      <c r="N711" s="1626"/>
      <c r="O711" s="1626"/>
      <c r="P711" s="1627"/>
      <c r="Q711" s="1627"/>
      <c r="R711" s="1626"/>
      <c r="S711" s="1626"/>
      <c r="T711" s="1626"/>
      <c r="U711" s="1626"/>
      <c r="V711" s="1626"/>
      <c r="W711" s="1626"/>
      <c r="X711" s="1626"/>
      <c r="Y711" s="1626"/>
      <c r="Z711" s="1626"/>
    </row>
    <row r="712" spans="1:26" ht="15.75" customHeight="1" x14ac:dyDescent="0.25">
      <c r="A712" s="1626"/>
      <c r="B712" s="1626"/>
      <c r="C712" s="1626"/>
      <c r="D712" s="1626"/>
      <c r="E712" s="1626"/>
      <c r="F712" s="1626"/>
      <c r="G712" s="1626"/>
      <c r="H712" s="1626"/>
      <c r="I712" s="1626"/>
      <c r="J712" s="1626"/>
      <c r="K712" s="1626"/>
      <c r="L712" s="1626"/>
      <c r="M712" s="1626"/>
      <c r="N712" s="1626"/>
      <c r="O712" s="1626"/>
      <c r="P712" s="1627"/>
      <c r="Q712" s="1627"/>
      <c r="R712" s="1626"/>
      <c r="S712" s="1626"/>
      <c r="T712" s="1626"/>
      <c r="U712" s="1626"/>
      <c r="V712" s="1626"/>
      <c r="W712" s="1626"/>
      <c r="X712" s="1626"/>
      <c r="Y712" s="1626"/>
      <c r="Z712" s="1626"/>
    </row>
    <row r="713" spans="1:26" ht="15.75" customHeight="1" x14ac:dyDescent="0.25">
      <c r="A713" s="1626"/>
      <c r="B713" s="1626"/>
      <c r="C713" s="1626"/>
      <c r="D713" s="1626"/>
      <c r="E713" s="1626"/>
      <c r="F713" s="1626"/>
      <c r="G713" s="1626"/>
      <c r="H713" s="1626"/>
      <c r="I713" s="1626"/>
      <c r="J713" s="1626"/>
      <c r="K713" s="1626"/>
      <c r="L713" s="1626"/>
      <c r="M713" s="1626"/>
      <c r="N713" s="1626"/>
      <c r="O713" s="1626"/>
      <c r="P713" s="1627"/>
      <c r="Q713" s="1627"/>
      <c r="R713" s="1626"/>
      <c r="S713" s="1626"/>
      <c r="T713" s="1626"/>
      <c r="U713" s="1626"/>
      <c r="V713" s="1626"/>
      <c r="W713" s="1626"/>
      <c r="X713" s="1626"/>
      <c r="Y713" s="1626"/>
      <c r="Z713" s="1626"/>
    </row>
    <row r="714" spans="1:26" ht="15.75" customHeight="1" x14ac:dyDescent="0.25">
      <c r="A714" s="1626"/>
      <c r="B714" s="1626"/>
      <c r="C714" s="1626"/>
      <c r="D714" s="1626"/>
      <c r="E714" s="1626"/>
      <c r="F714" s="1626"/>
      <c r="G714" s="1626"/>
      <c r="H714" s="1626"/>
      <c r="I714" s="1626"/>
      <c r="J714" s="1626"/>
      <c r="K714" s="1626"/>
      <c r="L714" s="1626"/>
      <c r="M714" s="1626"/>
      <c r="N714" s="1626"/>
      <c r="O714" s="1626"/>
      <c r="P714" s="1627"/>
      <c r="Q714" s="1627"/>
      <c r="R714" s="1626"/>
      <c r="S714" s="1626"/>
      <c r="T714" s="1626"/>
      <c r="U714" s="1626"/>
      <c r="V714" s="1626"/>
      <c r="W714" s="1626"/>
      <c r="X714" s="1626"/>
      <c r="Y714" s="1626"/>
      <c r="Z714" s="1626"/>
    </row>
    <row r="715" spans="1:26" ht="15.75" customHeight="1" x14ac:dyDescent="0.25">
      <c r="A715" s="1626"/>
      <c r="B715" s="1626"/>
      <c r="C715" s="1626"/>
      <c r="D715" s="1626"/>
      <c r="E715" s="1626"/>
      <c r="F715" s="1626"/>
      <c r="G715" s="1626"/>
      <c r="H715" s="1626"/>
      <c r="I715" s="1626"/>
      <c r="J715" s="1626"/>
      <c r="K715" s="1626"/>
      <c r="L715" s="1626"/>
      <c r="M715" s="1626"/>
      <c r="N715" s="1626"/>
      <c r="O715" s="1626"/>
      <c r="P715" s="1627"/>
      <c r="Q715" s="1627"/>
      <c r="R715" s="1626"/>
      <c r="S715" s="1626"/>
      <c r="T715" s="1626"/>
      <c r="U715" s="1626"/>
      <c r="V715" s="1626"/>
      <c r="W715" s="1626"/>
      <c r="X715" s="1626"/>
      <c r="Y715" s="1626"/>
      <c r="Z715" s="1626"/>
    </row>
    <row r="716" spans="1:26" ht="15.75" customHeight="1" x14ac:dyDescent="0.25">
      <c r="A716" s="1626"/>
      <c r="B716" s="1626"/>
      <c r="C716" s="1626"/>
      <c r="D716" s="1626"/>
      <c r="E716" s="1626"/>
      <c r="F716" s="1626"/>
      <c r="G716" s="1626"/>
      <c r="H716" s="1626"/>
      <c r="I716" s="1626"/>
      <c r="J716" s="1626"/>
      <c r="K716" s="1626"/>
      <c r="L716" s="1626"/>
      <c r="M716" s="1626"/>
      <c r="N716" s="1626"/>
      <c r="O716" s="1626"/>
      <c r="P716" s="1627"/>
      <c r="Q716" s="1627"/>
      <c r="R716" s="1626"/>
      <c r="S716" s="1626"/>
      <c r="T716" s="1626"/>
      <c r="U716" s="1626"/>
      <c r="V716" s="1626"/>
      <c r="W716" s="1626"/>
      <c r="X716" s="1626"/>
      <c r="Y716" s="1626"/>
      <c r="Z716" s="1626"/>
    </row>
    <row r="717" spans="1:26" ht="15.75" customHeight="1" x14ac:dyDescent="0.25">
      <c r="A717" s="1626"/>
      <c r="B717" s="1626"/>
      <c r="C717" s="1626"/>
      <c r="D717" s="1626"/>
      <c r="E717" s="1626"/>
      <c r="F717" s="1626"/>
      <c r="G717" s="1626"/>
      <c r="H717" s="1626"/>
      <c r="I717" s="1626"/>
      <c r="J717" s="1626"/>
      <c r="K717" s="1626"/>
      <c r="L717" s="1626"/>
      <c r="M717" s="1626"/>
      <c r="N717" s="1626"/>
      <c r="O717" s="1626"/>
      <c r="P717" s="1627"/>
      <c r="Q717" s="1627"/>
      <c r="R717" s="1626"/>
      <c r="S717" s="1626"/>
      <c r="T717" s="1626"/>
      <c r="U717" s="1626"/>
      <c r="V717" s="1626"/>
      <c r="W717" s="1626"/>
      <c r="X717" s="1626"/>
      <c r="Y717" s="1626"/>
      <c r="Z717" s="1626"/>
    </row>
    <row r="718" spans="1:26" ht="15.75" customHeight="1" x14ac:dyDescent="0.25">
      <c r="A718" s="1626"/>
      <c r="B718" s="1626"/>
      <c r="C718" s="1626"/>
      <c r="D718" s="1626"/>
      <c r="E718" s="1626"/>
      <c r="F718" s="1626"/>
      <c r="G718" s="1626"/>
      <c r="H718" s="1626"/>
      <c r="I718" s="1626"/>
      <c r="J718" s="1626"/>
      <c r="K718" s="1626"/>
      <c r="L718" s="1626"/>
      <c r="M718" s="1626"/>
      <c r="N718" s="1626"/>
      <c r="O718" s="1626"/>
      <c r="P718" s="1627"/>
      <c r="Q718" s="1627"/>
      <c r="R718" s="1626"/>
      <c r="S718" s="1626"/>
      <c r="T718" s="1626"/>
      <c r="U718" s="1626"/>
      <c r="V718" s="1626"/>
      <c r="W718" s="1626"/>
      <c r="X718" s="1626"/>
      <c r="Y718" s="1626"/>
      <c r="Z718" s="1626"/>
    </row>
    <row r="719" spans="1:26" ht="15.75" customHeight="1" x14ac:dyDescent="0.25">
      <c r="A719" s="1626"/>
      <c r="B719" s="1626"/>
      <c r="C719" s="1626"/>
      <c r="D719" s="1626"/>
      <c r="E719" s="1626"/>
      <c r="F719" s="1626"/>
      <c r="G719" s="1626"/>
      <c r="H719" s="1626"/>
      <c r="I719" s="1626"/>
      <c r="J719" s="1626"/>
      <c r="K719" s="1626"/>
      <c r="L719" s="1626"/>
      <c r="M719" s="1626"/>
      <c r="N719" s="1626"/>
      <c r="O719" s="1626"/>
      <c r="P719" s="1627"/>
      <c r="Q719" s="1627"/>
      <c r="R719" s="1626"/>
      <c r="S719" s="1626"/>
      <c r="T719" s="1626"/>
      <c r="U719" s="1626"/>
      <c r="V719" s="1626"/>
      <c r="W719" s="1626"/>
      <c r="X719" s="1626"/>
      <c r="Y719" s="1626"/>
      <c r="Z719" s="1626"/>
    </row>
    <row r="720" spans="1:26" ht="15.75" customHeight="1" x14ac:dyDescent="0.25">
      <c r="A720" s="1626"/>
      <c r="B720" s="1626"/>
      <c r="C720" s="1626"/>
      <c r="D720" s="1626"/>
      <c r="E720" s="1626"/>
      <c r="F720" s="1626"/>
      <c r="G720" s="1626"/>
      <c r="H720" s="1626"/>
      <c r="I720" s="1626"/>
      <c r="J720" s="1626"/>
      <c r="K720" s="1626"/>
      <c r="L720" s="1626"/>
      <c r="M720" s="1626"/>
      <c r="N720" s="1626"/>
      <c r="O720" s="1626"/>
      <c r="P720" s="1627"/>
      <c r="Q720" s="1627"/>
      <c r="R720" s="1626"/>
      <c r="S720" s="1626"/>
      <c r="T720" s="1626"/>
      <c r="U720" s="1626"/>
      <c r="V720" s="1626"/>
      <c r="W720" s="1626"/>
      <c r="X720" s="1626"/>
      <c r="Y720" s="1626"/>
      <c r="Z720" s="1626"/>
    </row>
    <row r="721" spans="1:26" ht="15.75" customHeight="1" x14ac:dyDescent="0.25">
      <c r="A721" s="1626"/>
      <c r="B721" s="1626"/>
      <c r="C721" s="1626"/>
      <c r="D721" s="1626"/>
      <c r="E721" s="1626"/>
      <c r="F721" s="1626"/>
      <c r="G721" s="1626"/>
      <c r="H721" s="1626"/>
      <c r="I721" s="1626"/>
      <c r="J721" s="1626"/>
      <c r="K721" s="1626"/>
      <c r="L721" s="1626"/>
      <c r="M721" s="1626"/>
      <c r="N721" s="1626"/>
      <c r="O721" s="1626"/>
      <c r="P721" s="1627"/>
      <c r="Q721" s="1627"/>
      <c r="R721" s="1626"/>
      <c r="S721" s="1626"/>
      <c r="T721" s="1626"/>
      <c r="U721" s="1626"/>
      <c r="V721" s="1626"/>
      <c r="W721" s="1626"/>
      <c r="X721" s="1626"/>
      <c r="Y721" s="1626"/>
      <c r="Z721" s="1626"/>
    </row>
    <row r="722" spans="1:26" ht="15.75" customHeight="1" x14ac:dyDescent="0.25">
      <c r="A722" s="1626"/>
      <c r="B722" s="1626"/>
      <c r="C722" s="1626"/>
      <c r="D722" s="1626"/>
      <c r="E722" s="1626"/>
      <c r="F722" s="1626"/>
      <c r="G722" s="1626"/>
      <c r="H722" s="1626"/>
      <c r="I722" s="1626"/>
      <c r="J722" s="1626"/>
      <c r="K722" s="1626"/>
      <c r="L722" s="1626"/>
      <c r="M722" s="1626"/>
      <c r="N722" s="1626"/>
      <c r="O722" s="1626"/>
      <c r="P722" s="1627"/>
      <c r="Q722" s="1627"/>
      <c r="R722" s="1626"/>
      <c r="S722" s="1626"/>
      <c r="T722" s="1626"/>
      <c r="U722" s="1626"/>
      <c r="V722" s="1626"/>
      <c r="W722" s="1626"/>
      <c r="X722" s="1626"/>
      <c r="Y722" s="1626"/>
      <c r="Z722" s="1626"/>
    </row>
    <row r="723" spans="1:26" ht="15.75" customHeight="1" x14ac:dyDescent="0.25">
      <c r="A723" s="1626"/>
      <c r="B723" s="1626"/>
      <c r="C723" s="1626"/>
      <c r="D723" s="1626"/>
      <c r="E723" s="1626"/>
      <c r="F723" s="1626"/>
      <c r="G723" s="1626"/>
      <c r="H723" s="1626"/>
      <c r="I723" s="1626"/>
      <c r="J723" s="1626"/>
      <c r="K723" s="1626"/>
      <c r="L723" s="1626"/>
      <c r="M723" s="1626"/>
      <c r="N723" s="1626"/>
      <c r="O723" s="1626"/>
      <c r="P723" s="1627"/>
      <c r="Q723" s="1627"/>
      <c r="R723" s="1626"/>
      <c r="S723" s="1626"/>
      <c r="T723" s="1626"/>
      <c r="U723" s="1626"/>
      <c r="V723" s="1626"/>
      <c r="W723" s="1626"/>
      <c r="X723" s="1626"/>
      <c r="Y723" s="1626"/>
      <c r="Z723" s="1626"/>
    </row>
    <row r="724" spans="1:26" ht="15.75" customHeight="1" x14ac:dyDescent="0.25">
      <c r="A724" s="1626"/>
      <c r="B724" s="1626"/>
      <c r="C724" s="1626"/>
      <c r="D724" s="1626"/>
      <c r="E724" s="1626"/>
      <c r="F724" s="1626"/>
      <c r="G724" s="1626"/>
      <c r="H724" s="1626"/>
      <c r="I724" s="1626"/>
      <c r="J724" s="1626"/>
      <c r="K724" s="1626"/>
      <c r="L724" s="1626"/>
      <c r="M724" s="1626"/>
      <c r="N724" s="1626"/>
      <c r="O724" s="1626"/>
      <c r="P724" s="1627"/>
      <c r="Q724" s="1627"/>
      <c r="R724" s="1626"/>
      <c r="S724" s="1626"/>
      <c r="T724" s="1626"/>
      <c r="U724" s="1626"/>
      <c r="V724" s="1626"/>
      <c r="W724" s="1626"/>
      <c r="X724" s="1626"/>
      <c r="Y724" s="1626"/>
      <c r="Z724" s="1626"/>
    </row>
    <row r="725" spans="1:26" ht="15.75" customHeight="1" x14ac:dyDescent="0.25">
      <c r="A725" s="1626"/>
      <c r="B725" s="1626"/>
      <c r="C725" s="1626"/>
      <c r="D725" s="1626"/>
      <c r="E725" s="1626"/>
      <c r="F725" s="1626"/>
      <c r="G725" s="1626"/>
      <c r="H725" s="1626"/>
      <c r="I725" s="1626"/>
      <c r="J725" s="1626"/>
      <c r="K725" s="1626"/>
      <c r="L725" s="1626"/>
      <c r="M725" s="1626"/>
      <c r="N725" s="1626"/>
      <c r="O725" s="1626"/>
      <c r="P725" s="1627"/>
      <c r="Q725" s="1627"/>
      <c r="R725" s="1626"/>
      <c r="S725" s="1626"/>
      <c r="T725" s="1626"/>
      <c r="U725" s="1626"/>
      <c r="V725" s="1626"/>
      <c r="W725" s="1626"/>
      <c r="X725" s="1626"/>
      <c r="Y725" s="1626"/>
      <c r="Z725" s="1626"/>
    </row>
    <row r="726" spans="1:26" ht="15.75" customHeight="1" x14ac:dyDescent="0.25">
      <c r="A726" s="1626"/>
      <c r="B726" s="1626"/>
      <c r="C726" s="1626"/>
      <c r="D726" s="1626"/>
      <c r="E726" s="1626"/>
      <c r="F726" s="1626"/>
      <c r="G726" s="1626"/>
      <c r="H726" s="1626"/>
      <c r="I726" s="1626"/>
      <c r="J726" s="1626"/>
      <c r="K726" s="1626"/>
      <c r="L726" s="1626"/>
      <c r="M726" s="1626"/>
      <c r="N726" s="1626"/>
      <c r="O726" s="1626"/>
      <c r="P726" s="1627"/>
      <c r="Q726" s="1627"/>
      <c r="R726" s="1626"/>
      <c r="S726" s="1626"/>
      <c r="T726" s="1626"/>
      <c r="U726" s="1626"/>
      <c r="V726" s="1626"/>
      <c r="W726" s="1626"/>
      <c r="X726" s="1626"/>
      <c r="Y726" s="1626"/>
      <c r="Z726" s="1626"/>
    </row>
    <row r="727" spans="1:26" ht="15.75" customHeight="1" x14ac:dyDescent="0.25">
      <c r="A727" s="1626"/>
      <c r="B727" s="1626"/>
      <c r="C727" s="1626"/>
      <c r="D727" s="1626"/>
      <c r="E727" s="1626"/>
      <c r="F727" s="1626"/>
      <c r="G727" s="1626"/>
      <c r="H727" s="1626"/>
      <c r="I727" s="1626"/>
      <c r="J727" s="1626"/>
      <c r="K727" s="1626"/>
      <c r="L727" s="1626"/>
      <c r="M727" s="1626"/>
      <c r="N727" s="1626"/>
      <c r="O727" s="1626"/>
      <c r="P727" s="1627"/>
      <c r="Q727" s="1627"/>
      <c r="R727" s="1626"/>
      <c r="S727" s="1626"/>
      <c r="T727" s="1626"/>
      <c r="U727" s="1626"/>
      <c r="V727" s="1626"/>
      <c r="W727" s="1626"/>
      <c r="X727" s="1626"/>
      <c r="Y727" s="1626"/>
      <c r="Z727" s="1626"/>
    </row>
    <row r="728" spans="1:26" ht="15.75" customHeight="1" x14ac:dyDescent="0.25">
      <c r="A728" s="1626"/>
      <c r="B728" s="1626"/>
      <c r="C728" s="1626"/>
      <c r="D728" s="1626"/>
      <c r="E728" s="1626"/>
      <c r="F728" s="1626"/>
      <c r="G728" s="1626"/>
      <c r="H728" s="1626"/>
      <c r="I728" s="1626"/>
      <c r="J728" s="1626"/>
      <c r="K728" s="1626"/>
      <c r="L728" s="1626"/>
      <c r="M728" s="1626"/>
      <c r="N728" s="1626"/>
      <c r="O728" s="1626"/>
      <c r="P728" s="1627"/>
      <c r="Q728" s="1627"/>
      <c r="R728" s="1626"/>
      <c r="S728" s="1626"/>
      <c r="T728" s="1626"/>
      <c r="U728" s="1626"/>
      <c r="V728" s="1626"/>
      <c r="W728" s="1626"/>
      <c r="X728" s="1626"/>
      <c r="Y728" s="1626"/>
      <c r="Z728" s="1626"/>
    </row>
    <row r="729" spans="1:26" ht="15.75" customHeight="1" x14ac:dyDescent="0.25">
      <c r="A729" s="1626"/>
      <c r="B729" s="1626"/>
      <c r="C729" s="1626"/>
      <c r="D729" s="1626"/>
      <c r="E729" s="1626"/>
      <c r="F729" s="1626"/>
      <c r="G729" s="1626"/>
      <c r="H729" s="1626"/>
      <c r="I729" s="1626"/>
      <c r="J729" s="1626"/>
      <c r="K729" s="1626"/>
      <c r="L729" s="1626"/>
      <c r="M729" s="1626"/>
      <c r="N729" s="1626"/>
      <c r="O729" s="1626"/>
      <c r="P729" s="1627"/>
      <c r="Q729" s="1627"/>
      <c r="R729" s="1626"/>
      <c r="S729" s="1626"/>
      <c r="T729" s="1626"/>
      <c r="U729" s="1626"/>
      <c r="V729" s="1626"/>
      <c r="W729" s="1626"/>
      <c r="X729" s="1626"/>
      <c r="Y729" s="1626"/>
      <c r="Z729" s="1626"/>
    </row>
    <row r="730" spans="1:26" ht="15.75" customHeight="1" x14ac:dyDescent="0.25">
      <c r="A730" s="1626"/>
      <c r="B730" s="1626"/>
      <c r="C730" s="1626"/>
      <c r="D730" s="1626"/>
      <c r="E730" s="1626"/>
      <c r="F730" s="1626"/>
      <c r="G730" s="1626"/>
      <c r="H730" s="1626"/>
      <c r="I730" s="1626"/>
      <c r="J730" s="1626"/>
      <c r="K730" s="1626"/>
      <c r="L730" s="1626"/>
      <c r="M730" s="1626"/>
      <c r="N730" s="1626"/>
      <c r="O730" s="1626"/>
      <c r="P730" s="1627"/>
      <c r="Q730" s="1627"/>
      <c r="R730" s="1626"/>
      <c r="S730" s="1626"/>
      <c r="T730" s="1626"/>
      <c r="U730" s="1626"/>
      <c r="V730" s="1626"/>
      <c r="W730" s="1626"/>
      <c r="X730" s="1626"/>
      <c r="Y730" s="1626"/>
      <c r="Z730" s="1626"/>
    </row>
    <row r="731" spans="1:26" ht="15.75" customHeight="1" x14ac:dyDescent="0.25">
      <c r="A731" s="1626"/>
      <c r="B731" s="1626"/>
      <c r="C731" s="1626"/>
      <c r="D731" s="1626"/>
      <c r="E731" s="1626"/>
      <c r="F731" s="1626"/>
      <c r="G731" s="1626"/>
      <c r="H731" s="1626"/>
      <c r="I731" s="1626"/>
      <c r="J731" s="1626"/>
      <c r="K731" s="1626"/>
      <c r="L731" s="1626"/>
      <c r="M731" s="1626"/>
      <c r="N731" s="1626"/>
      <c r="O731" s="1626"/>
      <c r="P731" s="1627"/>
      <c r="Q731" s="1627"/>
      <c r="R731" s="1626"/>
      <c r="S731" s="1626"/>
      <c r="T731" s="1626"/>
      <c r="U731" s="1626"/>
      <c r="V731" s="1626"/>
      <c r="W731" s="1626"/>
      <c r="X731" s="1626"/>
      <c r="Y731" s="1626"/>
      <c r="Z731" s="1626"/>
    </row>
    <row r="732" spans="1:26" ht="15.75" customHeight="1" x14ac:dyDescent="0.25">
      <c r="A732" s="1626"/>
      <c r="B732" s="1626"/>
      <c r="C732" s="1626"/>
      <c r="D732" s="1626"/>
      <c r="E732" s="1626"/>
      <c r="F732" s="1626"/>
      <c r="G732" s="1626"/>
      <c r="H732" s="1626"/>
      <c r="I732" s="1626"/>
      <c r="J732" s="1626"/>
      <c r="K732" s="1626"/>
      <c r="L732" s="1626"/>
      <c r="M732" s="1626"/>
      <c r="N732" s="1626"/>
      <c r="O732" s="1626"/>
      <c r="P732" s="1627"/>
      <c r="Q732" s="1627"/>
      <c r="R732" s="1626"/>
      <c r="S732" s="1626"/>
      <c r="T732" s="1626"/>
      <c r="U732" s="1626"/>
      <c r="V732" s="1626"/>
      <c r="W732" s="1626"/>
      <c r="X732" s="1626"/>
      <c r="Y732" s="1626"/>
      <c r="Z732" s="1626"/>
    </row>
    <row r="733" spans="1:26" ht="15.75" customHeight="1" x14ac:dyDescent="0.25">
      <c r="A733" s="1626"/>
      <c r="B733" s="1626"/>
      <c r="C733" s="1626"/>
      <c r="D733" s="1626"/>
      <c r="E733" s="1626"/>
      <c r="F733" s="1626"/>
      <c r="G733" s="1626"/>
      <c r="H733" s="1626"/>
      <c r="I733" s="1626"/>
      <c r="J733" s="1626"/>
      <c r="K733" s="1626"/>
      <c r="L733" s="1626"/>
      <c r="M733" s="1626"/>
      <c r="N733" s="1626"/>
      <c r="O733" s="1626"/>
      <c r="P733" s="1627"/>
      <c r="Q733" s="1627"/>
      <c r="R733" s="1626"/>
      <c r="S733" s="1626"/>
      <c r="T733" s="1626"/>
      <c r="U733" s="1626"/>
      <c r="V733" s="1626"/>
      <c r="W733" s="1626"/>
      <c r="X733" s="1626"/>
      <c r="Y733" s="1626"/>
      <c r="Z733" s="1626"/>
    </row>
    <row r="734" spans="1:26" ht="15.75" customHeight="1" x14ac:dyDescent="0.25">
      <c r="A734" s="1626"/>
      <c r="B734" s="1626"/>
      <c r="C734" s="1626"/>
      <c r="D734" s="1626"/>
      <c r="E734" s="1626"/>
      <c r="F734" s="1626"/>
      <c r="G734" s="1626"/>
      <c r="H734" s="1626"/>
      <c r="I734" s="1626"/>
      <c r="J734" s="1626"/>
      <c r="K734" s="1626"/>
      <c r="L734" s="1626"/>
      <c r="M734" s="1626"/>
      <c r="N734" s="1626"/>
      <c r="O734" s="1626"/>
      <c r="P734" s="1627"/>
      <c r="Q734" s="1627"/>
      <c r="R734" s="1626"/>
      <c r="S734" s="1626"/>
      <c r="T734" s="1626"/>
      <c r="U734" s="1626"/>
      <c r="V734" s="1626"/>
      <c r="W734" s="1626"/>
      <c r="X734" s="1626"/>
      <c r="Y734" s="1626"/>
      <c r="Z734" s="1626"/>
    </row>
    <row r="735" spans="1:26" ht="15.75" customHeight="1" x14ac:dyDescent="0.25">
      <c r="A735" s="1626"/>
      <c r="B735" s="1626"/>
      <c r="C735" s="1626"/>
      <c r="D735" s="1626"/>
      <c r="E735" s="1626"/>
      <c r="F735" s="1626"/>
      <c r="G735" s="1626"/>
      <c r="H735" s="1626"/>
      <c r="I735" s="1626"/>
      <c r="J735" s="1626"/>
      <c r="K735" s="1626"/>
      <c r="L735" s="1626"/>
      <c r="M735" s="1626"/>
      <c r="N735" s="1626"/>
      <c r="O735" s="1626"/>
      <c r="P735" s="1627"/>
      <c r="Q735" s="1627"/>
      <c r="R735" s="1626"/>
      <c r="S735" s="1626"/>
      <c r="T735" s="1626"/>
      <c r="U735" s="1626"/>
      <c r="V735" s="1626"/>
      <c r="W735" s="1626"/>
      <c r="X735" s="1626"/>
      <c r="Y735" s="1626"/>
      <c r="Z735" s="1626"/>
    </row>
    <row r="736" spans="1:26" ht="15.75" customHeight="1" x14ac:dyDescent="0.25">
      <c r="A736" s="1626"/>
      <c r="B736" s="1626"/>
      <c r="C736" s="1626"/>
      <c r="D736" s="1626"/>
      <c r="E736" s="1626"/>
      <c r="F736" s="1626"/>
      <c r="G736" s="1626"/>
      <c r="H736" s="1626"/>
      <c r="I736" s="1626"/>
      <c r="J736" s="1626"/>
      <c r="K736" s="1626"/>
      <c r="L736" s="1626"/>
      <c r="M736" s="1626"/>
      <c r="N736" s="1626"/>
      <c r="O736" s="1626"/>
      <c r="P736" s="1627"/>
      <c r="Q736" s="1627"/>
      <c r="R736" s="1626"/>
      <c r="S736" s="1626"/>
      <c r="T736" s="1626"/>
      <c r="U736" s="1626"/>
      <c r="V736" s="1626"/>
      <c r="W736" s="1626"/>
      <c r="X736" s="1626"/>
      <c r="Y736" s="1626"/>
      <c r="Z736" s="1626"/>
    </row>
    <row r="737" spans="1:26" ht="15.75" customHeight="1" x14ac:dyDescent="0.25">
      <c r="A737" s="1626"/>
      <c r="B737" s="1626"/>
      <c r="C737" s="1626"/>
      <c r="D737" s="1626"/>
      <c r="E737" s="1626"/>
      <c r="F737" s="1626"/>
      <c r="G737" s="1626"/>
      <c r="H737" s="1626"/>
      <c r="I737" s="1626"/>
      <c r="J737" s="1626"/>
      <c r="K737" s="1626"/>
      <c r="L737" s="1626"/>
      <c r="M737" s="1626"/>
      <c r="N737" s="1626"/>
      <c r="O737" s="1626"/>
      <c r="P737" s="1627"/>
      <c r="Q737" s="1627"/>
      <c r="R737" s="1626"/>
      <c r="S737" s="1626"/>
      <c r="T737" s="1626"/>
      <c r="U737" s="1626"/>
      <c r="V737" s="1626"/>
      <c r="W737" s="1626"/>
      <c r="X737" s="1626"/>
      <c r="Y737" s="1626"/>
      <c r="Z737" s="1626"/>
    </row>
    <row r="738" spans="1:26" ht="15.75" customHeight="1" x14ac:dyDescent="0.25">
      <c r="A738" s="1626"/>
      <c r="B738" s="1626"/>
      <c r="C738" s="1626"/>
      <c r="D738" s="1626"/>
      <c r="E738" s="1626"/>
      <c r="F738" s="1626"/>
      <c r="G738" s="1626"/>
      <c r="H738" s="1626"/>
      <c r="I738" s="1626"/>
      <c r="J738" s="1626"/>
      <c r="K738" s="1626"/>
      <c r="L738" s="1626"/>
      <c r="M738" s="1626"/>
      <c r="N738" s="1626"/>
      <c r="O738" s="1626"/>
      <c r="P738" s="1627"/>
      <c r="Q738" s="1627"/>
      <c r="R738" s="1626"/>
      <c r="S738" s="1626"/>
      <c r="T738" s="1626"/>
      <c r="U738" s="1626"/>
      <c r="V738" s="1626"/>
      <c r="W738" s="1626"/>
      <c r="X738" s="1626"/>
      <c r="Y738" s="1626"/>
      <c r="Z738" s="1626"/>
    </row>
    <row r="739" spans="1:26" ht="15.75" customHeight="1" x14ac:dyDescent="0.25">
      <c r="A739" s="1626"/>
      <c r="B739" s="1626"/>
      <c r="C739" s="1626"/>
      <c r="D739" s="1626"/>
      <c r="E739" s="1626"/>
      <c r="F739" s="1626"/>
      <c r="G739" s="1626"/>
      <c r="H739" s="1626"/>
      <c r="I739" s="1626"/>
      <c r="J739" s="1626"/>
      <c r="K739" s="1626"/>
      <c r="L739" s="1626"/>
      <c r="M739" s="1626"/>
      <c r="N739" s="1626"/>
      <c r="O739" s="1626"/>
      <c r="P739" s="1627"/>
      <c r="Q739" s="1627"/>
      <c r="R739" s="1626"/>
      <c r="S739" s="1626"/>
      <c r="T739" s="1626"/>
      <c r="U739" s="1626"/>
      <c r="V739" s="1626"/>
      <c r="W739" s="1626"/>
      <c r="X739" s="1626"/>
      <c r="Y739" s="1626"/>
      <c r="Z739" s="1626"/>
    </row>
    <row r="740" spans="1:26" ht="15.75" customHeight="1" x14ac:dyDescent="0.25">
      <c r="A740" s="1626"/>
      <c r="B740" s="1626"/>
      <c r="C740" s="1626"/>
      <c r="D740" s="1626"/>
      <c r="E740" s="1626"/>
      <c r="F740" s="1626"/>
      <c r="G740" s="1626"/>
      <c r="H740" s="1626"/>
      <c r="I740" s="1626"/>
      <c r="J740" s="1626"/>
      <c r="K740" s="1626"/>
      <c r="L740" s="1626"/>
      <c r="M740" s="1626"/>
      <c r="N740" s="1626"/>
      <c r="O740" s="1626"/>
      <c r="P740" s="1627"/>
      <c r="Q740" s="1627"/>
      <c r="R740" s="1626"/>
      <c r="S740" s="1626"/>
      <c r="T740" s="1626"/>
      <c r="U740" s="1626"/>
      <c r="V740" s="1626"/>
      <c r="W740" s="1626"/>
      <c r="X740" s="1626"/>
      <c r="Y740" s="1626"/>
      <c r="Z740" s="1626"/>
    </row>
    <row r="741" spans="1:26" ht="15.75" customHeight="1" x14ac:dyDescent="0.25">
      <c r="A741" s="1626"/>
      <c r="B741" s="1626"/>
      <c r="C741" s="1626"/>
      <c r="D741" s="1626"/>
      <c r="E741" s="1626"/>
      <c r="F741" s="1626"/>
      <c r="G741" s="1626"/>
      <c r="H741" s="1626"/>
      <c r="I741" s="1626"/>
      <c r="J741" s="1626"/>
      <c r="K741" s="1626"/>
      <c r="L741" s="1626"/>
      <c r="M741" s="1626"/>
      <c r="N741" s="1626"/>
      <c r="O741" s="1626"/>
      <c r="P741" s="1627"/>
      <c r="Q741" s="1627"/>
      <c r="R741" s="1626"/>
      <c r="S741" s="1626"/>
      <c r="T741" s="1626"/>
      <c r="U741" s="1626"/>
      <c r="V741" s="1626"/>
      <c r="W741" s="1626"/>
      <c r="X741" s="1626"/>
      <c r="Y741" s="1626"/>
      <c r="Z741" s="1626"/>
    </row>
    <row r="742" spans="1:26" ht="15.75" customHeight="1" x14ac:dyDescent="0.25">
      <c r="A742" s="1626"/>
      <c r="B742" s="1626"/>
      <c r="C742" s="1626"/>
      <c r="D742" s="1626"/>
      <c r="E742" s="1626"/>
      <c r="F742" s="1626"/>
      <c r="G742" s="1626"/>
      <c r="H742" s="1626"/>
      <c r="I742" s="1626"/>
      <c r="J742" s="1626"/>
      <c r="K742" s="1626"/>
      <c r="L742" s="1626"/>
      <c r="M742" s="1626"/>
      <c r="N742" s="1626"/>
      <c r="O742" s="1626"/>
      <c r="P742" s="1627"/>
      <c r="Q742" s="1627"/>
      <c r="R742" s="1626"/>
      <c r="S742" s="1626"/>
      <c r="T742" s="1626"/>
      <c r="U742" s="1626"/>
      <c r="V742" s="1626"/>
      <c r="W742" s="1626"/>
      <c r="X742" s="1626"/>
      <c r="Y742" s="1626"/>
      <c r="Z742" s="1626"/>
    </row>
    <row r="743" spans="1:26" ht="15.75" customHeight="1" x14ac:dyDescent="0.25">
      <c r="A743" s="1626"/>
      <c r="B743" s="1626"/>
      <c r="C743" s="1626"/>
      <c r="D743" s="1626"/>
      <c r="E743" s="1626"/>
      <c r="F743" s="1626"/>
      <c r="G743" s="1626"/>
      <c r="H743" s="1626"/>
      <c r="I743" s="1626"/>
      <c r="J743" s="1626"/>
      <c r="K743" s="1626"/>
      <c r="L743" s="1626"/>
      <c r="M743" s="1626"/>
      <c r="N743" s="1626"/>
      <c r="O743" s="1626"/>
      <c r="P743" s="1627"/>
      <c r="Q743" s="1627"/>
      <c r="R743" s="1626"/>
      <c r="S743" s="1626"/>
      <c r="T743" s="1626"/>
      <c r="U743" s="1626"/>
      <c r="V743" s="1626"/>
      <c r="W743" s="1626"/>
      <c r="X743" s="1626"/>
      <c r="Y743" s="1626"/>
      <c r="Z743" s="1626"/>
    </row>
    <row r="744" spans="1:26" ht="15.75" customHeight="1" x14ac:dyDescent="0.25">
      <c r="A744" s="1626"/>
      <c r="B744" s="1626"/>
      <c r="C744" s="1626"/>
      <c r="D744" s="1626"/>
      <c r="E744" s="1626"/>
      <c r="F744" s="1626"/>
      <c r="G744" s="1626"/>
      <c r="H744" s="1626"/>
      <c r="I744" s="1626"/>
      <c r="J744" s="1626"/>
      <c r="K744" s="1626"/>
      <c r="L744" s="1626"/>
      <c r="M744" s="1626"/>
      <c r="N744" s="1626"/>
      <c r="O744" s="1626"/>
      <c r="P744" s="1627"/>
      <c r="Q744" s="1627"/>
      <c r="R744" s="1626"/>
      <c r="S744" s="1626"/>
      <c r="T744" s="1626"/>
      <c r="U744" s="1626"/>
      <c r="V744" s="1626"/>
      <c r="W744" s="1626"/>
      <c r="X744" s="1626"/>
      <c r="Y744" s="1626"/>
      <c r="Z744" s="1626"/>
    </row>
    <row r="745" spans="1:26" ht="15.75" customHeight="1" x14ac:dyDescent="0.25">
      <c r="A745" s="1626"/>
      <c r="B745" s="1626"/>
      <c r="C745" s="1626"/>
      <c r="D745" s="1626"/>
      <c r="E745" s="1626"/>
      <c r="F745" s="1626"/>
      <c r="G745" s="1626"/>
      <c r="H745" s="1626"/>
      <c r="I745" s="1626"/>
      <c r="J745" s="1626"/>
      <c r="K745" s="1626"/>
      <c r="L745" s="1626"/>
      <c r="M745" s="1626"/>
      <c r="N745" s="1626"/>
      <c r="O745" s="1626"/>
      <c r="P745" s="1627"/>
      <c r="Q745" s="1627"/>
      <c r="R745" s="1626"/>
      <c r="S745" s="1626"/>
      <c r="T745" s="1626"/>
      <c r="U745" s="1626"/>
      <c r="V745" s="1626"/>
      <c r="W745" s="1626"/>
      <c r="X745" s="1626"/>
      <c r="Y745" s="1626"/>
      <c r="Z745" s="1626"/>
    </row>
    <row r="746" spans="1:26" ht="15.75" customHeight="1" x14ac:dyDescent="0.25">
      <c r="A746" s="1626"/>
      <c r="B746" s="1626"/>
      <c r="C746" s="1626"/>
      <c r="D746" s="1626"/>
      <c r="E746" s="1626"/>
      <c r="F746" s="1626"/>
      <c r="G746" s="1626"/>
      <c r="H746" s="1626"/>
      <c r="I746" s="1626"/>
      <c r="J746" s="1626"/>
      <c r="K746" s="1626"/>
      <c r="L746" s="1626"/>
      <c r="M746" s="1626"/>
      <c r="N746" s="1626"/>
      <c r="O746" s="1626"/>
      <c r="P746" s="1627"/>
      <c r="Q746" s="1627"/>
      <c r="R746" s="1626"/>
      <c r="S746" s="1626"/>
      <c r="T746" s="1626"/>
      <c r="U746" s="1626"/>
      <c r="V746" s="1626"/>
      <c r="W746" s="1626"/>
      <c r="X746" s="1626"/>
      <c r="Y746" s="1626"/>
      <c r="Z746" s="1626"/>
    </row>
    <row r="747" spans="1:26" ht="15.75" customHeight="1" x14ac:dyDescent="0.25">
      <c r="A747" s="1626"/>
      <c r="B747" s="1626"/>
      <c r="C747" s="1626"/>
      <c r="D747" s="1626"/>
      <c r="E747" s="1626"/>
      <c r="F747" s="1626"/>
      <c r="G747" s="1626"/>
      <c r="H747" s="1626"/>
      <c r="I747" s="1626"/>
      <c r="J747" s="1626"/>
      <c r="K747" s="1626"/>
      <c r="L747" s="1626"/>
      <c r="M747" s="1626"/>
      <c r="N747" s="1626"/>
      <c r="O747" s="1626"/>
      <c r="P747" s="1627"/>
      <c r="Q747" s="1627"/>
      <c r="R747" s="1626"/>
      <c r="S747" s="1626"/>
      <c r="T747" s="1626"/>
      <c r="U747" s="1626"/>
      <c r="V747" s="1626"/>
      <c r="W747" s="1626"/>
      <c r="X747" s="1626"/>
      <c r="Y747" s="1626"/>
      <c r="Z747" s="1626"/>
    </row>
    <row r="748" spans="1:26" ht="15.75" customHeight="1" x14ac:dyDescent="0.25">
      <c r="A748" s="1626"/>
      <c r="B748" s="1626"/>
      <c r="C748" s="1626"/>
      <c r="D748" s="1626"/>
      <c r="E748" s="1626"/>
      <c r="F748" s="1626"/>
      <c r="G748" s="1626"/>
      <c r="H748" s="1626"/>
      <c r="I748" s="1626"/>
      <c r="J748" s="1626"/>
      <c r="K748" s="1626"/>
      <c r="L748" s="1626"/>
      <c r="M748" s="1626"/>
      <c r="N748" s="1626"/>
      <c r="O748" s="1626"/>
      <c r="P748" s="1627"/>
      <c r="Q748" s="1627"/>
      <c r="R748" s="1626"/>
      <c r="S748" s="1626"/>
      <c r="T748" s="1626"/>
      <c r="U748" s="1626"/>
      <c r="V748" s="1626"/>
      <c r="W748" s="1626"/>
      <c r="X748" s="1626"/>
      <c r="Y748" s="1626"/>
      <c r="Z748" s="1626"/>
    </row>
    <row r="749" spans="1:26" ht="15.75" customHeight="1" x14ac:dyDescent="0.25">
      <c r="A749" s="1626"/>
      <c r="B749" s="1626"/>
      <c r="C749" s="1626"/>
      <c r="D749" s="1626"/>
      <c r="E749" s="1626"/>
      <c r="F749" s="1626"/>
      <c r="G749" s="1626"/>
      <c r="H749" s="1626"/>
      <c r="I749" s="1626"/>
      <c r="J749" s="1626"/>
      <c r="K749" s="1626"/>
      <c r="L749" s="1626"/>
      <c r="M749" s="1626"/>
      <c r="N749" s="1626"/>
      <c r="O749" s="1626"/>
      <c r="P749" s="1627"/>
      <c r="Q749" s="1627"/>
      <c r="R749" s="1626"/>
      <c r="S749" s="1626"/>
      <c r="T749" s="1626"/>
      <c r="U749" s="1626"/>
      <c r="V749" s="1626"/>
      <c r="W749" s="1626"/>
      <c r="X749" s="1626"/>
      <c r="Y749" s="1626"/>
      <c r="Z749" s="1626"/>
    </row>
    <row r="750" spans="1:26" ht="15.75" customHeight="1" x14ac:dyDescent="0.25">
      <c r="A750" s="1626"/>
      <c r="B750" s="1626"/>
      <c r="C750" s="1626"/>
      <c r="D750" s="1626"/>
      <c r="E750" s="1626"/>
      <c r="F750" s="1626"/>
      <c r="G750" s="1626"/>
      <c r="H750" s="1626"/>
      <c r="I750" s="1626"/>
      <c r="J750" s="1626"/>
      <c r="K750" s="1626"/>
      <c r="L750" s="1626"/>
      <c r="M750" s="1626"/>
      <c r="N750" s="1626"/>
      <c r="O750" s="1626"/>
      <c r="P750" s="1627"/>
      <c r="Q750" s="1627"/>
      <c r="R750" s="1626"/>
      <c r="S750" s="1626"/>
      <c r="T750" s="1626"/>
      <c r="U750" s="1626"/>
      <c r="V750" s="1626"/>
      <c r="W750" s="1626"/>
      <c r="X750" s="1626"/>
      <c r="Y750" s="1626"/>
      <c r="Z750" s="1626"/>
    </row>
    <row r="751" spans="1:26" ht="15.75" customHeight="1" x14ac:dyDescent="0.25">
      <c r="A751" s="1626"/>
      <c r="B751" s="1626"/>
      <c r="C751" s="1626"/>
      <c r="D751" s="1626"/>
      <c r="E751" s="1626"/>
      <c r="F751" s="1626"/>
      <c r="G751" s="1626"/>
      <c r="H751" s="1626"/>
      <c r="I751" s="1626"/>
      <c r="J751" s="1626"/>
      <c r="K751" s="1626"/>
      <c r="L751" s="1626"/>
      <c r="M751" s="1626"/>
      <c r="N751" s="1626"/>
      <c r="O751" s="1626"/>
      <c r="P751" s="1627"/>
      <c r="Q751" s="1627"/>
      <c r="R751" s="1626"/>
      <c r="S751" s="1626"/>
      <c r="T751" s="1626"/>
      <c r="U751" s="1626"/>
      <c r="V751" s="1626"/>
      <c r="W751" s="1626"/>
      <c r="X751" s="1626"/>
      <c r="Y751" s="1626"/>
      <c r="Z751" s="1626"/>
    </row>
    <row r="752" spans="1:26" ht="15.75" customHeight="1" x14ac:dyDescent="0.25">
      <c r="A752" s="1626"/>
      <c r="B752" s="1626"/>
      <c r="C752" s="1626"/>
      <c r="D752" s="1626"/>
      <c r="E752" s="1626"/>
      <c r="F752" s="1626"/>
      <c r="G752" s="1626"/>
      <c r="H752" s="1626"/>
      <c r="I752" s="1626"/>
      <c r="J752" s="1626"/>
      <c r="K752" s="1626"/>
      <c r="L752" s="1626"/>
      <c r="M752" s="1626"/>
      <c r="N752" s="1626"/>
      <c r="O752" s="1626"/>
      <c r="P752" s="1627"/>
      <c r="Q752" s="1627"/>
      <c r="R752" s="1626"/>
      <c r="S752" s="1626"/>
      <c r="T752" s="1626"/>
      <c r="U752" s="1626"/>
      <c r="V752" s="1626"/>
      <c r="W752" s="1626"/>
      <c r="X752" s="1626"/>
      <c r="Y752" s="1626"/>
      <c r="Z752" s="1626"/>
    </row>
    <row r="753" spans="1:26" ht="15.75" customHeight="1" x14ac:dyDescent="0.25">
      <c r="A753" s="1626"/>
      <c r="B753" s="1626"/>
      <c r="C753" s="1626"/>
      <c r="D753" s="1626"/>
      <c r="E753" s="1626"/>
      <c r="F753" s="1626"/>
      <c r="G753" s="1626"/>
      <c r="H753" s="1626"/>
      <c r="I753" s="1626"/>
      <c r="J753" s="1626"/>
      <c r="K753" s="1626"/>
      <c r="L753" s="1626"/>
      <c r="M753" s="1626"/>
      <c r="N753" s="1626"/>
      <c r="O753" s="1626"/>
      <c r="P753" s="1627"/>
      <c r="Q753" s="1627"/>
      <c r="R753" s="1626"/>
      <c r="S753" s="1626"/>
      <c r="T753" s="1626"/>
      <c r="U753" s="1626"/>
      <c r="V753" s="1626"/>
      <c r="W753" s="1626"/>
      <c r="X753" s="1626"/>
      <c r="Y753" s="1626"/>
      <c r="Z753" s="1626"/>
    </row>
    <row r="754" spans="1:26" ht="15.75" customHeight="1" x14ac:dyDescent="0.25">
      <c r="A754" s="1626"/>
      <c r="B754" s="1626"/>
      <c r="C754" s="1626"/>
      <c r="D754" s="1626"/>
      <c r="E754" s="1626"/>
      <c r="F754" s="1626"/>
      <c r="G754" s="1626"/>
      <c r="H754" s="1626"/>
      <c r="I754" s="1626"/>
      <c r="J754" s="1626"/>
      <c r="K754" s="1626"/>
      <c r="L754" s="1626"/>
      <c r="M754" s="1626"/>
      <c r="N754" s="1626"/>
      <c r="O754" s="1626"/>
      <c r="P754" s="1627"/>
      <c r="Q754" s="1627"/>
      <c r="R754" s="1626"/>
      <c r="S754" s="1626"/>
      <c r="T754" s="1626"/>
      <c r="U754" s="1626"/>
      <c r="V754" s="1626"/>
      <c r="W754" s="1626"/>
      <c r="X754" s="1626"/>
      <c r="Y754" s="1626"/>
      <c r="Z754" s="1626"/>
    </row>
    <row r="755" spans="1:26" ht="15.75" customHeight="1" x14ac:dyDescent="0.25">
      <c r="A755" s="1626"/>
      <c r="B755" s="1626"/>
      <c r="C755" s="1626"/>
      <c r="D755" s="1626"/>
      <c r="E755" s="1626"/>
      <c r="F755" s="1626"/>
      <c r="G755" s="1626"/>
      <c r="H755" s="1626"/>
      <c r="I755" s="1626"/>
      <c r="J755" s="1626"/>
      <c r="K755" s="1626"/>
      <c r="L755" s="1626"/>
      <c r="M755" s="1626"/>
      <c r="N755" s="1626"/>
      <c r="O755" s="1626"/>
      <c r="P755" s="1627"/>
      <c r="Q755" s="1627"/>
      <c r="R755" s="1626"/>
      <c r="S755" s="1626"/>
      <c r="T755" s="1626"/>
      <c r="U755" s="1626"/>
      <c r="V755" s="1626"/>
      <c r="W755" s="1626"/>
      <c r="X755" s="1626"/>
      <c r="Y755" s="1626"/>
      <c r="Z755" s="1626"/>
    </row>
    <row r="756" spans="1:26" ht="15.75" customHeight="1" x14ac:dyDescent="0.25">
      <c r="A756" s="1626"/>
      <c r="B756" s="1626"/>
      <c r="C756" s="1626"/>
      <c r="D756" s="1626"/>
      <c r="E756" s="1626"/>
      <c r="F756" s="1626"/>
      <c r="G756" s="1626"/>
      <c r="H756" s="1626"/>
      <c r="I756" s="1626"/>
      <c r="J756" s="1626"/>
      <c r="K756" s="1626"/>
      <c r="L756" s="1626"/>
      <c r="M756" s="1626"/>
      <c r="N756" s="1626"/>
      <c r="O756" s="1626"/>
      <c r="P756" s="1627"/>
      <c r="Q756" s="1627"/>
      <c r="R756" s="1626"/>
      <c r="S756" s="1626"/>
      <c r="T756" s="1626"/>
      <c r="U756" s="1626"/>
      <c r="V756" s="1626"/>
      <c r="W756" s="1626"/>
      <c r="X756" s="1626"/>
      <c r="Y756" s="1626"/>
      <c r="Z756" s="1626"/>
    </row>
    <row r="757" spans="1:26" ht="15.75" customHeight="1" x14ac:dyDescent="0.25">
      <c r="A757" s="1626"/>
      <c r="B757" s="1626"/>
      <c r="C757" s="1626"/>
      <c r="D757" s="1626"/>
      <c r="E757" s="1626"/>
      <c r="F757" s="1626"/>
      <c r="G757" s="1626"/>
      <c r="H757" s="1626"/>
      <c r="I757" s="1626"/>
      <c r="J757" s="1626"/>
      <c r="K757" s="1626"/>
      <c r="L757" s="1626"/>
      <c r="M757" s="1626"/>
      <c r="N757" s="1626"/>
      <c r="O757" s="1626"/>
      <c r="P757" s="1627"/>
      <c r="Q757" s="1627"/>
      <c r="R757" s="1626"/>
      <c r="S757" s="1626"/>
      <c r="T757" s="1626"/>
      <c r="U757" s="1626"/>
      <c r="V757" s="1626"/>
      <c r="W757" s="1626"/>
      <c r="X757" s="1626"/>
      <c r="Y757" s="1626"/>
      <c r="Z757" s="1626"/>
    </row>
    <row r="758" spans="1:26" ht="15.75" customHeight="1" x14ac:dyDescent="0.25">
      <c r="A758" s="1626"/>
      <c r="B758" s="1626"/>
      <c r="C758" s="1626"/>
      <c r="D758" s="1626"/>
      <c r="E758" s="1626"/>
      <c r="F758" s="1626"/>
      <c r="G758" s="1626"/>
      <c r="H758" s="1626"/>
      <c r="I758" s="1626"/>
      <c r="J758" s="1626"/>
      <c r="K758" s="1626"/>
      <c r="L758" s="1626"/>
      <c r="M758" s="1626"/>
      <c r="N758" s="1626"/>
      <c r="O758" s="1626"/>
      <c r="P758" s="1627"/>
      <c r="Q758" s="1627"/>
      <c r="R758" s="1626"/>
      <c r="S758" s="1626"/>
      <c r="T758" s="1626"/>
      <c r="U758" s="1626"/>
      <c r="V758" s="1626"/>
      <c r="W758" s="1626"/>
      <c r="X758" s="1626"/>
      <c r="Y758" s="1626"/>
      <c r="Z758" s="1626"/>
    </row>
    <row r="759" spans="1:26" ht="15.75" customHeight="1" x14ac:dyDescent="0.25">
      <c r="A759" s="1626"/>
      <c r="B759" s="1626"/>
      <c r="C759" s="1626"/>
      <c r="D759" s="1626"/>
      <c r="E759" s="1626"/>
      <c r="F759" s="1626"/>
      <c r="G759" s="1626"/>
      <c r="H759" s="1626"/>
      <c r="I759" s="1626"/>
      <c r="J759" s="1626"/>
      <c r="K759" s="1626"/>
      <c r="L759" s="1626"/>
      <c r="M759" s="1626"/>
      <c r="N759" s="1626"/>
      <c r="O759" s="1626"/>
      <c r="P759" s="1627"/>
      <c r="Q759" s="1627"/>
      <c r="R759" s="1626"/>
      <c r="S759" s="1626"/>
      <c r="T759" s="1626"/>
      <c r="U759" s="1626"/>
      <c r="V759" s="1626"/>
      <c r="W759" s="1626"/>
      <c r="X759" s="1626"/>
      <c r="Y759" s="1626"/>
      <c r="Z759" s="1626"/>
    </row>
    <row r="760" spans="1:26" ht="15.75" customHeight="1" x14ac:dyDescent="0.25">
      <c r="A760" s="1626"/>
      <c r="B760" s="1626"/>
      <c r="C760" s="1626"/>
      <c r="D760" s="1626"/>
      <c r="E760" s="1626"/>
      <c r="F760" s="1626"/>
      <c r="G760" s="1626"/>
      <c r="H760" s="1626"/>
      <c r="I760" s="1626"/>
      <c r="J760" s="1626"/>
      <c r="K760" s="1626"/>
      <c r="L760" s="1626"/>
      <c r="M760" s="1626"/>
      <c r="N760" s="1626"/>
      <c r="O760" s="1626"/>
      <c r="P760" s="1627"/>
      <c r="Q760" s="1627"/>
      <c r="R760" s="1626"/>
      <c r="S760" s="1626"/>
      <c r="T760" s="1626"/>
      <c r="U760" s="1626"/>
      <c r="V760" s="1626"/>
      <c r="W760" s="1626"/>
      <c r="X760" s="1626"/>
      <c r="Y760" s="1626"/>
      <c r="Z760" s="1626"/>
    </row>
    <row r="761" spans="1:26" ht="15.75" customHeight="1" x14ac:dyDescent="0.25">
      <c r="A761" s="1626"/>
      <c r="B761" s="1626"/>
      <c r="C761" s="1626"/>
      <c r="D761" s="1626"/>
      <c r="E761" s="1626"/>
      <c r="F761" s="1626"/>
      <c r="G761" s="1626"/>
      <c r="H761" s="1626"/>
      <c r="I761" s="1626"/>
      <c r="J761" s="1626"/>
      <c r="K761" s="1626"/>
      <c r="L761" s="1626"/>
      <c r="M761" s="1626"/>
      <c r="N761" s="1626"/>
      <c r="O761" s="1626"/>
      <c r="P761" s="1627"/>
      <c r="Q761" s="1627"/>
      <c r="R761" s="1626"/>
      <c r="S761" s="1626"/>
      <c r="T761" s="1626"/>
      <c r="U761" s="1626"/>
      <c r="V761" s="1626"/>
      <c r="W761" s="1626"/>
      <c r="X761" s="1626"/>
      <c r="Y761" s="1626"/>
      <c r="Z761" s="1626"/>
    </row>
    <row r="762" spans="1:26" ht="15.75" customHeight="1" x14ac:dyDescent="0.25">
      <c r="A762" s="1626"/>
      <c r="B762" s="1626"/>
      <c r="C762" s="1626"/>
      <c r="D762" s="1626"/>
      <c r="E762" s="1626"/>
      <c r="F762" s="1626"/>
      <c r="G762" s="1626"/>
      <c r="H762" s="1626"/>
      <c r="I762" s="1626"/>
      <c r="J762" s="1626"/>
      <c r="K762" s="1626"/>
      <c r="L762" s="1626"/>
      <c r="M762" s="1626"/>
      <c r="N762" s="1626"/>
      <c r="O762" s="1626"/>
      <c r="P762" s="1627"/>
      <c r="Q762" s="1627"/>
      <c r="R762" s="1626"/>
      <c r="S762" s="1626"/>
      <c r="T762" s="1626"/>
      <c r="U762" s="1626"/>
      <c r="V762" s="1626"/>
      <c r="W762" s="1626"/>
      <c r="X762" s="1626"/>
      <c r="Y762" s="1626"/>
      <c r="Z762" s="1626"/>
    </row>
    <row r="763" spans="1:26" ht="15.75" customHeight="1" x14ac:dyDescent="0.25">
      <c r="A763" s="1626"/>
      <c r="B763" s="1626"/>
      <c r="C763" s="1626"/>
      <c r="D763" s="1626"/>
      <c r="E763" s="1626"/>
      <c r="F763" s="1626"/>
      <c r="G763" s="1626"/>
      <c r="H763" s="1626"/>
      <c r="I763" s="1626"/>
      <c r="J763" s="1626"/>
      <c r="K763" s="1626"/>
      <c r="L763" s="1626"/>
      <c r="M763" s="1626"/>
      <c r="N763" s="1626"/>
      <c r="O763" s="1626"/>
      <c r="P763" s="1627"/>
      <c r="Q763" s="1627"/>
      <c r="R763" s="1626"/>
      <c r="S763" s="1626"/>
      <c r="T763" s="1626"/>
      <c r="U763" s="1626"/>
      <c r="V763" s="1626"/>
      <c r="W763" s="1626"/>
      <c r="X763" s="1626"/>
      <c r="Y763" s="1626"/>
      <c r="Z763" s="1626"/>
    </row>
    <row r="764" spans="1:26" ht="15.75" customHeight="1" x14ac:dyDescent="0.25">
      <c r="A764" s="1626"/>
      <c r="B764" s="1626"/>
      <c r="C764" s="1626"/>
      <c r="D764" s="1626"/>
      <c r="E764" s="1626"/>
      <c r="F764" s="1626"/>
      <c r="G764" s="1626"/>
      <c r="H764" s="1626"/>
      <c r="I764" s="1626"/>
      <c r="J764" s="1626"/>
      <c r="K764" s="1626"/>
      <c r="L764" s="1626"/>
      <c r="M764" s="1626"/>
      <c r="N764" s="1626"/>
      <c r="O764" s="1626"/>
      <c r="P764" s="1627"/>
      <c r="Q764" s="1627"/>
      <c r="R764" s="1626"/>
      <c r="S764" s="1626"/>
      <c r="T764" s="1626"/>
      <c r="U764" s="1626"/>
      <c r="V764" s="1626"/>
      <c r="W764" s="1626"/>
      <c r="X764" s="1626"/>
      <c r="Y764" s="1626"/>
      <c r="Z764" s="1626"/>
    </row>
    <row r="765" spans="1:26" ht="15.75" customHeight="1" x14ac:dyDescent="0.25">
      <c r="A765" s="1626"/>
      <c r="B765" s="1626"/>
      <c r="C765" s="1626"/>
      <c r="D765" s="1626"/>
      <c r="E765" s="1626"/>
      <c r="F765" s="1626"/>
      <c r="G765" s="1626"/>
      <c r="H765" s="1626"/>
      <c r="I765" s="1626"/>
      <c r="J765" s="1626"/>
      <c r="K765" s="1626"/>
      <c r="L765" s="1626"/>
      <c r="M765" s="1626"/>
      <c r="N765" s="1626"/>
      <c r="O765" s="1626"/>
      <c r="P765" s="1627"/>
      <c r="Q765" s="1627"/>
      <c r="R765" s="1626"/>
      <c r="S765" s="1626"/>
      <c r="T765" s="1626"/>
      <c r="U765" s="1626"/>
      <c r="V765" s="1626"/>
      <c r="W765" s="1626"/>
      <c r="X765" s="1626"/>
      <c r="Y765" s="1626"/>
      <c r="Z765" s="1626"/>
    </row>
    <row r="766" spans="1:26" ht="15.75" customHeight="1" x14ac:dyDescent="0.25">
      <c r="A766" s="1626"/>
      <c r="B766" s="1626"/>
      <c r="C766" s="1626"/>
      <c r="D766" s="1626"/>
      <c r="E766" s="1626"/>
      <c r="F766" s="1626"/>
      <c r="G766" s="1626"/>
      <c r="H766" s="1626"/>
      <c r="I766" s="1626"/>
      <c r="J766" s="1626"/>
      <c r="K766" s="1626"/>
      <c r="L766" s="1626"/>
      <c r="M766" s="1626"/>
      <c r="N766" s="1626"/>
      <c r="O766" s="1626"/>
      <c r="P766" s="1627"/>
      <c r="Q766" s="1627"/>
      <c r="R766" s="1626"/>
      <c r="S766" s="1626"/>
      <c r="T766" s="1626"/>
      <c r="U766" s="1626"/>
      <c r="V766" s="1626"/>
      <c r="W766" s="1626"/>
      <c r="X766" s="1626"/>
      <c r="Y766" s="1626"/>
      <c r="Z766" s="1626"/>
    </row>
    <row r="767" spans="1:26" ht="15.75" customHeight="1" x14ac:dyDescent="0.25">
      <c r="A767" s="1626"/>
      <c r="B767" s="1626"/>
      <c r="C767" s="1626"/>
      <c r="D767" s="1626"/>
      <c r="E767" s="1626"/>
      <c r="F767" s="1626"/>
      <c r="G767" s="1626"/>
      <c r="H767" s="1626"/>
      <c r="I767" s="1626"/>
      <c r="J767" s="1626"/>
      <c r="K767" s="1626"/>
      <c r="L767" s="1626"/>
      <c r="M767" s="1626"/>
      <c r="N767" s="1626"/>
      <c r="O767" s="1626"/>
      <c r="P767" s="1627"/>
      <c r="Q767" s="1627"/>
      <c r="R767" s="1626"/>
      <c r="S767" s="1626"/>
      <c r="T767" s="1626"/>
      <c r="U767" s="1626"/>
      <c r="V767" s="1626"/>
      <c r="W767" s="1626"/>
      <c r="X767" s="1626"/>
      <c r="Y767" s="1626"/>
      <c r="Z767" s="1626"/>
    </row>
    <row r="768" spans="1:26" ht="15.75" customHeight="1" x14ac:dyDescent="0.25">
      <c r="A768" s="1626"/>
      <c r="B768" s="1626"/>
      <c r="C768" s="1626"/>
      <c r="D768" s="1626"/>
      <c r="E768" s="1626"/>
      <c r="F768" s="1626"/>
      <c r="G768" s="1626"/>
      <c r="H768" s="1626"/>
      <c r="I768" s="1626"/>
      <c r="J768" s="1626"/>
      <c r="K768" s="1626"/>
      <c r="L768" s="1626"/>
      <c r="M768" s="1626"/>
      <c r="N768" s="1626"/>
      <c r="O768" s="1626"/>
      <c r="P768" s="1627"/>
      <c r="Q768" s="1627"/>
      <c r="R768" s="1626"/>
      <c r="S768" s="1626"/>
      <c r="T768" s="1626"/>
      <c r="U768" s="1626"/>
      <c r="V768" s="1626"/>
      <c r="W768" s="1626"/>
      <c r="X768" s="1626"/>
      <c r="Y768" s="1626"/>
      <c r="Z768" s="1626"/>
    </row>
    <row r="769" spans="1:26" ht="15.75" customHeight="1" x14ac:dyDescent="0.25">
      <c r="A769" s="1626"/>
      <c r="B769" s="1626"/>
      <c r="C769" s="1626"/>
      <c r="D769" s="1626"/>
      <c r="E769" s="1626"/>
      <c r="F769" s="1626"/>
      <c r="G769" s="1626"/>
      <c r="H769" s="1626"/>
      <c r="I769" s="1626"/>
      <c r="J769" s="1626"/>
      <c r="K769" s="1626"/>
      <c r="L769" s="1626"/>
      <c r="M769" s="1626"/>
      <c r="N769" s="1626"/>
      <c r="O769" s="1626"/>
      <c r="P769" s="1627"/>
      <c r="Q769" s="1627"/>
      <c r="R769" s="1626"/>
      <c r="S769" s="1626"/>
      <c r="T769" s="1626"/>
      <c r="U769" s="1626"/>
      <c r="V769" s="1626"/>
      <c r="W769" s="1626"/>
      <c r="X769" s="1626"/>
      <c r="Y769" s="1626"/>
      <c r="Z769" s="1626"/>
    </row>
    <row r="770" spans="1:26" ht="15.75" customHeight="1" x14ac:dyDescent="0.25">
      <c r="A770" s="1626"/>
      <c r="B770" s="1626"/>
      <c r="C770" s="1626"/>
      <c r="D770" s="1626"/>
      <c r="E770" s="1626"/>
      <c r="F770" s="1626"/>
      <c r="G770" s="1626"/>
      <c r="H770" s="1626"/>
      <c r="I770" s="1626"/>
      <c r="J770" s="1626"/>
      <c r="K770" s="1626"/>
      <c r="L770" s="1626"/>
      <c r="M770" s="1626"/>
      <c r="N770" s="1626"/>
      <c r="O770" s="1626"/>
      <c r="P770" s="1627"/>
      <c r="Q770" s="1627"/>
      <c r="R770" s="1626"/>
      <c r="S770" s="1626"/>
      <c r="T770" s="1626"/>
      <c r="U770" s="1626"/>
      <c r="V770" s="1626"/>
      <c r="W770" s="1626"/>
      <c r="X770" s="1626"/>
      <c r="Y770" s="1626"/>
      <c r="Z770" s="1626"/>
    </row>
    <row r="771" spans="1:26" ht="15.75" customHeight="1" x14ac:dyDescent="0.25">
      <c r="A771" s="1626"/>
      <c r="B771" s="1626"/>
      <c r="C771" s="1626"/>
      <c r="D771" s="1626"/>
      <c r="E771" s="1626"/>
      <c r="F771" s="1626"/>
      <c r="G771" s="1626"/>
      <c r="H771" s="1626"/>
      <c r="I771" s="1626"/>
      <c r="J771" s="1626"/>
      <c r="K771" s="1626"/>
      <c r="L771" s="1626"/>
      <c r="M771" s="1626"/>
      <c r="N771" s="1626"/>
      <c r="O771" s="1626"/>
      <c r="P771" s="1627"/>
      <c r="Q771" s="1627"/>
      <c r="R771" s="1626"/>
      <c r="S771" s="1626"/>
      <c r="T771" s="1626"/>
      <c r="U771" s="1626"/>
      <c r="V771" s="1626"/>
      <c r="W771" s="1626"/>
      <c r="X771" s="1626"/>
      <c r="Y771" s="1626"/>
      <c r="Z771" s="1626"/>
    </row>
    <row r="772" spans="1:26" ht="15.75" customHeight="1" x14ac:dyDescent="0.25">
      <c r="A772" s="1626"/>
      <c r="B772" s="1626"/>
      <c r="C772" s="1626"/>
      <c r="D772" s="1626"/>
      <c r="E772" s="1626"/>
      <c r="F772" s="1626"/>
      <c r="G772" s="1626"/>
      <c r="H772" s="1626"/>
      <c r="I772" s="1626"/>
      <c r="J772" s="1626"/>
      <c r="K772" s="1626"/>
      <c r="L772" s="1626"/>
      <c r="M772" s="1626"/>
      <c r="N772" s="1626"/>
      <c r="O772" s="1626"/>
      <c r="P772" s="1627"/>
      <c r="Q772" s="1627"/>
      <c r="R772" s="1626"/>
      <c r="S772" s="1626"/>
      <c r="T772" s="1626"/>
      <c r="U772" s="1626"/>
      <c r="V772" s="1626"/>
      <c r="W772" s="1626"/>
      <c r="X772" s="1626"/>
      <c r="Y772" s="1626"/>
      <c r="Z772" s="1626"/>
    </row>
    <row r="773" spans="1:26" ht="15.75" customHeight="1" x14ac:dyDescent="0.25">
      <c r="A773" s="1626"/>
      <c r="B773" s="1626"/>
      <c r="C773" s="1626"/>
      <c r="D773" s="1626"/>
      <c r="E773" s="1626"/>
      <c r="F773" s="1626"/>
      <c r="G773" s="1626"/>
      <c r="H773" s="1626"/>
      <c r="I773" s="1626"/>
      <c r="J773" s="1626"/>
      <c r="K773" s="1626"/>
      <c r="L773" s="1626"/>
      <c r="M773" s="1626"/>
      <c r="N773" s="1626"/>
      <c r="O773" s="1626"/>
      <c r="P773" s="1627"/>
      <c r="Q773" s="1627"/>
      <c r="R773" s="1626"/>
      <c r="S773" s="1626"/>
      <c r="T773" s="1626"/>
      <c r="U773" s="1626"/>
      <c r="V773" s="1626"/>
      <c r="W773" s="1626"/>
      <c r="X773" s="1626"/>
      <c r="Y773" s="1626"/>
      <c r="Z773" s="1626"/>
    </row>
    <row r="774" spans="1:26" ht="15.75" customHeight="1" x14ac:dyDescent="0.25">
      <c r="A774" s="1626"/>
      <c r="B774" s="1626"/>
      <c r="C774" s="1626"/>
      <c r="D774" s="1626"/>
      <c r="E774" s="1626"/>
      <c r="F774" s="1626"/>
      <c r="G774" s="1626"/>
      <c r="H774" s="1626"/>
      <c r="I774" s="1626"/>
      <c r="J774" s="1626"/>
      <c r="K774" s="1626"/>
      <c r="L774" s="1626"/>
      <c r="M774" s="1626"/>
      <c r="N774" s="1626"/>
      <c r="O774" s="1626"/>
      <c r="P774" s="1627"/>
      <c r="Q774" s="1627"/>
      <c r="R774" s="1626"/>
      <c r="S774" s="1626"/>
      <c r="T774" s="1626"/>
      <c r="U774" s="1626"/>
      <c r="V774" s="1626"/>
      <c r="W774" s="1626"/>
      <c r="X774" s="1626"/>
      <c r="Y774" s="1626"/>
      <c r="Z774" s="1626"/>
    </row>
    <row r="775" spans="1:26" ht="15.75" customHeight="1" x14ac:dyDescent="0.25">
      <c r="A775" s="1626"/>
      <c r="B775" s="1626"/>
      <c r="C775" s="1626"/>
      <c r="D775" s="1626"/>
      <c r="E775" s="1626"/>
      <c r="F775" s="1626"/>
      <c r="G775" s="1626"/>
      <c r="H775" s="1626"/>
      <c r="I775" s="1626"/>
      <c r="J775" s="1626"/>
      <c r="K775" s="1626"/>
      <c r="L775" s="1626"/>
      <c r="M775" s="1626"/>
      <c r="N775" s="1626"/>
      <c r="O775" s="1626"/>
      <c r="P775" s="1627"/>
      <c r="Q775" s="1627"/>
      <c r="R775" s="1626"/>
      <c r="S775" s="1626"/>
      <c r="T775" s="1626"/>
      <c r="U775" s="1626"/>
      <c r="V775" s="1626"/>
      <c r="W775" s="1626"/>
      <c r="X775" s="1626"/>
      <c r="Y775" s="1626"/>
      <c r="Z775" s="1626"/>
    </row>
    <row r="776" spans="1:26" ht="15.75" customHeight="1" x14ac:dyDescent="0.25">
      <c r="A776" s="1626"/>
      <c r="B776" s="1626"/>
      <c r="C776" s="1626"/>
      <c r="D776" s="1626"/>
      <c r="E776" s="1626"/>
      <c r="F776" s="1626"/>
      <c r="G776" s="1626"/>
      <c r="H776" s="1626"/>
      <c r="I776" s="1626"/>
      <c r="J776" s="1626"/>
      <c r="K776" s="1626"/>
      <c r="L776" s="1626"/>
      <c r="M776" s="1626"/>
      <c r="N776" s="1626"/>
      <c r="O776" s="1626"/>
      <c r="P776" s="1627"/>
      <c r="Q776" s="1627"/>
      <c r="R776" s="1626"/>
      <c r="S776" s="1626"/>
      <c r="T776" s="1626"/>
      <c r="U776" s="1626"/>
      <c r="V776" s="1626"/>
      <c r="W776" s="1626"/>
      <c r="X776" s="1626"/>
      <c r="Y776" s="1626"/>
      <c r="Z776" s="1626"/>
    </row>
    <row r="777" spans="1:26" ht="15.75" customHeight="1" x14ac:dyDescent="0.25">
      <c r="A777" s="1626"/>
      <c r="B777" s="1626"/>
      <c r="C777" s="1626"/>
      <c r="D777" s="1626"/>
      <c r="E777" s="1626"/>
      <c r="F777" s="1626"/>
      <c r="G777" s="1626"/>
      <c r="H777" s="1626"/>
      <c r="I777" s="1626"/>
      <c r="J777" s="1626"/>
      <c r="K777" s="1626"/>
      <c r="L777" s="1626"/>
      <c r="M777" s="1626"/>
      <c r="N777" s="1626"/>
      <c r="O777" s="1626"/>
      <c r="P777" s="1627"/>
      <c r="Q777" s="1627"/>
      <c r="R777" s="1626"/>
      <c r="S777" s="1626"/>
      <c r="T777" s="1626"/>
      <c r="U777" s="1626"/>
      <c r="V777" s="1626"/>
      <c r="W777" s="1626"/>
      <c r="X777" s="1626"/>
      <c r="Y777" s="1626"/>
      <c r="Z777" s="1626"/>
    </row>
    <row r="778" spans="1:26" ht="15.75" customHeight="1" x14ac:dyDescent="0.25">
      <c r="A778" s="1626"/>
      <c r="B778" s="1626"/>
      <c r="C778" s="1626"/>
      <c r="D778" s="1626"/>
      <c r="E778" s="1626"/>
      <c r="F778" s="1626"/>
      <c r="G778" s="1626"/>
      <c r="H778" s="1626"/>
      <c r="I778" s="1626"/>
      <c r="J778" s="1626"/>
      <c r="K778" s="1626"/>
      <c r="L778" s="1626"/>
      <c r="M778" s="1626"/>
      <c r="N778" s="1626"/>
      <c r="O778" s="1626"/>
      <c r="P778" s="1627"/>
      <c r="Q778" s="1627"/>
      <c r="R778" s="1626"/>
      <c r="S778" s="1626"/>
      <c r="T778" s="1626"/>
      <c r="U778" s="1626"/>
      <c r="V778" s="1626"/>
      <c r="W778" s="1626"/>
      <c r="X778" s="1626"/>
      <c r="Y778" s="1626"/>
      <c r="Z778" s="1626"/>
    </row>
    <row r="779" spans="1:26" ht="15.75" customHeight="1" x14ac:dyDescent="0.25">
      <c r="A779" s="1626"/>
      <c r="B779" s="1626"/>
      <c r="C779" s="1626"/>
      <c r="D779" s="1626"/>
      <c r="E779" s="1626"/>
      <c r="F779" s="1626"/>
      <c r="G779" s="1626"/>
      <c r="H779" s="1626"/>
      <c r="I779" s="1626"/>
      <c r="J779" s="1626"/>
      <c r="K779" s="1626"/>
      <c r="L779" s="1626"/>
      <c r="M779" s="1626"/>
      <c r="N779" s="1626"/>
      <c r="O779" s="1626"/>
      <c r="P779" s="1627"/>
      <c r="Q779" s="1627"/>
      <c r="R779" s="1626"/>
      <c r="S779" s="1626"/>
      <c r="T779" s="1626"/>
      <c r="U779" s="1626"/>
      <c r="V779" s="1626"/>
      <c r="W779" s="1626"/>
      <c r="X779" s="1626"/>
      <c r="Y779" s="1626"/>
      <c r="Z779" s="1626"/>
    </row>
    <row r="780" spans="1:26" ht="15.75" customHeight="1" x14ac:dyDescent="0.25">
      <c r="A780" s="1626"/>
      <c r="B780" s="1626"/>
      <c r="C780" s="1626"/>
      <c r="D780" s="1626"/>
      <c r="E780" s="1626"/>
      <c r="F780" s="1626"/>
      <c r="G780" s="1626"/>
      <c r="H780" s="1626"/>
      <c r="I780" s="1626"/>
      <c r="J780" s="1626"/>
      <c r="K780" s="1626"/>
      <c r="L780" s="1626"/>
      <c r="M780" s="1626"/>
      <c r="N780" s="1626"/>
      <c r="O780" s="1626"/>
      <c r="P780" s="1627"/>
      <c r="Q780" s="1627"/>
      <c r="R780" s="1626"/>
      <c r="S780" s="1626"/>
      <c r="T780" s="1626"/>
      <c r="U780" s="1626"/>
      <c r="V780" s="1626"/>
      <c r="W780" s="1626"/>
      <c r="X780" s="1626"/>
      <c r="Y780" s="1626"/>
      <c r="Z780" s="1626"/>
    </row>
    <row r="781" spans="1:26" ht="15.75" customHeight="1" x14ac:dyDescent="0.25">
      <c r="A781" s="1626"/>
      <c r="B781" s="1626"/>
      <c r="C781" s="1626"/>
      <c r="D781" s="1626"/>
      <c r="E781" s="1626"/>
      <c r="F781" s="1626"/>
      <c r="G781" s="1626"/>
      <c r="H781" s="1626"/>
      <c r="I781" s="1626"/>
      <c r="J781" s="1626"/>
      <c r="K781" s="1626"/>
      <c r="L781" s="1626"/>
      <c r="M781" s="1626"/>
      <c r="N781" s="1626"/>
      <c r="O781" s="1626"/>
      <c r="P781" s="1627"/>
      <c r="Q781" s="1627"/>
      <c r="R781" s="1626"/>
      <c r="S781" s="1626"/>
      <c r="T781" s="1626"/>
      <c r="U781" s="1626"/>
      <c r="V781" s="1626"/>
      <c r="W781" s="1626"/>
      <c r="X781" s="1626"/>
      <c r="Y781" s="1626"/>
      <c r="Z781" s="1626"/>
    </row>
    <row r="782" spans="1:26" ht="15.75" customHeight="1" x14ac:dyDescent="0.25">
      <c r="A782" s="1626"/>
      <c r="B782" s="1626"/>
      <c r="C782" s="1626"/>
      <c r="D782" s="1626"/>
      <c r="E782" s="1626"/>
      <c r="F782" s="1626"/>
      <c r="G782" s="1626"/>
      <c r="H782" s="1626"/>
      <c r="I782" s="1626"/>
      <c r="J782" s="1626"/>
      <c r="K782" s="1626"/>
      <c r="L782" s="1626"/>
      <c r="M782" s="1626"/>
      <c r="N782" s="1626"/>
      <c r="O782" s="1626"/>
      <c r="P782" s="1627"/>
      <c r="Q782" s="1627"/>
      <c r="R782" s="1626"/>
      <c r="S782" s="1626"/>
      <c r="T782" s="1626"/>
      <c r="U782" s="1626"/>
      <c r="V782" s="1626"/>
      <c r="W782" s="1626"/>
      <c r="X782" s="1626"/>
      <c r="Y782" s="1626"/>
      <c r="Z782" s="1626"/>
    </row>
    <row r="783" spans="1:26" ht="15.75" customHeight="1" x14ac:dyDescent="0.25">
      <c r="A783" s="1626"/>
      <c r="B783" s="1626"/>
      <c r="C783" s="1626"/>
      <c r="D783" s="1626"/>
      <c r="E783" s="1626"/>
      <c r="F783" s="1626"/>
      <c r="G783" s="1626"/>
      <c r="H783" s="1626"/>
      <c r="I783" s="1626"/>
      <c r="J783" s="1626"/>
      <c r="K783" s="1626"/>
      <c r="L783" s="1626"/>
      <c r="M783" s="1626"/>
      <c r="N783" s="1626"/>
      <c r="O783" s="1626"/>
      <c r="P783" s="1627"/>
      <c r="Q783" s="1627"/>
      <c r="R783" s="1626"/>
      <c r="S783" s="1626"/>
      <c r="T783" s="1626"/>
      <c r="U783" s="1626"/>
      <c r="V783" s="1626"/>
      <c r="W783" s="1626"/>
      <c r="X783" s="1626"/>
      <c r="Y783" s="1626"/>
      <c r="Z783" s="1626"/>
    </row>
    <row r="784" spans="1:26" ht="15.75" customHeight="1" x14ac:dyDescent="0.25">
      <c r="A784" s="1626"/>
      <c r="B784" s="1626"/>
      <c r="C784" s="1626"/>
      <c r="D784" s="1626"/>
      <c r="E784" s="1626"/>
      <c r="F784" s="1626"/>
      <c r="G784" s="1626"/>
      <c r="H784" s="1626"/>
      <c r="I784" s="1626"/>
      <c r="J784" s="1626"/>
      <c r="K784" s="1626"/>
      <c r="L784" s="1626"/>
      <c r="M784" s="1626"/>
      <c r="N784" s="1626"/>
      <c r="O784" s="1626"/>
      <c r="P784" s="1627"/>
      <c r="Q784" s="1627"/>
      <c r="R784" s="1626"/>
      <c r="S784" s="1626"/>
      <c r="T784" s="1626"/>
      <c r="U784" s="1626"/>
      <c r="V784" s="1626"/>
      <c r="W784" s="1626"/>
      <c r="X784" s="1626"/>
      <c r="Y784" s="1626"/>
      <c r="Z784" s="1626"/>
    </row>
    <row r="785" spans="1:26" ht="15.75" customHeight="1" x14ac:dyDescent="0.25">
      <c r="A785" s="1626"/>
      <c r="B785" s="1626"/>
      <c r="C785" s="1626"/>
      <c r="D785" s="1626"/>
      <c r="E785" s="1626"/>
      <c r="F785" s="1626"/>
      <c r="G785" s="1626"/>
      <c r="H785" s="1626"/>
      <c r="I785" s="1626"/>
      <c r="J785" s="1626"/>
      <c r="K785" s="1626"/>
      <c r="L785" s="1626"/>
      <c r="M785" s="1626"/>
      <c r="N785" s="1626"/>
      <c r="O785" s="1626"/>
      <c r="P785" s="1627"/>
      <c r="Q785" s="1627"/>
      <c r="R785" s="1626"/>
      <c r="S785" s="1626"/>
      <c r="T785" s="1626"/>
      <c r="U785" s="1626"/>
      <c r="V785" s="1626"/>
      <c r="W785" s="1626"/>
      <c r="X785" s="1626"/>
      <c r="Y785" s="1626"/>
      <c r="Z785" s="1626"/>
    </row>
    <row r="786" spans="1:26" ht="15.75" customHeight="1" x14ac:dyDescent="0.25">
      <c r="A786" s="1626"/>
      <c r="B786" s="1626"/>
      <c r="C786" s="1626"/>
      <c r="D786" s="1626"/>
      <c r="E786" s="1626"/>
      <c r="F786" s="1626"/>
      <c r="G786" s="1626"/>
      <c r="H786" s="1626"/>
      <c r="I786" s="1626"/>
      <c r="J786" s="1626"/>
      <c r="K786" s="1626"/>
      <c r="L786" s="1626"/>
      <c r="M786" s="1626"/>
      <c r="N786" s="1626"/>
      <c r="O786" s="1626"/>
      <c r="P786" s="1627"/>
      <c r="Q786" s="1627"/>
      <c r="R786" s="1626"/>
      <c r="S786" s="1626"/>
      <c r="T786" s="1626"/>
      <c r="U786" s="1626"/>
      <c r="V786" s="1626"/>
      <c r="W786" s="1626"/>
      <c r="X786" s="1626"/>
      <c r="Y786" s="1626"/>
      <c r="Z786" s="1626"/>
    </row>
    <row r="787" spans="1:26" ht="15.75" customHeight="1" x14ac:dyDescent="0.25">
      <c r="A787" s="1626"/>
      <c r="B787" s="1626"/>
      <c r="C787" s="1626"/>
      <c r="D787" s="1626"/>
      <c r="E787" s="1626"/>
      <c r="F787" s="1626"/>
      <c r="G787" s="1626"/>
      <c r="H787" s="1626"/>
      <c r="I787" s="1626"/>
      <c r="J787" s="1626"/>
      <c r="K787" s="1626"/>
      <c r="L787" s="1626"/>
      <c r="M787" s="1626"/>
      <c r="N787" s="1626"/>
      <c r="O787" s="1626"/>
      <c r="P787" s="1627"/>
      <c r="Q787" s="1627"/>
      <c r="R787" s="1626"/>
      <c r="S787" s="1626"/>
      <c r="T787" s="1626"/>
      <c r="U787" s="1626"/>
      <c r="V787" s="1626"/>
      <c r="W787" s="1626"/>
      <c r="X787" s="1626"/>
      <c r="Y787" s="1626"/>
      <c r="Z787" s="1626"/>
    </row>
    <row r="788" spans="1:26" ht="15.75" customHeight="1" x14ac:dyDescent="0.25">
      <c r="A788" s="1626"/>
      <c r="B788" s="1626"/>
      <c r="C788" s="1626"/>
      <c r="D788" s="1626"/>
      <c r="E788" s="1626"/>
      <c r="F788" s="1626"/>
      <c r="G788" s="1626"/>
      <c r="H788" s="1626"/>
      <c r="I788" s="1626"/>
      <c r="J788" s="1626"/>
      <c r="K788" s="1626"/>
      <c r="L788" s="1626"/>
      <c r="M788" s="1626"/>
      <c r="N788" s="1626"/>
      <c r="O788" s="1626"/>
      <c r="P788" s="1627"/>
      <c r="Q788" s="1627"/>
      <c r="R788" s="1626"/>
      <c r="S788" s="1626"/>
      <c r="T788" s="1626"/>
      <c r="U788" s="1626"/>
      <c r="V788" s="1626"/>
      <c r="W788" s="1626"/>
      <c r="X788" s="1626"/>
      <c r="Y788" s="1626"/>
      <c r="Z788" s="1626"/>
    </row>
    <row r="789" spans="1:26" ht="15.75" customHeight="1" x14ac:dyDescent="0.25">
      <c r="A789" s="1626"/>
      <c r="B789" s="1626"/>
      <c r="C789" s="1626"/>
      <c r="D789" s="1626"/>
      <c r="E789" s="1626"/>
      <c r="F789" s="1626"/>
      <c r="G789" s="1626"/>
      <c r="H789" s="1626"/>
      <c r="I789" s="1626"/>
      <c r="J789" s="1626"/>
      <c r="K789" s="1626"/>
      <c r="L789" s="1626"/>
      <c r="M789" s="1626"/>
      <c r="N789" s="1626"/>
      <c r="O789" s="1626"/>
      <c r="P789" s="1627"/>
      <c r="Q789" s="1627"/>
      <c r="R789" s="1626"/>
      <c r="S789" s="1626"/>
      <c r="T789" s="1626"/>
      <c r="U789" s="1626"/>
      <c r="V789" s="1626"/>
      <c r="W789" s="1626"/>
      <c r="X789" s="1626"/>
      <c r="Y789" s="1626"/>
      <c r="Z789" s="1626"/>
    </row>
    <row r="790" spans="1:26" ht="15.75" customHeight="1" x14ac:dyDescent="0.25">
      <c r="A790" s="1626"/>
      <c r="B790" s="1626"/>
      <c r="C790" s="1626"/>
      <c r="D790" s="1626"/>
      <c r="E790" s="1626"/>
      <c r="F790" s="1626"/>
      <c r="G790" s="1626"/>
      <c r="H790" s="1626"/>
      <c r="I790" s="1626"/>
      <c r="J790" s="1626"/>
      <c r="K790" s="1626"/>
      <c r="L790" s="1626"/>
      <c r="M790" s="1626"/>
      <c r="N790" s="1626"/>
      <c r="O790" s="1626"/>
      <c r="P790" s="1627"/>
      <c r="Q790" s="1627"/>
      <c r="R790" s="1626"/>
      <c r="S790" s="1626"/>
      <c r="T790" s="1626"/>
      <c r="U790" s="1626"/>
      <c r="V790" s="1626"/>
      <c r="W790" s="1626"/>
      <c r="X790" s="1626"/>
      <c r="Y790" s="1626"/>
      <c r="Z790" s="1626"/>
    </row>
    <row r="791" spans="1:26" ht="15.75" customHeight="1" x14ac:dyDescent="0.25">
      <c r="A791" s="1626"/>
      <c r="B791" s="1626"/>
      <c r="C791" s="1626"/>
      <c r="D791" s="1626"/>
      <c r="E791" s="1626"/>
      <c r="F791" s="1626"/>
      <c r="G791" s="1626"/>
      <c r="H791" s="1626"/>
      <c r="I791" s="1626"/>
      <c r="J791" s="1626"/>
      <c r="K791" s="1626"/>
      <c r="L791" s="1626"/>
      <c r="M791" s="1626"/>
      <c r="N791" s="1626"/>
      <c r="O791" s="1626"/>
      <c r="P791" s="1627"/>
      <c r="Q791" s="1627"/>
      <c r="R791" s="1626"/>
      <c r="S791" s="1626"/>
      <c r="T791" s="1626"/>
      <c r="U791" s="1626"/>
      <c r="V791" s="1626"/>
      <c r="W791" s="1626"/>
      <c r="X791" s="1626"/>
      <c r="Y791" s="1626"/>
      <c r="Z791" s="1626"/>
    </row>
    <row r="792" spans="1:26" ht="15.75" customHeight="1" x14ac:dyDescent="0.25">
      <c r="A792" s="1626"/>
      <c r="B792" s="1626"/>
      <c r="C792" s="1626"/>
      <c r="D792" s="1626"/>
      <c r="E792" s="1626"/>
      <c r="F792" s="1626"/>
      <c r="G792" s="1626"/>
      <c r="H792" s="1626"/>
      <c r="I792" s="1626"/>
      <c r="J792" s="1626"/>
      <c r="K792" s="1626"/>
      <c r="L792" s="1626"/>
      <c r="M792" s="1626"/>
      <c r="N792" s="1626"/>
      <c r="O792" s="1626"/>
      <c r="P792" s="1627"/>
      <c r="Q792" s="1627"/>
      <c r="R792" s="1626"/>
      <c r="S792" s="1626"/>
      <c r="T792" s="1626"/>
      <c r="U792" s="1626"/>
      <c r="V792" s="1626"/>
      <c r="W792" s="1626"/>
      <c r="X792" s="1626"/>
      <c r="Y792" s="1626"/>
      <c r="Z792" s="1626"/>
    </row>
    <row r="793" spans="1:26" ht="15.75" customHeight="1" x14ac:dyDescent="0.25">
      <c r="A793" s="1626"/>
      <c r="B793" s="1626"/>
      <c r="C793" s="1626"/>
      <c r="D793" s="1626"/>
      <c r="E793" s="1626"/>
      <c r="F793" s="1626"/>
      <c r="G793" s="1626"/>
      <c r="H793" s="1626"/>
      <c r="I793" s="1626"/>
      <c r="J793" s="1626"/>
      <c r="K793" s="1626"/>
      <c r="L793" s="1626"/>
      <c r="M793" s="1626"/>
      <c r="N793" s="1626"/>
      <c r="O793" s="1626"/>
      <c r="P793" s="1627"/>
      <c r="Q793" s="1627"/>
      <c r="R793" s="1626"/>
      <c r="S793" s="1626"/>
      <c r="T793" s="1626"/>
      <c r="U793" s="1626"/>
      <c r="V793" s="1626"/>
      <c r="W793" s="1626"/>
      <c r="X793" s="1626"/>
      <c r="Y793" s="1626"/>
      <c r="Z793" s="1626"/>
    </row>
    <row r="794" spans="1:26" ht="15.75" customHeight="1" x14ac:dyDescent="0.25">
      <c r="A794" s="1626"/>
      <c r="B794" s="1626"/>
      <c r="C794" s="1626"/>
      <c r="D794" s="1626"/>
      <c r="E794" s="1626"/>
      <c r="F794" s="1626"/>
      <c r="G794" s="1626"/>
      <c r="H794" s="1626"/>
      <c r="I794" s="1626"/>
      <c r="J794" s="1626"/>
      <c r="K794" s="1626"/>
      <c r="L794" s="1626"/>
      <c r="M794" s="1626"/>
      <c r="N794" s="1626"/>
      <c r="O794" s="1626"/>
      <c r="P794" s="1627"/>
      <c r="Q794" s="1627"/>
      <c r="R794" s="1626"/>
      <c r="S794" s="1626"/>
      <c r="T794" s="1626"/>
      <c r="U794" s="1626"/>
      <c r="V794" s="1626"/>
      <c r="W794" s="1626"/>
      <c r="X794" s="1626"/>
      <c r="Y794" s="1626"/>
      <c r="Z794" s="1626"/>
    </row>
    <row r="795" spans="1:26" ht="15.75" customHeight="1" x14ac:dyDescent="0.25">
      <c r="A795" s="1626"/>
      <c r="B795" s="1626"/>
      <c r="C795" s="1626"/>
      <c r="D795" s="1626"/>
      <c r="E795" s="1626"/>
      <c r="F795" s="1626"/>
      <c r="G795" s="1626"/>
      <c r="H795" s="1626"/>
      <c r="I795" s="1626"/>
      <c r="J795" s="1626"/>
      <c r="K795" s="1626"/>
      <c r="L795" s="1626"/>
      <c r="M795" s="1626"/>
      <c r="N795" s="1626"/>
      <c r="O795" s="1626"/>
      <c r="P795" s="1627"/>
      <c r="Q795" s="1627"/>
      <c r="R795" s="1626"/>
      <c r="S795" s="1626"/>
      <c r="T795" s="1626"/>
      <c r="U795" s="1626"/>
      <c r="V795" s="1626"/>
      <c r="W795" s="1626"/>
      <c r="X795" s="1626"/>
      <c r="Y795" s="1626"/>
      <c r="Z795" s="1626"/>
    </row>
    <row r="796" spans="1:26" ht="15.75" customHeight="1" x14ac:dyDescent="0.25">
      <c r="A796" s="1626"/>
      <c r="B796" s="1626"/>
      <c r="C796" s="1626"/>
      <c r="D796" s="1626"/>
      <c r="E796" s="1626"/>
      <c r="F796" s="1626"/>
      <c r="G796" s="1626"/>
      <c r="H796" s="1626"/>
      <c r="I796" s="1626"/>
      <c r="J796" s="1626"/>
      <c r="K796" s="1626"/>
      <c r="L796" s="1626"/>
      <c r="M796" s="1626"/>
      <c r="N796" s="1626"/>
      <c r="O796" s="1626"/>
      <c r="P796" s="1627"/>
      <c r="Q796" s="1627"/>
      <c r="R796" s="1626"/>
      <c r="S796" s="1626"/>
      <c r="T796" s="1626"/>
      <c r="U796" s="1626"/>
      <c r="V796" s="1626"/>
      <c r="W796" s="1626"/>
      <c r="X796" s="1626"/>
      <c r="Y796" s="1626"/>
      <c r="Z796" s="1626"/>
    </row>
    <row r="797" spans="1:26" ht="15.75" customHeight="1" x14ac:dyDescent="0.25">
      <c r="A797" s="1626"/>
      <c r="B797" s="1626"/>
      <c r="C797" s="1626"/>
      <c r="D797" s="1626"/>
      <c r="E797" s="1626"/>
      <c r="F797" s="1626"/>
      <c r="G797" s="1626"/>
      <c r="H797" s="1626"/>
      <c r="I797" s="1626"/>
      <c r="J797" s="1626"/>
      <c r="K797" s="1626"/>
      <c r="L797" s="1626"/>
      <c r="M797" s="1626"/>
      <c r="N797" s="1626"/>
      <c r="O797" s="1626"/>
      <c r="P797" s="1627"/>
      <c r="Q797" s="1627"/>
      <c r="R797" s="1626"/>
      <c r="S797" s="1626"/>
      <c r="T797" s="1626"/>
      <c r="U797" s="1626"/>
      <c r="V797" s="1626"/>
      <c r="W797" s="1626"/>
      <c r="X797" s="1626"/>
      <c r="Y797" s="1626"/>
      <c r="Z797" s="1626"/>
    </row>
    <row r="798" spans="1:26" ht="15.75" customHeight="1" x14ac:dyDescent="0.25">
      <c r="A798" s="1626"/>
      <c r="B798" s="1626"/>
      <c r="C798" s="1626"/>
      <c r="D798" s="1626"/>
      <c r="E798" s="1626"/>
      <c r="F798" s="1626"/>
      <c r="G798" s="1626"/>
      <c r="H798" s="1626"/>
      <c r="I798" s="1626"/>
      <c r="J798" s="1626"/>
      <c r="K798" s="1626"/>
      <c r="L798" s="1626"/>
      <c r="M798" s="1626"/>
      <c r="N798" s="1626"/>
      <c r="O798" s="1626"/>
      <c r="P798" s="1627"/>
      <c r="Q798" s="1627"/>
      <c r="R798" s="1626"/>
      <c r="S798" s="1626"/>
      <c r="T798" s="1626"/>
      <c r="U798" s="1626"/>
      <c r="V798" s="1626"/>
      <c r="W798" s="1626"/>
      <c r="X798" s="1626"/>
      <c r="Y798" s="1626"/>
      <c r="Z798" s="1626"/>
    </row>
    <row r="799" spans="1:26" ht="15.75" customHeight="1" x14ac:dyDescent="0.25">
      <c r="A799" s="1626"/>
      <c r="B799" s="1626"/>
      <c r="C799" s="1626"/>
      <c r="D799" s="1626"/>
      <c r="E799" s="1626"/>
      <c r="F799" s="1626"/>
      <c r="G799" s="1626"/>
      <c r="H799" s="1626"/>
      <c r="I799" s="1626"/>
      <c r="J799" s="1626"/>
      <c r="K799" s="1626"/>
      <c r="L799" s="1626"/>
      <c r="M799" s="1626"/>
      <c r="N799" s="1626"/>
      <c r="O799" s="1626"/>
      <c r="P799" s="1627"/>
      <c r="Q799" s="1627"/>
      <c r="R799" s="1626"/>
      <c r="S799" s="1626"/>
      <c r="T799" s="1626"/>
      <c r="U799" s="1626"/>
      <c r="V799" s="1626"/>
      <c r="W799" s="1626"/>
      <c r="X799" s="1626"/>
      <c r="Y799" s="1626"/>
      <c r="Z799" s="1626"/>
    </row>
    <row r="800" spans="1:26" ht="15.75" customHeight="1" x14ac:dyDescent="0.25">
      <c r="A800" s="1626"/>
      <c r="B800" s="1626"/>
      <c r="C800" s="1626"/>
      <c r="D800" s="1626"/>
      <c r="E800" s="1626"/>
      <c r="F800" s="1626"/>
      <c r="G800" s="1626"/>
      <c r="H800" s="1626"/>
      <c r="I800" s="1626"/>
      <c r="J800" s="1626"/>
      <c r="K800" s="1626"/>
      <c r="L800" s="1626"/>
      <c r="M800" s="1626"/>
      <c r="N800" s="1626"/>
      <c r="O800" s="1626"/>
      <c r="P800" s="1627"/>
      <c r="Q800" s="1627"/>
      <c r="R800" s="1626"/>
      <c r="S800" s="1626"/>
      <c r="T800" s="1626"/>
      <c r="U800" s="1626"/>
      <c r="V800" s="1626"/>
      <c r="W800" s="1626"/>
      <c r="X800" s="1626"/>
      <c r="Y800" s="1626"/>
      <c r="Z800" s="1626"/>
    </row>
    <row r="801" spans="1:26" ht="15.75" customHeight="1" x14ac:dyDescent="0.25">
      <c r="A801" s="1626"/>
      <c r="B801" s="1626"/>
      <c r="C801" s="1626"/>
      <c r="D801" s="1626"/>
      <c r="E801" s="1626"/>
      <c r="F801" s="1626"/>
      <c r="G801" s="1626"/>
      <c r="H801" s="1626"/>
      <c r="I801" s="1626"/>
      <c r="J801" s="1626"/>
      <c r="K801" s="1626"/>
      <c r="L801" s="1626"/>
      <c r="M801" s="1626"/>
      <c r="N801" s="1626"/>
      <c r="O801" s="1626"/>
      <c r="P801" s="1627"/>
      <c r="Q801" s="1627"/>
      <c r="R801" s="1626"/>
      <c r="S801" s="1626"/>
      <c r="T801" s="1626"/>
      <c r="U801" s="1626"/>
      <c r="V801" s="1626"/>
      <c r="W801" s="1626"/>
      <c r="X801" s="1626"/>
      <c r="Y801" s="1626"/>
      <c r="Z801" s="1626"/>
    </row>
    <row r="802" spans="1:26" ht="15.75" customHeight="1" x14ac:dyDescent="0.25">
      <c r="A802" s="1626"/>
      <c r="B802" s="1626"/>
      <c r="C802" s="1626"/>
      <c r="D802" s="1626"/>
      <c r="E802" s="1626"/>
      <c r="F802" s="1626"/>
      <c r="G802" s="1626"/>
      <c r="H802" s="1626"/>
      <c r="I802" s="1626"/>
      <c r="J802" s="1626"/>
      <c r="K802" s="1626"/>
      <c r="L802" s="1626"/>
      <c r="M802" s="1626"/>
      <c r="N802" s="1626"/>
      <c r="O802" s="1626"/>
      <c r="P802" s="1627"/>
      <c r="Q802" s="1627"/>
      <c r="R802" s="1626"/>
      <c r="S802" s="1626"/>
      <c r="T802" s="1626"/>
      <c r="U802" s="1626"/>
      <c r="V802" s="1626"/>
      <c r="W802" s="1626"/>
      <c r="X802" s="1626"/>
      <c r="Y802" s="1626"/>
      <c r="Z802" s="1626"/>
    </row>
    <row r="803" spans="1:26" ht="15.75" customHeight="1" x14ac:dyDescent="0.25">
      <c r="A803" s="1626"/>
      <c r="B803" s="1626"/>
      <c r="C803" s="1626"/>
      <c r="D803" s="1626"/>
      <c r="E803" s="1626"/>
      <c r="F803" s="1626"/>
      <c r="G803" s="1626"/>
      <c r="H803" s="1626"/>
      <c r="I803" s="1626"/>
      <c r="J803" s="1626"/>
      <c r="K803" s="1626"/>
      <c r="L803" s="1626"/>
      <c r="M803" s="1626"/>
      <c r="N803" s="1626"/>
      <c r="O803" s="1626"/>
      <c r="P803" s="1627"/>
      <c r="Q803" s="1627"/>
      <c r="R803" s="1626"/>
      <c r="S803" s="1626"/>
      <c r="T803" s="1626"/>
      <c r="U803" s="1626"/>
      <c r="V803" s="1626"/>
      <c r="W803" s="1626"/>
      <c r="X803" s="1626"/>
      <c r="Y803" s="1626"/>
      <c r="Z803" s="1626"/>
    </row>
    <row r="804" spans="1:26" ht="15.75" customHeight="1" x14ac:dyDescent="0.25">
      <c r="A804" s="1626"/>
      <c r="B804" s="1626"/>
      <c r="C804" s="1626"/>
      <c r="D804" s="1626"/>
      <c r="E804" s="1626"/>
      <c r="F804" s="1626"/>
      <c r="G804" s="1626"/>
      <c r="H804" s="1626"/>
      <c r="I804" s="1626"/>
      <c r="J804" s="1626"/>
      <c r="K804" s="1626"/>
      <c r="L804" s="1626"/>
      <c r="M804" s="1626"/>
      <c r="N804" s="1626"/>
      <c r="O804" s="1626"/>
      <c r="P804" s="1627"/>
      <c r="Q804" s="1627"/>
      <c r="R804" s="1626"/>
      <c r="S804" s="1626"/>
      <c r="T804" s="1626"/>
      <c r="U804" s="1626"/>
      <c r="V804" s="1626"/>
      <c r="W804" s="1626"/>
      <c r="X804" s="1626"/>
      <c r="Y804" s="1626"/>
      <c r="Z804" s="1626"/>
    </row>
    <row r="805" spans="1:26" ht="15.75" customHeight="1" x14ac:dyDescent="0.25">
      <c r="A805" s="1626"/>
      <c r="B805" s="1626"/>
      <c r="C805" s="1626"/>
      <c r="D805" s="1626"/>
      <c r="E805" s="1626"/>
      <c r="F805" s="1626"/>
      <c r="G805" s="1626"/>
      <c r="H805" s="1626"/>
      <c r="I805" s="1626"/>
      <c r="J805" s="1626"/>
      <c r="K805" s="1626"/>
      <c r="L805" s="1626"/>
      <c r="M805" s="1626"/>
      <c r="N805" s="1626"/>
      <c r="O805" s="1626"/>
      <c r="P805" s="1627"/>
      <c r="Q805" s="1627"/>
      <c r="R805" s="1626"/>
      <c r="S805" s="1626"/>
      <c r="T805" s="1626"/>
      <c r="U805" s="1626"/>
      <c r="V805" s="1626"/>
      <c r="W805" s="1626"/>
      <c r="X805" s="1626"/>
      <c r="Y805" s="1626"/>
      <c r="Z805" s="1626"/>
    </row>
    <row r="806" spans="1:26" ht="15.75" customHeight="1" x14ac:dyDescent="0.25">
      <c r="A806" s="1626"/>
      <c r="B806" s="1626"/>
      <c r="C806" s="1626"/>
      <c r="D806" s="1626"/>
      <c r="E806" s="1626"/>
      <c r="F806" s="1626"/>
      <c r="G806" s="1626"/>
      <c r="H806" s="1626"/>
      <c r="I806" s="1626"/>
      <c r="J806" s="1626"/>
      <c r="K806" s="1626"/>
      <c r="L806" s="1626"/>
      <c r="M806" s="1626"/>
      <c r="N806" s="1626"/>
      <c r="O806" s="1626"/>
      <c r="P806" s="1627"/>
      <c r="Q806" s="1627"/>
      <c r="R806" s="1626"/>
      <c r="S806" s="1626"/>
      <c r="T806" s="1626"/>
      <c r="U806" s="1626"/>
      <c r="V806" s="1626"/>
      <c r="W806" s="1626"/>
      <c r="X806" s="1626"/>
      <c r="Y806" s="1626"/>
      <c r="Z806" s="1626"/>
    </row>
    <row r="807" spans="1:26" ht="15.75" customHeight="1" x14ac:dyDescent="0.25">
      <c r="A807" s="1626"/>
      <c r="B807" s="1626"/>
      <c r="C807" s="1626"/>
      <c r="D807" s="1626"/>
      <c r="E807" s="1626"/>
      <c r="F807" s="1626"/>
      <c r="G807" s="1626"/>
      <c r="H807" s="1626"/>
      <c r="I807" s="1626"/>
      <c r="J807" s="1626"/>
      <c r="K807" s="1626"/>
      <c r="L807" s="1626"/>
      <c r="M807" s="1626"/>
      <c r="N807" s="1626"/>
      <c r="O807" s="1626"/>
      <c r="P807" s="1627"/>
      <c r="Q807" s="1627"/>
      <c r="R807" s="1626"/>
      <c r="S807" s="1626"/>
      <c r="T807" s="1626"/>
      <c r="U807" s="1626"/>
      <c r="V807" s="1626"/>
      <c r="W807" s="1626"/>
      <c r="X807" s="1626"/>
      <c r="Y807" s="1626"/>
      <c r="Z807" s="1626"/>
    </row>
    <row r="808" spans="1:26" ht="15.75" customHeight="1" x14ac:dyDescent="0.25">
      <c r="A808" s="1626"/>
      <c r="B808" s="1626"/>
      <c r="C808" s="1626"/>
      <c r="D808" s="1626"/>
      <c r="E808" s="1626"/>
      <c r="F808" s="1626"/>
      <c r="G808" s="1626"/>
      <c r="H808" s="1626"/>
      <c r="I808" s="1626"/>
      <c r="J808" s="1626"/>
      <c r="K808" s="1626"/>
      <c r="L808" s="1626"/>
      <c r="M808" s="1626"/>
      <c r="N808" s="1626"/>
      <c r="O808" s="1626"/>
      <c r="P808" s="1627"/>
      <c r="Q808" s="1627"/>
      <c r="R808" s="1626"/>
      <c r="S808" s="1626"/>
      <c r="T808" s="1626"/>
      <c r="U808" s="1626"/>
      <c r="V808" s="1626"/>
      <c r="W808" s="1626"/>
      <c r="X808" s="1626"/>
      <c r="Y808" s="1626"/>
      <c r="Z808" s="1626"/>
    </row>
    <row r="809" spans="1:26" ht="15.75" customHeight="1" x14ac:dyDescent="0.25">
      <c r="A809" s="1626"/>
      <c r="B809" s="1626"/>
      <c r="C809" s="1626"/>
      <c r="D809" s="1626"/>
      <c r="E809" s="1626"/>
      <c r="F809" s="1626"/>
      <c r="G809" s="1626"/>
      <c r="H809" s="1626"/>
      <c r="I809" s="1626"/>
      <c r="J809" s="1626"/>
      <c r="K809" s="1626"/>
      <c r="L809" s="1626"/>
      <c r="M809" s="1626"/>
      <c r="N809" s="1626"/>
      <c r="O809" s="1626"/>
      <c r="P809" s="1627"/>
      <c r="Q809" s="1627"/>
      <c r="R809" s="1626"/>
      <c r="S809" s="1626"/>
      <c r="T809" s="1626"/>
      <c r="U809" s="1626"/>
      <c r="V809" s="1626"/>
      <c r="W809" s="1626"/>
      <c r="X809" s="1626"/>
      <c r="Y809" s="1626"/>
      <c r="Z809" s="1626"/>
    </row>
    <row r="810" spans="1:26" ht="15.75" customHeight="1" x14ac:dyDescent="0.25">
      <c r="A810" s="1626"/>
      <c r="B810" s="1626"/>
      <c r="C810" s="1626"/>
      <c r="D810" s="1626"/>
      <c r="E810" s="1626"/>
      <c r="F810" s="1626"/>
      <c r="G810" s="1626"/>
      <c r="H810" s="1626"/>
      <c r="I810" s="1626"/>
      <c r="J810" s="1626"/>
      <c r="K810" s="1626"/>
      <c r="L810" s="1626"/>
      <c r="M810" s="1626"/>
      <c r="N810" s="1626"/>
      <c r="O810" s="1626"/>
      <c r="P810" s="1627"/>
      <c r="Q810" s="1627"/>
      <c r="R810" s="1626"/>
      <c r="S810" s="1626"/>
      <c r="T810" s="1626"/>
      <c r="U810" s="1626"/>
      <c r="V810" s="1626"/>
      <c r="W810" s="1626"/>
      <c r="X810" s="1626"/>
      <c r="Y810" s="1626"/>
      <c r="Z810" s="1626"/>
    </row>
    <row r="811" spans="1:26" ht="15.75" customHeight="1" x14ac:dyDescent="0.25">
      <c r="A811" s="1626"/>
      <c r="B811" s="1626"/>
      <c r="C811" s="1626"/>
      <c r="D811" s="1626"/>
      <c r="E811" s="1626"/>
      <c r="F811" s="1626"/>
      <c r="G811" s="1626"/>
      <c r="H811" s="1626"/>
      <c r="I811" s="1626"/>
      <c r="J811" s="1626"/>
      <c r="K811" s="1626"/>
      <c r="L811" s="1626"/>
      <c r="M811" s="1626"/>
      <c r="N811" s="1626"/>
      <c r="O811" s="1626"/>
      <c r="P811" s="1627"/>
      <c r="Q811" s="1627"/>
      <c r="R811" s="1626"/>
      <c r="S811" s="1626"/>
      <c r="T811" s="1626"/>
      <c r="U811" s="1626"/>
      <c r="V811" s="1626"/>
      <c r="W811" s="1626"/>
      <c r="X811" s="1626"/>
      <c r="Y811" s="1626"/>
      <c r="Z811" s="1626"/>
    </row>
    <row r="812" spans="1:26" ht="15.75" customHeight="1" x14ac:dyDescent="0.25">
      <c r="A812" s="1626"/>
      <c r="B812" s="1626"/>
      <c r="C812" s="1626"/>
      <c r="D812" s="1626"/>
      <c r="E812" s="1626"/>
      <c r="F812" s="1626"/>
      <c r="G812" s="1626"/>
      <c r="H812" s="1626"/>
      <c r="I812" s="1626"/>
      <c r="J812" s="1626"/>
      <c r="K812" s="1626"/>
      <c r="L812" s="1626"/>
      <c r="M812" s="1626"/>
      <c r="N812" s="1626"/>
      <c r="O812" s="1626"/>
      <c r="P812" s="1627"/>
      <c r="Q812" s="1627"/>
      <c r="R812" s="1626"/>
      <c r="S812" s="1626"/>
      <c r="T812" s="1626"/>
      <c r="U812" s="1626"/>
      <c r="V812" s="1626"/>
      <c r="W812" s="1626"/>
      <c r="X812" s="1626"/>
      <c r="Y812" s="1626"/>
      <c r="Z812" s="1626"/>
    </row>
    <row r="813" spans="1:26" ht="15.75" customHeight="1" x14ac:dyDescent="0.25">
      <c r="A813" s="1626"/>
      <c r="B813" s="1626"/>
      <c r="C813" s="1626"/>
      <c r="D813" s="1626"/>
      <c r="E813" s="1626"/>
      <c r="F813" s="1626"/>
      <c r="G813" s="1626"/>
      <c r="H813" s="1626"/>
      <c r="I813" s="1626"/>
      <c r="J813" s="1626"/>
      <c r="K813" s="1626"/>
      <c r="L813" s="1626"/>
      <c r="M813" s="1626"/>
      <c r="N813" s="1626"/>
      <c r="O813" s="1626"/>
      <c r="P813" s="1627"/>
      <c r="Q813" s="1627"/>
      <c r="R813" s="1626"/>
      <c r="S813" s="1626"/>
      <c r="T813" s="1626"/>
      <c r="U813" s="1626"/>
      <c r="V813" s="1626"/>
      <c r="W813" s="1626"/>
      <c r="X813" s="1626"/>
      <c r="Y813" s="1626"/>
      <c r="Z813" s="1626"/>
    </row>
    <row r="814" spans="1:26" ht="15.75" customHeight="1" x14ac:dyDescent="0.25">
      <c r="A814" s="1626"/>
      <c r="B814" s="1626"/>
      <c r="C814" s="1626"/>
      <c r="D814" s="1626"/>
      <c r="E814" s="1626"/>
      <c r="F814" s="1626"/>
      <c r="G814" s="1626"/>
      <c r="H814" s="1626"/>
      <c r="I814" s="1626"/>
      <c r="J814" s="1626"/>
      <c r="K814" s="1626"/>
      <c r="L814" s="1626"/>
      <c r="M814" s="1626"/>
      <c r="N814" s="1626"/>
      <c r="O814" s="1626"/>
      <c r="P814" s="1627"/>
      <c r="Q814" s="1627"/>
      <c r="R814" s="1626"/>
      <c r="S814" s="1626"/>
      <c r="T814" s="1626"/>
      <c r="U814" s="1626"/>
      <c r="V814" s="1626"/>
      <c r="W814" s="1626"/>
      <c r="X814" s="1626"/>
      <c r="Y814" s="1626"/>
      <c r="Z814" s="1626"/>
    </row>
    <row r="815" spans="1:26" ht="15.75" customHeight="1" x14ac:dyDescent="0.25">
      <c r="A815" s="1626"/>
      <c r="B815" s="1626"/>
      <c r="C815" s="1626"/>
      <c r="D815" s="1626"/>
      <c r="E815" s="1626"/>
      <c r="F815" s="1626"/>
      <c r="G815" s="1626"/>
      <c r="H815" s="1626"/>
      <c r="I815" s="1626"/>
      <c r="J815" s="1626"/>
      <c r="K815" s="1626"/>
      <c r="L815" s="1626"/>
      <c r="M815" s="1626"/>
      <c r="N815" s="1626"/>
      <c r="O815" s="1626"/>
      <c r="P815" s="1627"/>
      <c r="Q815" s="1627"/>
      <c r="R815" s="1626"/>
      <c r="S815" s="1626"/>
      <c r="T815" s="1626"/>
      <c r="U815" s="1626"/>
      <c r="V815" s="1626"/>
      <c r="W815" s="1626"/>
      <c r="X815" s="1626"/>
      <c r="Y815" s="1626"/>
      <c r="Z815" s="1626"/>
    </row>
    <row r="816" spans="1:26" ht="15.75" customHeight="1" x14ac:dyDescent="0.25">
      <c r="A816" s="1626"/>
      <c r="B816" s="1626"/>
      <c r="C816" s="1626"/>
      <c r="D816" s="1626"/>
      <c r="E816" s="1626"/>
      <c r="F816" s="1626"/>
      <c r="G816" s="1626"/>
      <c r="H816" s="1626"/>
      <c r="I816" s="1626"/>
      <c r="J816" s="1626"/>
      <c r="K816" s="1626"/>
      <c r="L816" s="1626"/>
      <c r="M816" s="1626"/>
      <c r="N816" s="1626"/>
      <c r="O816" s="1626"/>
      <c r="P816" s="1627"/>
      <c r="Q816" s="1627"/>
      <c r="R816" s="1626"/>
      <c r="S816" s="1626"/>
      <c r="T816" s="1626"/>
      <c r="U816" s="1626"/>
      <c r="V816" s="1626"/>
      <c r="W816" s="1626"/>
      <c r="X816" s="1626"/>
      <c r="Y816" s="1626"/>
      <c r="Z816" s="1626"/>
    </row>
    <row r="817" spans="1:26" ht="15.75" customHeight="1" x14ac:dyDescent="0.25">
      <c r="A817" s="1626"/>
      <c r="B817" s="1626"/>
      <c r="C817" s="1626"/>
      <c r="D817" s="1626"/>
      <c r="E817" s="1626"/>
      <c r="F817" s="1626"/>
      <c r="G817" s="1626"/>
      <c r="H817" s="1626"/>
      <c r="I817" s="1626"/>
      <c r="J817" s="1626"/>
      <c r="K817" s="1626"/>
      <c r="L817" s="1626"/>
      <c r="M817" s="1626"/>
      <c r="N817" s="1626"/>
      <c r="O817" s="1626"/>
      <c r="P817" s="1627"/>
      <c r="Q817" s="1627"/>
      <c r="R817" s="1626"/>
      <c r="S817" s="1626"/>
      <c r="T817" s="1626"/>
      <c r="U817" s="1626"/>
      <c r="V817" s="1626"/>
      <c r="W817" s="1626"/>
      <c r="X817" s="1626"/>
      <c r="Y817" s="1626"/>
      <c r="Z817" s="1626"/>
    </row>
    <row r="818" spans="1:26" ht="15.75" customHeight="1" x14ac:dyDescent="0.25">
      <c r="A818" s="1626"/>
      <c r="B818" s="1626"/>
      <c r="C818" s="1626"/>
      <c r="D818" s="1626"/>
      <c r="E818" s="1626"/>
      <c r="F818" s="1626"/>
      <c r="G818" s="1626"/>
      <c r="H818" s="1626"/>
      <c r="I818" s="1626"/>
      <c r="J818" s="1626"/>
      <c r="K818" s="1626"/>
      <c r="L818" s="1626"/>
      <c r="M818" s="1626"/>
      <c r="N818" s="1626"/>
      <c r="O818" s="1626"/>
      <c r="P818" s="1627"/>
      <c r="Q818" s="1627"/>
      <c r="R818" s="1626"/>
      <c r="S818" s="1626"/>
      <c r="T818" s="1626"/>
      <c r="U818" s="1626"/>
      <c r="V818" s="1626"/>
      <c r="W818" s="1626"/>
      <c r="X818" s="1626"/>
      <c r="Y818" s="1626"/>
      <c r="Z818" s="1626"/>
    </row>
    <row r="819" spans="1:26" ht="15.75" customHeight="1" x14ac:dyDescent="0.25">
      <c r="A819" s="1626"/>
      <c r="B819" s="1626"/>
      <c r="C819" s="1626"/>
      <c r="D819" s="1626"/>
      <c r="E819" s="1626"/>
      <c r="F819" s="1626"/>
      <c r="G819" s="1626"/>
      <c r="H819" s="1626"/>
      <c r="I819" s="1626"/>
      <c r="J819" s="1626"/>
      <c r="K819" s="1626"/>
      <c r="L819" s="1626"/>
      <c r="M819" s="1626"/>
      <c r="N819" s="1626"/>
      <c r="O819" s="1626"/>
      <c r="P819" s="1627"/>
      <c r="Q819" s="1627"/>
      <c r="R819" s="1626"/>
      <c r="S819" s="1626"/>
      <c r="T819" s="1626"/>
      <c r="U819" s="1626"/>
      <c r="V819" s="1626"/>
      <c r="W819" s="1626"/>
      <c r="X819" s="1626"/>
      <c r="Y819" s="1626"/>
      <c r="Z819" s="1626"/>
    </row>
    <row r="820" spans="1:26" ht="15.75" customHeight="1" x14ac:dyDescent="0.25">
      <c r="A820" s="1626"/>
      <c r="B820" s="1626"/>
      <c r="C820" s="1626"/>
      <c r="D820" s="1626"/>
      <c r="E820" s="1626"/>
      <c r="F820" s="1626"/>
      <c r="G820" s="1626"/>
      <c r="H820" s="1626"/>
      <c r="I820" s="1626"/>
      <c r="J820" s="1626"/>
      <c r="K820" s="1626"/>
      <c r="L820" s="1626"/>
      <c r="M820" s="1626"/>
      <c r="N820" s="1626"/>
      <c r="O820" s="1626"/>
      <c r="P820" s="1627"/>
      <c r="Q820" s="1627"/>
      <c r="R820" s="1626"/>
      <c r="S820" s="1626"/>
      <c r="T820" s="1626"/>
      <c r="U820" s="1626"/>
      <c r="V820" s="1626"/>
      <c r="W820" s="1626"/>
      <c r="X820" s="1626"/>
      <c r="Y820" s="1626"/>
      <c r="Z820" s="1626"/>
    </row>
    <row r="821" spans="1:26" ht="15.75" customHeight="1" x14ac:dyDescent="0.25">
      <c r="A821" s="1626"/>
      <c r="B821" s="1626"/>
      <c r="C821" s="1626"/>
      <c r="D821" s="1626"/>
      <c r="E821" s="1626"/>
      <c r="F821" s="1626"/>
      <c r="G821" s="1626"/>
      <c r="H821" s="1626"/>
      <c r="I821" s="1626"/>
      <c r="J821" s="1626"/>
      <c r="K821" s="1626"/>
      <c r="L821" s="1626"/>
      <c r="M821" s="1626"/>
      <c r="N821" s="1626"/>
      <c r="O821" s="1626"/>
      <c r="P821" s="1627"/>
      <c r="Q821" s="1627"/>
      <c r="R821" s="1626"/>
      <c r="S821" s="1626"/>
      <c r="T821" s="1626"/>
      <c r="U821" s="1626"/>
      <c r="V821" s="1626"/>
      <c r="W821" s="1626"/>
      <c r="X821" s="1626"/>
      <c r="Y821" s="1626"/>
      <c r="Z821" s="1626"/>
    </row>
    <row r="822" spans="1:26" ht="15.75" customHeight="1" x14ac:dyDescent="0.25">
      <c r="A822" s="1626"/>
      <c r="B822" s="1626"/>
      <c r="C822" s="1626"/>
      <c r="D822" s="1626"/>
      <c r="E822" s="1626"/>
      <c r="F822" s="1626"/>
      <c r="G822" s="1626"/>
      <c r="H822" s="1626"/>
      <c r="I822" s="1626"/>
      <c r="J822" s="1626"/>
      <c r="K822" s="1626"/>
      <c r="L822" s="1626"/>
      <c r="M822" s="1626"/>
      <c r="N822" s="1626"/>
      <c r="O822" s="1626"/>
      <c r="P822" s="1627"/>
      <c r="Q822" s="1627"/>
      <c r="R822" s="1626"/>
      <c r="S822" s="1626"/>
      <c r="T822" s="1626"/>
      <c r="U822" s="1626"/>
      <c r="V822" s="1626"/>
      <c r="W822" s="1626"/>
      <c r="X822" s="1626"/>
      <c r="Y822" s="1626"/>
      <c r="Z822" s="1626"/>
    </row>
    <row r="823" spans="1:26" ht="15.75" customHeight="1" x14ac:dyDescent="0.25">
      <c r="A823" s="1626"/>
      <c r="B823" s="1626"/>
      <c r="C823" s="1626"/>
      <c r="D823" s="1626"/>
      <c r="E823" s="1626"/>
      <c r="F823" s="1626"/>
      <c r="G823" s="1626"/>
      <c r="H823" s="1626"/>
      <c r="I823" s="1626"/>
      <c r="J823" s="1626"/>
      <c r="K823" s="1626"/>
      <c r="L823" s="1626"/>
      <c r="M823" s="1626"/>
      <c r="N823" s="1626"/>
      <c r="O823" s="1626"/>
      <c r="P823" s="1627"/>
      <c r="Q823" s="1627"/>
      <c r="R823" s="1626"/>
      <c r="S823" s="1626"/>
      <c r="T823" s="1626"/>
      <c r="U823" s="1626"/>
      <c r="V823" s="1626"/>
      <c r="W823" s="1626"/>
      <c r="X823" s="1626"/>
      <c r="Y823" s="1626"/>
      <c r="Z823" s="1626"/>
    </row>
    <row r="824" spans="1:26" ht="15.75" customHeight="1" x14ac:dyDescent="0.25">
      <c r="A824" s="1626"/>
      <c r="B824" s="1626"/>
      <c r="C824" s="1626"/>
      <c r="D824" s="1626"/>
      <c r="E824" s="1626"/>
      <c r="F824" s="1626"/>
      <c r="G824" s="1626"/>
      <c r="H824" s="1626"/>
      <c r="I824" s="1626"/>
      <c r="J824" s="1626"/>
      <c r="K824" s="1626"/>
      <c r="L824" s="1626"/>
      <c r="M824" s="1626"/>
      <c r="N824" s="1626"/>
      <c r="O824" s="1626"/>
      <c r="P824" s="1627"/>
      <c r="Q824" s="1627"/>
      <c r="R824" s="1626"/>
      <c r="S824" s="1626"/>
      <c r="T824" s="1626"/>
      <c r="U824" s="1626"/>
      <c r="V824" s="1626"/>
      <c r="W824" s="1626"/>
      <c r="X824" s="1626"/>
      <c r="Y824" s="1626"/>
      <c r="Z824" s="1626"/>
    </row>
    <row r="825" spans="1:26" ht="15.75" customHeight="1" x14ac:dyDescent="0.25">
      <c r="A825" s="1626"/>
      <c r="B825" s="1626"/>
      <c r="C825" s="1626"/>
      <c r="D825" s="1626"/>
      <c r="E825" s="1626"/>
      <c r="F825" s="1626"/>
      <c r="G825" s="1626"/>
      <c r="H825" s="1626"/>
      <c r="I825" s="1626"/>
      <c r="J825" s="1626"/>
      <c r="K825" s="1626"/>
      <c r="L825" s="1626"/>
      <c r="M825" s="1626"/>
      <c r="N825" s="1626"/>
      <c r="O825" s="1626"/>
      <c r="P825" s="1627"/>
      <c r="Q825" s="1627"/>
      <c r="R825" s="1626"/>
      <c r="S825" s="1626"/>
      <c r="T825" s="1626"/>
      <c r="U825" s="1626"/>
      <c r="V825" s="1626"/>
      <c r="W825" s="1626"/>
      <c r="X825" s="1626"/>
      <c r="Y825" s="1626"/>
      <c r="Z825" s="1626"/>
    </row>
    <row r="826" spans="1:26" ht="15.75" customHeight="1" x14ac:dyDescent="0.25">
      <c r="A826" s="1626"/>
      <c r="B826" s="1626"/>
      <c r="C826" s="1626"/>
      <c r="D826" s="1626"/>
      <c r="E826" s="1626"/>
      <c r="F826" s="1626"/>
      <c r="G826" s="1626"/>
      <c r="H826" s="1626"/>
      <c r="I826" s="1626"/>
      <c r="J826" s="1626"/>
      <c r="K826" s="1626"/>
      <c r="L826" s="1626"/>
      <c r="M826" s="1626"/>
      <c r="N826" s="1626"/>
      <c r="O826" s="1626"/>
      <c r="P826" s="1627"/>
      <c r="Q826" s="1627"/>
      <c r="R826" s="1626"/>
      <c r="S826" s="1626"/>
      <c r="T826" s="1626"/>
      <c r="U826" s="1626"/>
      <c r="V826" s="1626"/>
      <c r="W826" s="1626"/>
      <c r="X826" s="1626"/>
      <c r="Y826" s="1626"/>
      <c r="Z826" s="1626"/>
    </row>
    <row r="827" spans="1:26" ht="15.75" customHeight="1" x14ac:dyDescent="0.25">
      <c r="A827" s="1626"/>
      <c r="B827" s="1626"/>
      <c r="C827" s="1626"/>
      <c r="D827" s="1626"/>
      <c r="E827" s="1626"/>
      <c r="F827" s="1626"/>
      <c r="G827" s="1626"/>
      <c r="H827" s="1626"/>
      <c r="I827" s="1626"/>
      <c r="J827" s="1626"/>
      <c r="K827" s="1626"/>
      <c r="L827" s="1626"/>
      <c r="M827" s="1626"/>
      <c r="N827" s="1626"/>
      <c r="O827" s="1626"/>
      <c r="P827" s="1627"/>
      <c r="Q827" s="1627"/>
      <c r="R827" s="1626"/>
      <c r="S827" s="1626"/>
      <c r="T827" s="1626"/>
      <c r="U827" s="1626"/>
      <c r="V827" s="1626"/>
      <c r="W827" s="1626"/>
      <c r="X827" s="1626"/>
      <c r="Y827" s="1626"/>
      <c r="Z827" s="1626"/>
    </row>
    <row r="828" spans="1:26" ht="15.75" customHeight="1" x14ac:dyDescent="0.25">
      <c r="A828" s="1626"/>
      <c r="B828" s="1626"/>
      <c r="C828" s="1626"/>
      <c r="D828" s="1626"/>
      <c r="E828" s="1626"/>
      <c r="F828" s="1626"/>
      <c r="G828" s="1626"/>
      <c r="H828" s="1626"/>
      <c r="I828" s="1626"/>
      <c r="J828" s="1626"/>
      <c r="K828" s="1626"/>
      <c r="L828" s="1626"/>
      <c r="M828" s="1626"/>
      <c r="N828" s="1626"/>
      <c r="O828" s="1626"/>
      <c r="P828" s="1627"/>
      <c r="Q828" s="1627"/>
      <c r="R828" s="1626"/>
      <c r="S828" s="1626"/>
      <c r="T828" s="1626"/>
      <c r="U828" s="1626"/>
      <c r="V828" s="1626"/>
      <c r="W828" s="1626"/>
      <c r="X828" s="1626"/>
      <c r="Y828" s="1626"/>
      <c r="Z828" s="1626"/>
    </row>
    <row r="829" spans="1:26" ht="15.75" customHeight="1" x14ac:dyDescent="0.25">
      <c r="A829" s="1626"/>
      <c r="B829" s="1626"/>
      <c r="C829" s="1626"/>
      <c r="D829" s="1626"/>
      <c r="E829" s="1626"/>
      <c r="F829" s="1626"/>
      <c r="G829" s="1626"/>
      <c r="H829" s="1626"/>
      <c r="I829" s="1626"/>
      <c r="J829" s="1626"/>
      <c r="K829" s="1626"/>
      <c r="L829" s="1626"/>
      <c r="M829" s="1626"/>
      <c r="N829" s="1626"/>
      <c r="O829" s="1626"/>
      <c r="P829" s="1627"/>
      <c r="Q829" s="1627"/>
      <c r="R829" s="1626"/>
      <c r="S829" s="1626"/>
      <c r="T829" s="1626"/>
      <c r="U829" s="1626"/>
      <c r="V829" s="1626"/>
      <c r="W829" s="1626"/>
      <c r="X829" s="1626"/>
      <c r="Y829" s="1626"/>
      <c r="Z829" s="1626"/>
    </row>
    <row r="830" spans="1:26" ht="15.75" customHeight="1" x14ac:dyDescent="0.25">
      <c r="A830" s="1626"/>
      <c r="B830" s="1626"/>
      <c r="C830" s="1626"/>
      <c r="D830" s="1626"/>
      <c r="E830" s="1626"/>
      <c r="F830" s="1626"/>
      <c r="G830" s="1626"/>
      <c r="H830" s="1626"/>
      <c r="I830" s="1626"/>
      <c r="J830" s="1626"/>
      <c r="K830" s="1626"/>
      <c r="L830" s="1626"/>
      <c r="M830" s="1626"/>
      <c r="N830" s="1626"/>
      <c r="O830" s="1626"/>
      <c r="P830" s="1627"/>
      <c r="Q830" s="1627"/>
      <c r="R830" s="1626"/>
      <c r="S830" s="1626"/>
      <c r="T830" s="1626"/>
      <c r="U830" s="1626"/>
      <c r="V830" s="1626"/>
      <c r="W830" s="1626"/>
      <c r="X830" s="1626"/>
      <c r="Y830" s="1626"/>
      <c r="Z830" s="1626"/>
    </row>
    <row r="831" spans="1:26" ht="15.75" customHeight="1" x14ac:dyDescent="0.25">
      <c r="A831" s="1626"/>
      <c r="B831" s="1626"/>
      <c r="C831" s="1626"/>
      <c r="D831" s="1626"/>
      <c r="E831" s="1626"/>
      <c r="F831" s="1626"/>
      <c r="G831" s="1626"/>
      <c r="H831" s="1626"/>
      <c r="I831" s="1626"/>
      <c r="J831" s="1626"/>
      <c r="K831" s="1626"/>
      <c r="L831" s="1626"/>
      <c r="M831" s="1626"/>
      <c r="N831" s="1626"/>
      <c r="O831" s="1626"/>
      <c r="P831" s="1627"/>
      <c r="Q831" s="1627"/>
      <c r="R831" s="1626"/>
      <c r="S831" s="1626"/>
      <c r="T831" s="1626"/>
      <c r="U831" s="1626"/>
      <c r="V831" s="1626"/>
      <c r="W831" s="1626"/>
      <c r="X831" s="1626"/>
      <c r="Y831" s="1626"/>
      <c r="Z831" s="1626"/>
    </row>
    <row r="832" spans="1:26" ht="15.75" customHeight="1" x14ac:dyDescent="0.25">
      <c r="A832" s="1626"/>
      <c r="B832" s="1626"/>
      <c r="C832" s="1626"/>
      <c r="D832" s="1626"/>
      <c r="E832" s="1626"/>
      <c r="F832" s="1626"/>
      <c r="G832" s="1626"/>
      <c r="H832" s="1626"/>
      <c r="I832" s="1626"/>
      <c r="J832" s="1626"/>
      <c r="K832" s="1626"/>
      <c r="L832" s="1626"/>
      <c r="M832" s="1626"/>
      <c r="N832" s="1626"/>
      <c r="O832" s="1626"/>
      <c r="P832" s="1627"/>
      <c r="Q832" s="1627"/>
      <c r="R832" s="1626"/>
      <c r="S832" s="1626"/>
      <c r="T832" s="1626"/>
      <c r="U832" s="1626"/>
      <c r="V832" s="1626"/>
      <c r="W832" s="1626"/>
      <c r="X832" s="1626"/>
      <c r="Y832" s="1626"/>
      <c r="Z832" s="1626"/>
    </row>
    <row r="833" spans="1:26" ht="15.75" customHeight="1" x14ac:dyDescent="0.25">
      <c r="A833" s="1626"/>
      <c r="B833" s="1626"/>
      <c r="C833" s="1626"/>
      <c r="D833" s="1626"/>
      <c r="E833" s="1626"/>
      <c r="F833" s="1626"/>
      <c r="G833" s="1626"/>
      <c r="H833" s="1626"/>
      <c r="I833" s="1626"/>
      <c r="J833" s="1626"/>
      <c r="K833" s="1626"/>
      <c r="L833" s="1626"/>
      <c r="M833" s="1626"/>
      <c r="N833" s="1626"/>
      <c r="O833" s="1626"/>
      <c r="P833" s="1627"/>
      <c r="Q833" s="1627"/>
      <c r="R833" s="1626"/>
      <c r="S833" s="1626"/>
      <c r="T833" s="1626"/>
      <c r="U833" s="1626"/>
      <c r="V833" s="1626"/>
      <c r="W833" s="1626"/>
      <c r="X833" s="1626"/>
      <c r="Y833" s="1626"/>
      <c r="Z833" s="1626"/>
    </row>
    <row r="834" spans="1:26" ht="15.75" customHeight="1" x14ac:dyDescent="0.25">
      <c r="A834" s="1626"/>
      <c r="B834" s="1626"/>
      <c r="C834" s="1626"/>
      <c r="D834" s="1626"/>
      <c r="E834" s="1626"/>
      <c r="F834" s="1626"/>
      <c r="G834" s="1626"/>
      <c r="H834" s="1626"/>
      <c r="I834" s="1626"/>
      <c r="J834" s="1626"/>
      <c r="K834" s="1626"/>
      <c r="L834" s="1626"/>
      <c r="M834" s="1626"/>
      <c r="N834" s="1626"/>
      <c r="O834" s="1626"/>
      <c r="P834" s="1627"/>
      <c r="Q834" s="1627"/>
      <c r="R834" s="1626"/>
      <c r="S834" s="1626"/>
      <c r="T834" s="1626"/>
      <c r="U834" s="1626"/>
      <c r="V834" s="1626"/>
      <c r="W834" s="1626"/>
      <c r="X834" s="1626"/>
      <c r="Y834" s="1626"/>
      <c r="Z834" s="1626"/>
    </row>
    <row r="835" spans="1:26" ht="15.75" customHeight="1" x14ac:dyDescent="0.25">
      <c r="A835" s="1626"/>
      <c r="B835" s="1626"/>
      <c r="C835" s="1626"/>
      <c r="D835" s="1626"/>
      <c r="E835" s="1626"/>
      <c r="F835" s="1626"/>
      <c r="G835" s="1626"/>
      <c r="H835" s="1626"/>
      <c r="I835" s="1626"/>
      <c r="J835" s="1626"/>
      <c r="K835" s="1626"/>
      <c r="L835" s="1626"/>
      <c r="M835" s="1626"/>
      <c r="N835" s="1626"/>
      <c r="O835" s="1626"/>
      <c r="P835" s="1627"/>
      <c r="Q835" s="1627"/>
      <c r="R835" s="1626"/>
      <c r="S835" s="1626"/>
      <c r="T835" s="1626"/>
      <c r="U835" s="1626"/>
      <c r="V835" s="1626"/>
      <c r="W835" s="1626"/>
      <c r="X835" s="1626"/>
      <c r="Y835" s="1626"/>
      <c r="Z835" s="1626"/>
    </row>
    <row r="836" spans="1:26" ht="15.75" customHeight="1" x14ac:dyDescent="0.25">
      <c r="A836" s="1626"/>
      <c r="B836" s="1626"/>
      <c r="C836" s="1626"/>
      <c r="D836" s="1626"/>
      <c r="E836" s="1626"/>
      <c r="F836" s="1626"/>
      <c r="G836" s="1626"/>
      <c r="H836" s="1626"/>
      <c r="I836" s="1626"/>
      <c r="J836" s="1626"/>
      <c r="K836" s="1626"/>
      <c r="L836" s="1626"/>
      <c r="M836" s="1626"/>
      <c r="N836" s="1626"/>
      <c r="O836" s="1626"/>
      <c r="P836" s="1627"/>
      <c r="Q836" s="1627"/>
      <c r="R836" s="1626"/>
      <c r="S836" s="1626"/>
      <c r="T836" s="1626"/>
      <c r="U836" s="1626"/>
      <c r="V836" s="1626"/>
      <c r="W836" s="1626"/>
      <c r="X836" s="1626"/>
      <c r="Y836" s="1626"/>
      <c r="Z836" s="1626"/>
    </row>
    <row r="837" spans="1:26" ht="15.75" customHeight="1" x14ac:dyDescent="0.25">
      <c r="A837" s="1626"/>
      <c r="B837" s="1626"/>
      <c r="C837" s="1626"/>
      <c r="D837" s="1626"/>
      <c r="E837" s="1626"/>
      <c r="F837" s="1626"/>
      <c r="G837" s="1626"/>
      <c r="H837" s="1626"/>
      <c r="I837" s="1626"/>
      <c r="J837" s="1626"/>
      <c r="K837" s="1626"/>
      <c r="L837" s="1626"/>
      <c r="M837" s="1626"/>
      <c r="N837" s="1626"/>
      <c r="O837" s="1626"/>
      <c r="P837" s="1627"/>
      <c r="Q837" s="1627"/>
      <c r="R837" s="1626"/>
      <c r="S837" s="1626"/>
      <c r="T837" s="1626"/>
      <c r="U837" s="1626"/>
      <c r="V837" s="1626"/>
      <c r="W837" s="1626"/>
      <c r="X837" s="1626"/>
      <c r="Y837" s="1626"/>
      <c r="Z837" s="1626"/>
    </row>
    <row r="838" spans="1:26" ht="15.75" customHeight="1" x14ac:dyDescent="0.25">
      <c r="A838" s="1626"/>
      <c r="B838" s="1626"/>
      <c r="C838" s="1626"/>
      <c r="D838" s="1626"/>
      <c r="E838" s="1626"/>
      <c r="F838" s="1626"/>
      <c r="G838" s="1626"/>
      <c r="H838" s="1626"/>
      <c r="I838" s="1626"/>
      <c r="J838" s="1626"/>
      <c r="K838" s="1626"/>
      <c r="L838" s="1626"/>
      <c r="M838" s="1626"/>
      <c r="N838" s="1626"/>
      <c r="O838" s="1626"/>
      <c r="P838" s="1627"/>
      <c r="Q838" s="1627"/>
      <c r="R838" s="1626"/>
      <c r="S838" s="1626"/>
      <c r="T838" s="1626"/>
      <c r="U838" s="1626"/>
      <c r="V838" s="1626"/>
      <c r="W838" s="1626"/>
      <c r="X838" s="1626"/>
      <c r="Y838" s="1626"/>
      <c r="Z838" s="1626"/>
    </row>
    <row r="839" spans="1:26" ht="15.75" customHeight="1" x14ac:dyDescent="0.25">
      <c r="A839" s="1626"/>
      <c r="B839" s="1626"/>
      <c r="C839" s="1626"/>
      <c r="D839" s="1626"/>
      <c r="E839" s="1626"/>
      <c r="F839" s="1626"/>
      <c r="G839" s="1626"/>
      <c r="H839" s="1626"/>
      <c r="I839" s="1626"/>
      <c r="J839" s="1626"/>
      <c r="K839" s="1626"/>
      <c r="L839" s="1626"/>
      <c r="M839" s="1626"/>
      <c r="N839" s="1626"/>
      <c r="O839" s="1626"/>
      <c r="P839" s="1627"/>
      <c r="Q839" s="1627"/>
      <c r="R839" s="1626"/>
      <c r="S839" s="1626"/>
      <c r="T839" s="1626"/>
      <c r="U839" s="1626"/>
      <c r="V839" s="1626"/>
      <c r="W839" s="1626"/>
      <c r="X839" s="1626"/>
      <c r="Y839" s="1626"/>
      <c r="Z839" s="1626"/>
    </row>
    <row r="840" spans="1:26" ht="15.75" customHeight="1" x14ac:dyDescent="0.25">
      <c r="A840" s="1626"/>
      <c r="B840" s="1626"/>
      <c r="C840" s="1626"/>
      <c r="D840" s="1626"/>
      <c r="E840" s="1626"/>
      <c r="F840" s="1626"/>
      <c r="G840" s="1626"/>
      <c r="H840" s="1626"/>
      <c r="I840" s="1626"/>
      <c r="J840" s="1626"/>
      <c r="K840" s="1626"/>
      <c r="L840" s="1626"/>
      <c r="M840" s="1626"/>
      <c r="N840" s="1626"/>
      <c r="O840" s="1626"/>
      <c r="P840" s="1627"/>
      <c r="Q840" s="1627"/>
      <c r="R840" s="1626"/>
      <c r="S840" s="1626"/>
      <c r="T840" s="1626"/>
      <c r="U840" s="1626"/>
      <c r="V840" s="1626"/>
      <c r="W840" s="1626"/>
      <c r="X840" s="1626"/>
      <c r="Y840" s="1626"/>
      <c r="Z840" s="1626"/>
    </row>
    <row r="841" spans="1:26" ht="15.75" customHeight="1" x14ac:dyDescent="0.25">
      <c r="A841" s="1626"/>
      <c r="B841" s="1626"/>
      <c r="C841" s="1626"/>
      <c r="D841" s="1626"/>
      <c r="E841" s="1626"/>
      <c r="F841" s="1626"/>
      <c r="G841" s="1626"/>
      <c r="H841" s="1626"/>
      <c r="I841" s="1626"/>
      <c r="J841" s="1626"/>
      <c r="K841" s="1626"/>
      <c r="L841" s="1626"/>
      <c r="M841" s="1626"/>
      <c r="N841" s="1626"/>
      <c r="O841" s="1626"/>
      <c r="P841" s="1627"/>
      <c r="Q841" s="1627"/>
      <c r="R841" s="1626"/>
      <c r="S841" s="1626"/>
      <c r="T841" s="1626"/>
      <c r="U841" s="1626"/>
      <c r="V841" s="1626"/>
      <c r="W841" s="1626"/>
      <c r="X841" s="1626"/>
      <c r="Y841" s="1626"/>
      <c r="Z841" s="1626"/>
    </row>
    <row r="842" spans="1:26" ht="15.75" customHeight="1" x14ac:dyDescent="0.25">
      <c r="A842" s="1626"/>
      <c r="B842" s="1626"/>
      <c r="C842" s="1626"/>
      <c r="D842" s="1626"/>
      <c r="E842" s="1626"/>
      <c r="F842" s="1626"/>
      <c r="G842" s="1626"/>
      <c r="H842" s="1626"/>
      <c r="I842" s="1626"/>
      <c r="J842" s="1626"/>
      <c r="K842" s="1626"/>
      <c r="L842" s="1626"/>
      <c r="M842" s="1626"/>
      <c r="N842" s="1626"/>
      <c r="O842" s="1626"/>
      <c r="P842" s="1627"/>
      <c r="Q842" s="1627"/>
      <c r="R842" s="1626"/>
      <c r="S842" s="1626"/>
      <c r="T842" s="1626"/>
      <c r="U842" s="1626"/>
      <c r="V842" s="1626"/>
      <c r="W842" s="1626"/>
      <c r="X842" s="1626"/>
      <c r="Y842" s="1626"/>
      <c r="Z842" s="1626"/>
    </row>
    <row r="843" spans="1:26" ht="15.75" customHeight="1" x14ac:dyDescent="0.25">
      <c r="A843" s="1626"/>
      <c r="B843" s="1626"/>
      <c r="C843" s="1626"/>
      <c r="D843" s="1626"/>
      <c r="E843" s="1626"/>
      <c r="F843" s="1626"/>
      <c r="G843" s="1626"/>
      <c r="H843" s="1626"/>
      <c r="I843" s="1626"/>
      <c r="J843" s="1626"/>
      <c r="K843" s="1626"/>
      <c r="L843" s="1626"/>
      <c r="M843" s="1626"/>
      <c r="N843" s="1626"/>
      <c r="O843" s="1626"/>
      <c r="P843" s="1627"/>
      <c r="Q843" s="1627"/>
      <c r="R843" s="1626"/>
      <c r="S843" s="1626"/>
      <c r="T843" s="1626"/>
      <c r="U843" s="1626"/>
      <c r="V843" s="1626"/>
      <c r="W843" s="1626"/>
      <c r="X843" s="1626"/>
      <c r="Y843" s="1626"/>
      <c r="Z843" s="1626"/>
    </row>
    <row r="844" spans="1:26" ht="15.75" customHeight="1" x14ac:dyDescent="0.25">
      <c r="A844" s="1626"/>
      <c r="B844" s="1626"/>
      <c r="C844" s="1626"/>
      <c r="D844" s="1626"/>
      <c r="E844" s="1626"/>
      <c r="F844" s="1626"/>
      <c r="G844" s="1626"/>
      <c r="H844" s="1626"/>
      <c r="I844" s="1626"/>
      <c r="J844" s="1626"/>
      <c r="K844" s="1626"/>
      <c r="L844" s="1626"/>
      <c r="M844" s="1626"/>
      <c r="N844" s="1626"/>
      <c r="O844" s="1626"/>
      <c r="P844" s="1627"/>
      <c r="Q844" s="1627"/>
      <c r="R844" s="1626"/>
      <c r="S844" s="1626"/>
      <c r="T844" s="1626"/>
      <c r="U844" s="1626"/>
      <c r="V844" s="1626"/>
      <c r="W844" s="1626"/>
      <c r="X844" s="1626"/>
      <c r="Y844" s="1626"/>
      <c r="Z844" s="1626"/>
    </row>
    <row r="845" spans="1:26" ht="15.75" customHeight="1" x14ac:dyDescent="0.25">
      <c r="A845" s="1626"/>
      <c r="B845" s="1626"/>
      <c r="C845" s="1626"/>
      <c r="D845" s="1626"/>
      <c r="E845" s="1626"/>
      <c r="F845" s="1626"/>
      <c r="G845" s="1626"/>
      <c r="H845" s="1626"/>
      <c r="I845" s="1626"/>
      <c r="J845" s="1626"/>
      <c r="K845" s="1626"/>
      <c r="L845" s="1626"/>
      <c r="M845" s="1626"/>
      <c r="N845" s="1626"/>
      <c r="O845" s="1626"/>
      <c r="P845" s="1627"/>
      <c r="Q845" s="1627"/>
      <c r="R845" s="1626"/>
      <c r="S845" s="1626"/>
      <c r="T845" s="1626"/>
      <c r="U845" s="1626"/>
      <c r="V845" s="1626"/>
      <c r="W845" s="1626"/>
      <c r="X845" s="1626"/>
      <c r="Y845" s="1626"/>
      <c r="Z845" s="1626"/>
    </row>
    <row r="846" spans="1:26" ht="15.75" customHeight="1" x14ac:dyDescent="0.25">
      <c r="A846" s="1626"/>
      <c r="B846" s="1626"/>
      <c r="C846" s="1626"/>
      <c r="D846" s="1626"/>
      <c r="E846" s="1626"/>
      <c r="F846" s="1626"/>
      <c r="G846" s="1626"/>
      <c r="H846" s="1626"/>
      <c r="I846" s="1626"/>
      <c r="J846" s="1626"/>
      <c r="K846" s="1626"/>
      <c r="L846" s="1626"/>
      <c r="M846" s="1626"/>
      <c r="N846" s="1626"/>
      <c r="O846" s="1626"/>
      <c r="P846" s="1627"/>
      <c r="Q846" s="1627"/>
      <c r="R846" s="1626"/>
      <c r="S846" s="1626"/>
      <c r="T846" s="1626"/>
      <c r="U846" s="1626"/>
      <c r="V846" s="1626"/>
      <c r="W846" s="1626"/>
      <c r="X846" s="1626"/>
      <c r="Y846" s="1626"/>
      <c r="Z846" s="1626"/>
    </row>
    <row r="847" spans="1:26" ht="15.75" customHeight="1" x14ac:dyDescent="0.25">
      <c r="A847" s="1626"/>
      <c r="B847" s="1626"/>
      <c r="C847" s="1626"/>
      <c r="D847" s="1626"/>
      <c r="E847" s="1626"/>
      <c r="F847" s="1626"/>
      <c r="G847" s="1626"/>
      <c r="H847" s="1626"/>
      <c r="I847" s="1626"/>
      <c r="J847" s="1626"/>
      <c r="K847" s="1626"/>
      <c r="L847" s="1626"/>
      <c r="M847" s="1626"/>
      <c r="N847" s="1626"/>
      <c r="O847" s="1626"/>
      <c r="P847" s="1627"/>
      <c r="Q847" s="1627"/>
      <c r="R847" s="1626"/>
      <c r="S847" s="1626"/>
      <c r="T847" s="1626"/>
      <c r="U847" s="1626"/>
      <c r="V847" s="1626"/>
      <c r="W847" s="1626"/>
      <c r="X847" s="1626"/>
      <c r="Y847" s="1626"/>
      <c r="Z847" s="1626"/>
    </row>
    <row r="848" spans="1:26" ht="15.75" customHeight="1" x14ac:dyDescent="0.25">
      <c r="A848" s="1626"/>
      <c r="B848" s="1626"/>
      <c r="C848" s="1626"/>
      <c r="D848" s="1626"/>
      <c r="E848" s="1626"/>
      <c r="F848" s="1626"/>
      <c r="G848" s="1626"/>
      <c r="H848" s="1626"/>
      <c r="I848" s="1626"/>
      <c r="J848" s="1626"/>
      <c r="K848" s="1626"/>
      <c r="L848" s="1626"/>
      <c r="M848" s="1626"/>
      <c r="N848" s="1626"/>
      <c r="O848" s="1626"/>
      <c r="P848" s="1627"/>
      <c r="Q848" s="1627"/>
      <c r="R848" s="1626"/>
      <c r="S848" s="1626"/>
      <c r="T848" s="1626"/>
      <c r="U848" s="1626"/>
      <c r="V848" s="1626"/>
      <c r="W848" s="1626"/>
      <c r="X848" s="1626"/>
      <c r="Y848" s="1626"/>
      <c r="Z848" s="1626"/>
    </row>
    <row r="849" spans="1:26" ht="15.75" customHeight="1" x14ac:dyDescent="0.25">
      <c r="A849" s="1626"/>
      <c r="B849" s="1626"/>
      <c r="C849" s="1626"/>
      <c r="D849" s="1626"/>
      <c r="E849" s="1626"/>
      <c r="F849" s="1626"/>
      <c r="G849" s="1626"/>
      <c r="H849" s="1626"/>
      <c r="I849" s="1626"/>
      <c r="J849" s="1626"/>
      <c r="K849" s="1626"/>
      <c r="L849" s="1626"/>
      <c r="M849" s="1626"/>
      <c r="N849" s="1626"/>
      <c r="O849" s="1626"/>
      <c r="P849" s="1627"/>
      <c r="Q849" s="1627"/>
      <c r="R849" s="1626"/>
      <c r="S849" s="1626"/>
      <c r="T849" s="1626"/>
      <c r="U849" s="1626"/>
      <c r="V849" s="1626"/>
      <c r="W849" s="1626"/>
      <c r="X849" s="1626"/>
      <c r="Y849" s="1626"/>
      <c r="Z849" s="1626"/>
    </row>
    <row r="850" spans="1:26" ht="15.75" customHeight="1" x14ac:dyDescent="0.25">
      <c r="A850" s="1626"/>
      <c r="B850" s="1626"/>
      <c r="C850" s="1626"/>
      <c r="D850" s="1626"/>
      <c r="E850" s="1626"/>
      <c r="F850" s="1626"/>
      <c r="G850" s="1626"/>
      <c r="H850" s="1626"/>
      <c r="I850" s="1626"/>
      <c r="J850" s="1626"/>
      <c r="K850" s="1626"/>
      <c r="L850" s="1626"/>
      <c r="M850" s="1626"/>
      <c r="N850" s="1626"/>
      <c r="O850" s="1626"/>
      <c r="P850" s="1627"/>
      <c r="Q850" s="1627"/>
      <c r="R850" s="1626"/>
      <c r="S850" s="1626"/>
      <c r="T850" s="1626"/>
      <c r="U850" s="1626"/>
      <c r="V850" s="1626"/>
      <c r="W850" s="1626"/>
      <c r="X850" s="1626"/>
      <c r="Y850" s="1626"/>
      <c r="Z850" s="1626"/>
    </row>
    <row r="851" spans="1:26" ht="15.75" customHeight="1" x14ac:dyDescent="0.25">
      <c r="A851" s="1626"/>
      <c r="B851" s="1626"/>
      <c r="C851" s="1626"/>
      <c r="D851" s="1626"/>
      <c r="E851" s="1626"/>
      <c r="F851" s="1626"/>
      <c r="G851" s="1626"/>
      <c r="H851" s="1626"/>
      <c r="I851" s="1626"/>
      <c r="J851" s="1626"/>
      <c r="K851" s="1626"/>
      <c r="L851" s="1626"/>
      <c r="M851" s="1626"/>
      <c r="N851" s="1626"/>
      <c r="O851" s="1626"/>
      <c r="P851" s="1627"/>
      <c r="Q851" s="1627"/>
      <c r="R851" s="1626"/>
      <c r="S851" s="1626"/>
      <c r="T851" s="1626"/>
      <c r="U851" s="1626"/>
      <c r="V851" s="1626"/>
      <c r="W851" s="1626"/>
      <c r="X851" s="1626"/>
      <c r="Y851" s="1626"/>
      <c r="Z851" s="1626"/>
    </row>
    <row r="852" spans="1:26" ht="15.75" customHeight="1" x14ac:dyDescent="0.25">
      <c r="A852" s="1626"/>
      <c r="B852" s="1626"/>
      <c r="C852" s="1626"/>
      <c r="D852" s="1626"/>
      <c r="E852" s="1626"/>
      <c r="F852" s="1626"/>
      <c r="G852" s="1626"/>
      <c r="H852" s="1626"/>
      <c r="I852" s="1626"/>
      <c r="J852" s="1626"/>
      <c r="K852" s="1626"/>
      <c r="L852" s="1626"/>
      <c r="M852" s="1626"/>
      <c r="N852" s="1626"/>
      <c r="O852" s="1626"/>
      <c r="P852" s="1627"/>
      <c r="Q852" s="1627"/>
      <c r="R852" s="1626"/>
      <c r="S852" s="1626"/>
      <c r="T852" s="1626"/>
      <c r="U852" s="1626"/>
      <c r="V852" s="1626"/>
      <c r="W852" s="1626"/>
      <c r="X852" s="1626"/>
      <c r="Y852" s="1626"/>
      <c r="Z852" s="1626"/>
    </row>
    <row r="853" spans="1:26" ht="15.75" customHeight="1" x14ac:dyDescent="0.25">
      <c r="A853" s="1626"/>
      <c r="B853" s="1626"/>
      <c r="C853" s="1626"/>
      <c r="D853" s="1626"/>
      <c r="E853" s="1626"/>
      <c r="F853" s="1626"/>
      <c r="G853" s="1626"/>
      <c r="H853" s="1626"/>
      <c r="I853" s="1626"/>
      <c r="J853" s="1626"/>
      <c r="K853" s="1626"/>
      <c r="L853" s="1626"/>
      <c r="M853" s="1626"/>
      <c r="N853" s="1626"/>
      <c r="O853" s="1626"/>
      <c r="P853" s="1627"/>
      <c r="Q853" s="1627"/>
      <c r="R853" s="1626"/>
      <c r="S853" s="1626"/>
      <c r="T853" s="1626"/>
      <c r="U853" s="1626"/>
      <c r="V853" s="1626"/>
      <c r="W853" s="1626"/>
      <c r="X853" s="1626"/>
      <c r="Y853" s="1626"/>
      <c r="Z853" s="1626"/>
    </row>
    <row r="854" spans="1:26" ht="15.75" customHeight="1" x14ac:dyDescent="0.25">
      <c r="A854" s="1626"/>
      <c r="B854" s="1626"/>
      <c r="C854" s="1626"/>
      <c r="D854" s="1626"/>
      <c r="E854" s="1626"/>
      <c r="F854" s="1626"/>
      <c r="G854" s="1626"/>
      <c r="H854" s="1626"/>
      <c r="I854" s="1626"/>
      <c r="J854" s="1626"/>
      <c r="K854" s="1626"/>
      <c r="L854" s="1626"/>
      <c r="M854" s="1626"/>
      <c r="N854" s="1626"/>
      <c r="O854" s="1626"/>
      <c r="P854" s="1627"/>
      <c r="Q854" s="1627"/>
      <c r="R854" s="1626"/>
      <c r="S854" s="1626"/>
      <c r="T854" s="1626"/>
      <c r="U854" s="1626"/>
      <c r="V854" s="1626"/>
      <c r="W854" s="1626"/>
      <c r="X854" s="1626"/>
      <c r="Y854" s="1626"/>
      <c r="Z854" s="1626"/>
    </row>
    <row r="855" spans="1:26" ht="15.75" customHeight="1" x14ac:dyDescent="0.25">
      <c r="A855" s="1626"/>
      <c r="B855" s="1626"/>
      <c r="C855" s="1626"/>
      <c r="D855" s="1626"/>
      <c r="E855" s="1626"/>
      <c r="F855" s="1626"/>
      <c r="G855" s="1626"/>
      <c r="H855" s="1626"/>
      <c r="I855" s="1626"/>
      <c r="J855" s="1626"/>
      <c r="K855" s="1626"/>
      <c r="L855" s="1626"/>
      <c r="M855" s="1626"/>
      <c r="N855" s="1626"/>
      <c r="O855" s="1626"/>
      <c r="P855" s="1627"/>
      <c r="Q855" s="1627"/>
      <c r="R855" s="1626"/>
      <c r="S855" s="1626"/>
      <c r="T855" s="1626"/>
      <c r="U855" s="1626"/>
      <c r="V855" s="1626"/>
      <c r="W855" s="1626"/>
      <c r="X855" s="1626"/>
      <c r="Y855" s="1626"/>
      <c r="Z855" s="1626"/>
    </row>
    <row r="856" spans="1:26" ht="15.75" customHeight="1" x14ac:dyDescent="0.25">
      <c r="A856" s="1626"/>
      <c r="B856" s="1626"/>
      <c r="C856" s="1626"/>
      <c r="D856" s="1626"/>
      <c r="E856" s="1626"/>
      <c r="F856" s="1626"/>
      <c r="G856" s="1626"/>
      <c r="H856" s="1626"/>
      <c r="I856" s="1626"/>
      <c r="J856" s="1626"/>
      <c r="K856" s="1626"/>
      <c r="L856" s="1626"/>
      <c r="M856" s="1626"/>
      <c r="N856" s="1626"/>
      <c r="O856" s="1626"/>
      <c r="P856" s="1627"/>
      <c r="Q856" s="1627"/>
      <c r="R856" s="1626"/>
      <c r="S856" s="1626"/>
      <c r="T856" s="1626"/>
      <c r="U856" s="1626"/>
      <c r="V856" s="1626"/>
      <c r="W856" s="1626"/>
      <c r="X856" s="1626"/>
      <c r="Y856" s="1626"/>
      <c r="Z856" s="1626"/>
    </row>
    <row r="857" spans="1:26" ht="15.75" customHeight="1" x14ac:dyDescent="0.25">
      <c r="A857" s="1626"/>
      <c r="B857" s="1626"/>
      <c r="C857" s="1626"/>
      <c r="D857" s="1626"/>
      <c r="E857" s="1626"/>
      <c r="F857" s="1626"/>
      <c r="G857" s="1626"/>
      <c r="H857" s="1626"/>
      <c r="I857" s="1626"/>
      <c r="J857" s="1626"/>
      <c r="K857" s="1626"/>
      <c r="L857" s="1626"/>
      <c r="M857" s="1626"/>
      <c r="N857" s="1626"/>
      <c r="O857" s="1626"/>
      <c r="P857" s="1627"/>
      <c r="Q857" s="1627"/>
      <c r="R857" s="1626"/>
      <c r="S857" s="1626"/>
      <c r="T857" s="1626"/>
      <c r="U857" s="1626"/>
      <c r="V857" s="1626"/>
      <c r="W857" s="1626"/>
      <c r="X857" s="1626"/>
      <c r="Y857" s="1626"/>
      <c r="Z857" s="1626"/>
    </row>
    <row r="858" spans="1:26" ht="15.75" customHeight="1" x14ac:dyDescent="0.25">
      <c r="A858" s="1626"/>
      <c r="B858" s="1626"/>
      <c r="C858" s="1626"/>
      <c r="D858" s="1626"/>
      <c r="E858" s="1626"/>
      <c r="F858" s="1626"/>
      <c r="G858" s="1626"/>
      <c r="H858" s="1626"/>
      <c r="I858" s="1626"/>
      <c r="J858" s="1626"/>
      <c r="K858" s="1626"/>
      <c r="L858" s="1626"/>
      <c r="M858" s="1626"/>
      <c r="N858" s="1626"/>
      <c r="O858" s="1626"/>
      <c r="P858" s="1627"/>
      <c r="Q858" s="1627"/>
      <c r="R858" s="1626"/>
      <c r="S858" s="1626"/>
      <c r="T858" s="1626"/>
      <c r="U858" s="1626"/>
      <c r="V858" s="1626"/>
      <c r="W858" s="1626"/>
      <c r="X858" s="1626"/>
      <c r="Y858" s="1626"/>
      <c r="Z858" s="1626"/>
    </row>
    <row r="859" spans="1:26" ht="15.75" customHeight="1" x14ac:dyDescent="0.25">
      <c r="A859" s="1626"/>
      <c r="B859" s="1626"/>
      <c r="C859" s="1626"/>
      <c r="D859" s="1626"/>
      <c r="E859" s="1626"/>
      <c r="F859" s="1626"/>
      <c r="G859" s="1626"/>
      <c r="H859" s="1626"/>
      <c r="I859" s="1626"/>
      <c r="J859" s="1626"/>
      <c r="K859" s="1626"/>
      <c r="L859" s="1626"/>
      <c r="M859" s="1626"/>
      <c r="N859" s="1626"/>
      <c r="O859" s="1626"/>
      <c r="P859" s="1627"/>
      <c r="Q859" s="1627"/>
      <c r="R859" s="1626"/>
      <c r="S859" s="1626"/>
      <c r="T859" s="1626"/>
      <c r="U859" s="1626"/>
      <c r="V859" s="1626"/>
      <c r="W859" s="1626"/>
      <c r="X859" s="1626"/>
      <c r="Y859" s="1626"/>
      <c r="Z859" s="1626"/>
    </row>
    <row r="860" spans="1:26" ht="15.75" customHeight="1" x14ac:dyDescent="0.25">
      <c r="A860" s="1626"/>
      <c r="B860" s="1626"/>
      <c r="C860" s="1626"/>
      <c r="D860" s="1626"/>
      <c r="E860" s="1626"/>
      <c r="F860" s="1626"/>
      <c r="G860" s="1626"/>
      <c r="H860" s="1626"/>
      <c r="I860" s="1626"/>
      <c r="J860" s="1626"/>
      <c r="K860" s="1626"/>
      <c r="L860" s="1626"/>
      <c r="M860" s="1626"/>
      <c r="N860" s="1626"/>
      <c r="O860" s="1626"/>
      <c r="P860" s="1627"/>
      <c r="Q860" s="1627"/>
      <c r="R860" s="1626"/>
      <c r="S860" s="1626"/>
      <c r="T860" s="1626"/>
      <c r="U860" s="1626"/>
      <c r="V860" s="1626"/>
      <c r="W860" s="1626"/>
      <c r="X860" s="1626"/>
      <c r="Y860" s="1626"/>
      <c r="Z860" s="1626"/>
    </row>
    <row r="861" spans="1:26" ht="15.75" customHeight="1" x14ac:dyDescent="0.25">
      <c r="A861" s="1626"/>
      <c r="B861" s="1626"/>
      <c r="C861" s="1626"/>
      <c r="D861" s="1626"/>
      <c r="E861" s="1626"/>
      <c r="F861" s="1626"/>
      <c r="G861" s="1626"/>
      <c r="H861" s="1626"/>
      <c r="I861" s="1626"/>
      <c r="J861" s="1626"/>
      <c r="K861" s="1626"/>
      <c r="L861" s="1626"/>
      <c r="M861" s="1626"/>
      <c r="N861" s="1626"/>
      <c r="O861" s="1626"/>
      <c r="P861" s="1627"/>
      <c r="Q861" s="1627"/>
      <c r="R861" s="1626"/>
      <c r="S861" s="1626"/>
      <c r="T861" s="1626"/>
      <c r="U861" s="1626"/>
      <c r="V861" s="1626"/>
      <c r="W861" s="1626"/>
      <c r="X861" s="1626"/>
      <c r="Y861" s="1626"/>
      <c r="Z861" s="1626"/>
    </row>
    <row r="862" spans="1:26" ht="15.75" customHeight="1" x14ac:dyDescent="0.25">
      <c r="A862" s="1626"/>
      <c r="B862" s="1626"/>
      <c r="C862" s="1626"/>
      <c r="D862" s="1626"/>
      <c r="E862" s="1626"/>
      <c r="F862" s="1626"/>
      <c r="G862" s="1626"/>
      <c r="H862" s="1626"/>
      <c r="I862" s="1626"/>
      <c r="J862" s="1626"/>
      <c r="K862" s="1626"/>
      <c r="L862" s="1626"/>
      <c r="M862" s="1626"/>
      <c r="N862" s="1626"/>
      <c r="O862" s="1626"/>
      <c r="P862" s="1627"/>
      <c r="Q862" s="1627"/>
      <c r="R862" s="1626"/>
      <c r="S862" s="1626"/>
      <c r="T862" s="1626"/>
      <c r="U862" s="1626"/>
      <c r="V862" s="1626"/>
      <c r="W862" s="1626"/>
      <c r="X862" s="1626"/>
      <c r="Y862" s="1626"/>
      <c r="Z862" s="1626"/>
    </row>
    <row r="863" spans="1:26" ht="15.75" customHeight="1" x14ac:dyDescent="0.25">
      <c r="A863" s="1626"/>
      <c r="B863" s="1626"/>
      <c r="C863" s="1626"/>
      <c r="D863" s="1626"/>
      <c r="E863" s="1626"/>
      <c r="F863" s="1626"/>
      <c r="G863" s="1626"/>
      <c r="H863" s="1626"/>
      <c r="I863" s="1626"/>
      <c r="J863" s="1626"/>
      <c r="K863" s="1626"/>
      <c r="L863" s="1626"/>
      <c r="M863" s="1626"/>
      <c r="N863" s="1626"/>
      <c r="O863" s="1626"/>
      <c r="P863" s="1627"/>
      <c r="Q863" s="1627"/>
      <c r="R863" s="1626"/>
      <c r="S863" s="1626"/>
      <c r="T863" s="1626"/>
      <c r="U863" s="1626"/>
      <c r="V863" s="1626"/>
      <c r="W863" s="1626"/>
      <c r="X863" s="1626"/>
      <c r="Y863" s="1626"/>
      <c r="Z863" s="1626"/>
    </row>
    <row r="864" spans="1:26" ht="15.75" customHeight="1" x14ac:dyDescent="0.25">
      <c r="A864" s="1626"/>
      <c r="B864" s="1626"/>
      <c r="C864" s="1626"/>
      <c r="D864" s="1626"/>
      <c r="E864" s="1626"/>
      <c r="F864" s="1626"/>
      <c r="G864" s="1626"/>
      <c r="H864" s="1626"/>
      <c r="I864" s="1626"/>
      <c r="J864" s="1626"/>
      <c r="K864" s="1626"/>
      <c r="L864" s="1626"/>
      <c r="M864" s="1626"/>
      <c r="N864" s="1626"/>
      <c r="O864" s="1626"/>
      <c r="P864" s="1627"/>
      <c r="Q864" s="1627"/>
      <c r="R864" s="1626"/>
      <c r="S864" s="1626"/>
      <c r="T864" s="1626"/>
      <c r="U864" s="1626"/>
      <c r="V864" s="1626"/>
      <c r="W864" s="1626"/>
      <c r="X864" s="1626"/>
      <c r="Y864" s="1626"/>
      <c r="Z864" s="1626"/>
    </row>
    <row r="865" spans="1:26" ht="15.75" customHeight="1" x14ac:dyDescent="0.25">
      <c r="A865" s="1626"/>
      <c r="B865" s="1626"/>
      <c r="C865" s="1626"/>
      <c r="D865" s="1626"/>
      <c r="E865" s="1626"/>
      <c r="F865" s="1626"/>
      <c r="G865" s="1626"/>
      <c r="H865" s="1626"/>
      <c r="I865" s="1626"/>
      <c r="J865" s="1626"/>
      <c r="K865" s="1626"/>
      <c r="L865" s="1626"/>
      <c r="M865" s="1626"/>
      <c r="N865" s="1626"/>
      <c r="O865" s="1626"/>
      <c r="P865" s="1627"/>
      <c r="Q865" s="1627"/>
      <c r="R865" s="1626"/>
      <c r="S865" s="1626"/>
      <c r="T865" s="1626"/>
      <c r="U865" s="1626"/>
      <c r="V865" s="1626"/>
      <c r="W865" s="1626"/>
      <c r="X865" s="1626"/>
      <c r="Y865" s="1626"/>
      <c r="Z865" s="1626"/>
    </row>
    <row r="866" spans="1:26" ht="15.75" customHeight="1" x14ac:dyDescent="0.25">
      <c r="A866" s="1626"/>
      <c r="B866" s="1626"/>
      <c r="C866" s="1626"/>
      <c r="D866" s="1626"/>
      <c r="E866" s="1626"/>
      <c r="F866" s="1626"/>
      <c r="G866" s="1626"/>
      <c r="H866" s="1626"/>
      <c r="I866" s="1626"/>
      <c r="J866" s="1626"/>
      <c r="K866" s="1626"/>
      <c r="L866" s="1626"/>
      <c r="M866" s="1626"/>
      <c r="N866" s="1626"/>
      <c r="O866" s="1626"/>
      <c r="P866" s="1627"/>
      <c r="Q866" s="1627"/>
      <c r="R866" s="1626"/>
      <c r="S866" s="1626"/>
      <c r="T866" s="1626"/>
      <c r="U866" s="1626"/>
      <c r="V866" s="1626"/>
      <c r="W866" s="1626"/>
      <c r="X866" s="1626"/>
      <c r="Y866" s="1626"/>
      <c r="Z866" s="1626"/>
    </row>
    <row r="867" spans="1:26" ht="15.75" customHeight="1" x14ac:dyDescent="0.25">
      <c r="A867" s="1626"/>
      <c r="B867" s="1626"/>
      <c r="C867" s="1626"/>
      <c r="D867" s="1626"/>
      <c r="E867" s="1626"/>
      <c r="F867" s="1626"/>
      <c r="G867" s="1626"/>
      <c r="H867" s="1626"/>
      <c r="I867" s="1626"/>
      <c r="J867" s="1626"/>
      <c r="K867" s="1626"/>
      <c r="L867" s="1626"/>
      <c r="M867" s="1626"/>
      <c r="N867" s="1626"/>
      <c r="O867" s="1626"/>
      <c r="P867" s="1627"/>
      <c r="Q867" s="1627"/>
      <c r="R867" s="1626"/>
      <c r="S867" s="1626"/>
      <c r="T867" s="1626"/>
      <c r="U867" s="1626"/>
      <c r="V867" s="1626"/>
      <c r="W867" s="1626"/>
      <c r="X867" s="1626"/>
      <c r="Y867" s="1626"/>
      <c r="Z867" s="1626"/>
    </row>
    <row r="868" spans="1:26" ht="15.75" customHeight="1" x14ac:dyDescent="0.25">
      <c r="A868" s="1626"/>
      <c r="B868" s="1626"/>
      <c r="C868" s="1626"/>
      <c r="D868" s="1626"/>
      <c r="E868" s="1626"/>
      <c r="F868" s="1626"/>
      <c r="G868" s="1626"/>
      <c r="H868" s="1626"/>
      <c r="I868" s="1626"/>
      <c r="J868" s="1626"/>
      <c r="K868" s="1626"/>
      <c r="L868" s="1626"/>
      <c r="M868" s="1626"/>
      <c r="N868" s="1626"/>
      <c r="O868" s="1626"/>
      <c r="P868" s="1627"/>
      <c r="Q868" s="1627"/>
      <c r="R868" s="1626"/>
      <c r="S868" s="1626"/>
      <c r="T868" s="1626"/>
      <c r="U868" s="1626"/>
      <c r="V868" s="1626"/>
      <c r="W868" s="1626"/>
      <c r="X868" s="1626"/>
      <c r="Y868" s="1626"/>
      <c r="Z868" s="1626"/>
    </row>
    <row r="869" spans="1:26" ht="15.75" customHeight="1" x14ac:dyDescent="0.25">
      <c r="A869" s="1626"/>
      <c r="B869" s="1626"/>
      <c r="C869" s="1626"/>
      <c r="D869" s="1626"/>
      <c r="E869" s="1626"/>
      <c r="F869" s="1626"/>
      <c r="G869" s="1626"/>
      <c r="H869" s="1626"/>
      <c r="I869" s="1626"/>
      <c r="J869" s="1626"/>
      <c r="K869" s="1626"/>
      <c r="L869" s="1626"/>
      <c r="M869" s="1626"/>
      <c r="N869" s="1626"/>
      <c r="O869" s="1626"/>
      <c r="P869" s="1627"/>
      <c r="Q869" s="1627"/>
      <c r="R869" s="1626"/>
      <c r="S869" s="1626"/>
      <c r="T869" s="1626"/>
      <c r="U869" s="1626"/>
      <c r="V869" s="1626"/>
      <c r="W869" s="1626"/>
      <c r="X869" s="1626"/>
      <c r="Y869" s="1626"/>
      <c r="Z869" s="1626"/>
    </row>
    <row r="870" spans="1:26" ht="15.75" customHeight="1" x14ac:dyDescent="0.25">
      <c r="A870" s="1626"/>
      <c r="B870" s="1626"/>
      <c r="C870" s="1626"/>
      <c r="D870" s="1626"/>
      <c r="E870" s="1626"/>
      <c r="F870" s="1626"/>
      <c r="G870" s="1626"/>
      <c r="H870" s="1626"/>
      <c r="I870" s="1626"/>
      <c r="J870" s="1626"/>
      <c r="K870" s="1626"/>
      <c r="L870" s="1626"/>
      <c r="M870" s="1626"/>
      <c r="N870" s="1626"/>
      <c r="O870" s="1626"/>
      <c r="P870" s="1627"/>
      <c r="Q870" s="1627"/>
      <c r="R870" s="1626"/>
      <c r="S870" s="1626"/>
      <c r="T870" s="1626"/>
      <c r="U870" s="1626"/>
      <c r="V870" s="1626"/>
      <c r="W870" s="1626"/>
      <c r="X870" s="1626"/>
      <c r="Y870" s="1626"/>
      <c r="Z870" s="1626"/>
    </row>
    <row r="871" spans="1:26" ht="15.75" customHeight="1" x14ac:dyDescent="0.25">
      <c r="A871" s="1626"/>
      <c r="B871" s="1626"/>
      <c r="C871" s="1626"/>
      <c r="D871" s="1626"/>
      <c r="E871" s="1626"/>
      <c r="F871" s="1626"/>
      <c r="G871" s="1626"/>
      <c r="H871" s="1626"/>
      <c r="I871" s="1626"/>
      <c r="J871" s="1626"/>
      <c r="K871" s="1626"/>
      <c r="L871" s="1626"/>
      <c r="M871" s="1626"/>
      <c r="N871" s="1626"/>
      <c r="O871" s="1626"/>
      <c r="P871" s="1627"/>
      <c r="Q871" s="1627"/>
      <c r="R871" s="1626"/>
      <c r="S871" s="1626"/>
      <c r="T871" s="1626"/>
      <c r="U871" s="1626"/>
      <c r="V871" s="1626"/>
      <c r="W871" s="1626"/>
      <c r="X871" s="1626"/>
      <c r="Y871" s="1626"/>
      <c r="Z871" s="1626"/>
    </row>
    <row r="872" spans="1:26" ht="15.75" customHeight="1" x14ac:dyDescent="0.25">
      <c r="A872" s="1626"/>
      <c r="B872" s="1626"/>
      <c r="C872" s="1626"/>
      <c r="D872" s="1626"/>
      <c r="E872" s="1626"/>
      <c r="F872" s="1626"/>
      <c r="G872" s="1626"/>
      <c r="H872" s="1626"/>
      <c r="I872" s="1626"/>
      <c r="J872" s="1626"/>
      <c r="K872" s="1626"/>
      <c r="L872" s="1626"/>
      <c r="M872" s="1626"/>
      <c r="N872" s="1626"/>
      <c r="O872" s="1626"/>
      <c r="P872" s="1627"/>
      <c r="Q872" s="1627"/>
      <c r="R872" s="1626"/>
      <c r="S872" s="1626"/>
      <c r="T872" s="1626"/>
      <c r="U872" s="1626"/>
      <c r="V872" s="1626"/>
      <c r="W872" s="1626"/>
      <c r="X872" s="1626"/>
      <c r="Y872" s="1626"/>
      <c r="Z872" s="1626"/>
    </row>
    <row r="873" spans="1:26" ht="15.75" customHeight="1" x14ac:dyDescent="0.25">
      <c r="A873" s="1626"/>
      <c r="B873" s="1626"/>
      <c r="C873" s="1626"/>
      <c r="D873" s="1626"/>
      <c r="E873" s="1626"/>
      <c r="F873" s="1626"/>
      <c r="G873" s="1626"/>
      <c r="H873" s="1626"/>
      <c r="I873" s="1626"/>
      <c r="J873" s="1626"/>
      <c r="K873" s="1626"/>
      <c r="L873" s="1626"/>
      <c r="M873" s="1626"/>
      <c r="N873" s="1626"/>
      <c r="O873" s="1626"/>
      <c r="P873" s="1627"/>
      <c r="Q873" s="1627"/>
      <c r="R873" s="1626"/>
      <c r="S873" s="1626"/>
      <c r="T873" s="1626"/>
      <c r="U873" s="1626"/>
      <c r="V873" s="1626"/>
      <c r="W873" s="1626"/>
      <c r="X873" s="1626"/>
      <c r="Y873" s="1626"/>
      <c r="Z873" s="1626"/>
    </row>
    <row r="874" spans="1:26" ht="15.75" customHeight="1" x14ac:dyDescent="0.25">
      <c r="A874" s="1626"/>
      <c r="B874" s="1626"/>
      <c r="C874" s="1626"/>
      <c r="D874" s="1626"/>
      <c r="E874" s="1626"/>
      <c r="F874" s="1626"/>
      <c r="G874" s="1626"/>
      <c r="H874" s="1626"/>
      <c r="I874" s="1626"/>
      <c r="J874" s="1626"/>
      <c r="K874" s="1626"/>
      <c r="L874" s="1626"/>
      <c r="M874" s="1626"/>
      <c r="N874" s="1626"/>
      <c r="O874" s="1626"/>
      <c r="P874" s="1627"/>
      <c r="Q874" s="1627"/>
      <c r="R874" s="1626"/>
      <c r="S874" s="1626"/>
      <c r="T874" s="1626"/>
      <c r="U874" s="1626"/>
      <c r="V874" s="1626"/>
      <c r="W874" s="1626"/>
      <c r="X874" s="1626"/>
      <c r="Y874" s="1626"/>
      <c r="Z874" s="1626"/>
    </row>
    <row r="875" spans="1:26" ht="15.75" customHeight="1" x14ac:dyDescent="0.25">
      <c r="A875" s="1626"/>
      <c r="B875" s="1626"/>
      <c r="C875" s="1626"/>
      <c r="D875" s="1626"/>
      <c r="E875" s="1626"/>
      <c r="F875" s="1626"/>
      <c r="G875" s="1626"/>
      <c r="H875" s="1626"/>
      <c r="I875" s="1626"/>
      <c r="J875" s="1626"/>
      <c r="K875" s="1626"/>
      <c r="L875" s="1626"/>
      <c r="M875" s="1626"/>
      <c r="N875" s="1626"/>
      <c r="O875" s="1626"/>
      <c r="P875" s="1627"/>
      <c r="Q875" s="1627"/>
      <c r="R875" s="1626"/>
      <c r="S875" s="1626"/>
      <c r="T875" s="1626"/>
      <c r="U875" s="1626"/>
      <c r="V875" s="1626"/>
      <c r="W875" s="1626"/>
      <c r="X875" s="1626"/>
      <c r="Y875" s="1626"/>
      <c r="Z875" s="1626"/>
    </row>
    <row r="876" spans="1:26" ht="15.75" customHeight="1" x14ac:dyDescent="0.25">
      <c r="A876" s="1626"/>
      <c r="B876" s="1626"/>
      <c r="C876" s="1626"/>
      <c r="D876" s="1626"/>
      <c r="E876" s="1626"/>
      <c r="F876" s="1626"/>
      <c r="G876" s="1626"/>
      <c r="H876" s="1626"/>
      <c r="I876" s="1626"/>
      <c r="J876" s="1626"/>
      <c r="K876" s="1626"/>
      <c r="L876" s="1626"/>
      <c r="M876" s="1626"/>
      <c r="N876" s="1626"/>
      <c r="O876" s="1626"/>
      <c r="P876" s="1627"/>
      <c r="Q876" s="1627"/>
      <c r="R876" s="1626"/>
      <c r="S876" s="1626"/>
      <c r="T876" s="1626"/>
      <c r="U876" s="1626"/>
      <c r="V876" s="1626"/>
      <c r="W876" s="1626"/>
      <c r="X876" s="1626"/>
      <c r="Y876" s="1626"/>
      <c r="Z876" s="1626"/>
    </row>
    <row r="877" spans="1:26" ht="15.75" customHeight="1" x14ac:dyDescent="0.25">
      <c r="A877" s="1626"/>
      <c r="B877" s="1626"/>
      <c r="C877" s="1626"/>
      <c r="D877" s="1626"/>
      <c r="E877" s="1626"/>
      <c r="F877" s="1626"/>
      <c r="G877" s="1626"/>
      <c r="H877" s="1626"/>
      <c r="I877" s="1626"/>
      <c r="J877" s="1626"/>
      <c r="K877" s="1626"/>
      <c r="L877" s="1626"/>
      <c r="M877" s="1626"/>
      <c r="N877" s="1626"/>
      <c r="O877" s="1626"/>
      <c r="P877" s="1627"/>
      <c r="Q877" s="1627"/>
      <c r="R877" s="1626"/>
      <c r="S877" s="1626"/>
      <c r="T877" s="1626"/>
      <c r="U877" s="1626"/>
      <c r="V877" s="1626"/>
      <c r="W877" s="1626"/>
      <c r="X877" s="1626"/>
      <c r="Y877" s="1626"/>
      <c r="Z877" s="1626"/>
    </row>
    <row r="878" spans="1:26" ht="15.75" customHeight="1" x14ac:dyDescent="0.25">
      <c r="A878" s="1626"/>
      <c r="B878" s="1626"/>
      <c r="C878" s="1626"/>
      <c r="D878" s="1626"/>
      <c r="E878" s="1626"/>
      <c r="F878" s="1626"/>
      <c r="G878" s="1626"/>
      <c r="H878" s="1626"/>
      <c r="I878" s="1626"/>
      <c r="J878" s="1626"/>
      <c r="K878" s="1626"/>
      <c r="L878" s="1626"/>
      <c r="M878" s="1626"/>
      <c r="N878" s="1626"/>
      <c r="O878" s="1626"/>
      <c r="P878" s="1627"/>
      <c r="Q878" s="1627"/>
      <c r="R878" s="1626"/>
      <c r="S878" s="1626"/>
      <c r="T878" s="1626"/>
      <c r="U878" s="1626"/>
      <c r="V878" s="1626"/>
      <c r="W878" s="1626"/>
      <c r="X878" s="1626"/>
      <c r="Y878" s="1626"/>
      <c r="Z878" s="1626"/>
    </row>
    <row r="879" spans="1:26" ht="15.75" customHeight="1" x14ac:dyDescent="0.25">
      <c r="A879" s="1626"/>
      <c r="B879" s="1626"/>
      <c r="C879" s="1626"/>
      <c r="D879" s="1626"/>
      <c r="E879" s="1626"/>
      <c r="F879" s="1626"/>
      <c r="G879" s="1626"/>
      <c r="H879" s="1626"/>
      <c r="I879" s="1626"/>
      <c r="J879" s="1626"/>
      <c r="K879" s="1626"/>
      <c r="L879" s="1626"/>
      <c r="M879" s="1626"/>
      <c r="N879" s="1626"/>
      <c r="O879" s="1626"/>
      <c r="P879" s="1627"/>
      <c r="Q879" s="1627"/>
      <c r="R879" s="1626"/>
      <c r="S879" s="1626"/>
      <c r="T879" s="1626"/>
      <c r="U879" s="1626"/>
      <c r="V879" s="1626"/>
      <c r="W879" s="1626"/>
      <c r="X879" s="1626"/>
      <c r="Y879" s="1626"/>
      <c r="Z879" s="1626"/>
    </row>
    <row r="880" spans="1:26" ht="15.75" customHeight="1" x14ac:dyDescent="0.25">
      <c r="A880" s="1626"/>
      <c r="B880" s="1626"/>
      <c r="C880" s="1626"/>
      <c r="D880" s="1626"/>
      <c r="E880" s="1626"/>
      <c r="F880" s="1626"/>
      <c r="G880" s="1626"/>
      <c r="H880" s="1626"/>
      <c r="I880" s="1626"/>
      <c r="J880" s="1626"/>
      <c r="K880" s="1626"/>
      <c r="L880" s="1626"/>
      <c r="M880" s="1626"/>
      <c r="N880" s="1626"/>
      <c r="O880" s="1626"/>
      <c r="P880" s="1627"/>
      <c r="Q880" s="1627"/>
      <c r="R880" s="1626"/>
      <c r="S880" s="1626"/>
      <c r="T880" s="1626"/>
      <c r="U880" s="1626"/>
      <c r="V880" s="1626"/>
      <c r="W880" s="1626"/>
      <c r="X880" s="1626"/>
      <c r="Y880" s="1626"/>
      <c r="Z880" s="1626"/>
    </row>
    <row r="881" spans="1:26" ht="15.75" customHeight="1" x14ac:dyDescent="0.25">
      <c r="A881" s="1626"/>
      <c r="B881" s="1626"/>
      <c r="C881" s="1626"/>
      <c r="D881" s="1626"/>
      <c r="E881" s="1626"/>
      <c r="F881" s="1626"/>
      <c r="G881" s="1626"/>
      <c r="H881" s="1626"/>
      <c r="I881" s="1626"/>
      <c r="J881" s="1626"/>
      <c r="K881" s="1626"/>
      <c r="L881" s="1626"/>
      <c r="M881" s="1626"/>
      <c r="N881" s="1626"/>
      <c r="O881" s="1626"/>
      <c r="P881" s="1627"/>
      <c r="Q881" s="1627"/>
      <c r="R881" s="1626"/>
      <c r="S881" s="1626"/>
      <c r="T881" s="1626"/>
      <c r="U881" s="1626"/>
      <c r="V881" s="1626"/>
      <c r="W881" s="1626"/>
      <c r="X881" s="1626"/>
      <c r="Y881" s="1626"/>
      <c r="Z881" s="1626"/>
    </row>
    <row r="882" spans="1:26" ht="15.75" customHeight="1" x14ac:dyDescent="0.25">
      <c r="A882" s="1626"/>
      <c r="B882" s="1626"/>
      <c r="C882" s="1626"/>
      <c r="D882" s="1626"/>
      <c r="E882" s="1626"/>
      <c r="F882" s="1626"/>
      <c r="G882" s="1626"/>
      <c r="H882" s="1626"/>
      <c r="I882" s="1626"/>
      <c r="J882" s="1626"/>
      <c r="K882" s="1626"/>
      <c r="L882" s="1626"/>
      <c r="M882" s="1626"/>
      <c r="N882" s="1626"/>
      <c r="O882" s="1626"/>
      <c r="P882" s="1627"/>
      <c r="Q882" s="1627"/>
      <c r="R882" s="1626"/>
      <c r="S882" s="1626"/>
      <c r="T882" s="1626"/>
      <c r="U882" s="1626"/>
      <c r="V882" s="1626"/>
      <c r="W882" s="1626"/>
      <c r="X882" s="1626"/>
      <c r="Y882" s="1626"/>
      <c r="Z882" s="1626"/>
    </row>
    <row r="883" spans="1:26" ht="15.75" customHeight="1" x14ac:dyDescent="0.25">
      <c r="A883" s="1626"/>
      <c r="B883" s="1626"/>
      <c r="C883" s="1626"/>
      <c r="D883" s="1626"/>
      <c r="E883" s="1626"/>
      <c r="F883" s="1626"/>
      <c r="G883" s="1626"/>
      <c r="H883" s="1626"/>
      <c r="I883" s="1626"/>
      <c r="J883" s="1626"/>
      <c r="K883" s="1626"/>
      <c r="L883" s="1626"/>
      <c r="M883" s="1626"/>
      <c r="N883" s="1626"/>
      <c r="O883" s="1626"/>
      <c r="P883" s="1627"/>
      <c r="Q883" s="1627"/>
      <c r="R883" s="1626"/>
      <c r="S883" s="1626"/>
      <c r="T883" s="1626"/>
      <c r="U883" s="1626"/>
      <c r="V883" s="1626"/>
      <c r="W883" s="1626"/>
      <c r="X883" s="1626"/>
      <c r="Y883" s="1626"/>
      <c r="Z883" s="1626"/>
    </row>
    <row r="884" spans="1:26" ht="15.75" customHeight="1" x14ac:dyDescent="0.25">
      <c r="A884" s="1626"/>
      <c r="B884" s="1626"/>
      <c r="C884" s="1626"/>
      <c r="D884" s="1626"/>
      <c r="E884" s="1626"/>
      <c r="F884" s="1626"/>
      <c r="G884" s="1626"/>
      <c r="H884" s="1626"/>
      <c r="I884" s="1626"/>
      <c r="J884" s="1626"/>
      <c r="K884" s="1626"/>
      <c r="L884" s="1626"/>
      <c r="M884" s="1626"/>
      <c r="N884" s="1626"/>
      <c r="O884" s="1626"/>
      <c r="P884" s="1627"/>
      <c r="Q884" s="1627"/>
      <c r="R884" s="1626"/>
      <c r="S884" s="1626"/>
      <c r="T884" s="1626"/>
      <c r="U884" s="1626"/>
      <c r="V884" s="1626"/>
      <c r="W884" s="1626"/>
      <c r="X884" s="1626"/>
      <c r="Y884" s="1626"/>
      <c r="Z884" s="1626"/>
    </row>
    <row r="885" spans="1:26" ht="15.75" customHeight="1" x14ac:dyDescent="0.25">
      <c r="A885" s="1626"/>
      <c r="B885" s="1626"/>
      <c r="C885" s="1626"/>
      <c r="D885" s="1626"/>
      <c r="E885" s="1626"/>
      <c r="F885" s="1626"/>
      <c r="G885" s="1626"/>
      <c r="H885" s="1626"/>
      <c r="I885" s="1626"/>
      <c r="J885" s="1626"/>
      <c r="K885" s="1626"/>
      <c r="L885" s="1626"/>
      <c r="M885" s="1626"/>
      <c r="N885" s="1626"/>
      <c r="O885" s="1626"/>
      <c r="P885" s="1627"/>
      <c r="Q885" s="1627"/>
      <c r="R885" s="1626"/>
      <c r="S885" s="1626"/>
      <c r="T885" s="1626"/>
      <c r="U885" s="1626"/>
      <c r="V885" s="1626"/>
      <c r="W885" s="1626"/>
      <c r="X885" s="1626"/>
      <c r="Y885" s="1626"/>
      <c r="Z885" s="1626"/>
    </row>
    <row r="886" spans="1:26" ht="15.75" customHeight="1" x14ac:dyDescent="0.25">
      <c r="A886" s="1626"/>
      <c r="B886" s="1626"/>
      <c r="C886" s="1626"/>
      <c r="D886" s="1626"/>
      <c r="E886" s="1626"/>
      <c r="F886" s="1626"/>
      <c r="G886" s="1626"/>
      <c r="H886" s="1626"/>
      <c r="I886" s="1626"/>
      <c r="J886" s="1626"/>
      <c r="K886" s="1626"/>
      <c r="L886" s="1626"/>
      <c r="M886" s="1626"/>
      <c r="N886" s="1626"/>
      <c r="O886" s="1626"/>
      <c r="P886" s="1627"/>
      <c r="Q886" s="1627"/>
      <c r="R886" s="1626"/>
      <c r="S886" s="1626"/>
      <c r="T886" s="1626"/>
      <c r="U886" s="1626"/>
      <c r="V886" s="1626"/>
      <c r="W886" s="1626"/>
      <c r="X886" s="1626"/>
      <c r="Y886" s="1626"/>
      <c r="Z886" s="1626"/>
    </row>
    <row r="887" spans="1:26" ht="15.75" customHeight="1" x14ac:dyDescent="0.25">
      <c r="A887" s="1626"/>
      <c r="B887" s="1626"/>
      <c r="C887" s="1626"/>
      <c r="D887" s="1626"/>
      <c r="E887" s="1626"/>
      <c r="F887" s="1626"/>
      <c r="G887" s="1626"/>
      <c r="H887" s="1626"/>
      <c r="I887" s="1626"/>
      <c r="J887" s="1626"/>
      <c r="K887" s="1626"/>
      <c r="L887" s="1626"/>
      <c r="M887" s="1626"/>
      <c r="N887" s="1626"/>
      <c r="O887" s="1626"/>
      <c r="P887" s="1627"/>
      <c r="Q887" s="1627"/>
      <c r="R887" s="1626"/>
      <c r="S887" s="1626"/>
      <c r="T887" s="1626"/>
      <c r="U887" s="1626"/>
      <c r="V887" s="1626"/>
      <c r="W887" s="1626"/>
      <c r="X887" s="1626"/>
      <c r="Y887" s="1626"/>
      <c r="Z887" s="1626"/>
    </row>
    <row r="888" spans="1:26" ht="15.75" customHeight="1" x14ac:dyDescent="0.25">
      <c r="A888" s="1626"/>
      <c r="B888" s="1626"/>
      <c r="C888" s="1626"/>
      <c r="D888" s="1626"/>
      <c r="E888" s="1626"/>
      <c r="F888" s="1626"/>
      <c r="G888" s="1626"/>
      <c r="H888" s="1626"/>
      <c r="I888" s="1626"/>
      <c r="J888" s="1626"/>
      <c r="K888" s="1626"/>
      <c r="L888" s="1626"/>
      <c r="M888" s="1626"/>
      <c r="N888" s="1626"/>
      <c r="O888" s="1626"/>
      <c r="P888" s="1627"/>
      <c r="Q888" s="1627"/>
      <c r="R888" s="1626"/>
      <c r="S888" s="1626"/>
      <c r="T888" s="1626"/>
      <c r="U888" s="1626"/>
      <c r="V888" s="1626"/>
      <c r="W888" s="1626"/>
      <c r="X888" s="1626"/>
      <c r="Y888" s="1626"/>
      <c r="Z888" s="1626"/>
    </row>
    <row r="889" spans="1:26" ht="15.75" customHeight="1" x14ac:dyDescent="0.25">
      <c r="A889" s="1626"/>
      <c r="B889" s="1626"/>
      <c r="C889" s="1626"/>
      <c r="D889" s="1626"/>
      <c r="E889" s="1626"/>
      <c r="F889" s="1626"/>
      <c r="G889" s="1626"/>
      <c r="H889" s="1626"/>
      <c r="I889" s="1626"/>
      <c r="J889" s="1626"/>
      <c r="K889" s="1626"/>
      <c r="L889" s="1626"/>
      <c r="M889" s="1626"/>
      <c r="N889" s="1626"/>
      <c r="O889" s="1626"/>
      <c r="P889" s="1627"/>
      <c r="Q889" s="1627"/>
      <c r="R889" s="1626"/>
      <c r="S889" s="1626"/>
      <c r="T889" s="1626"/>
      <c r="U889" s="1626"/>
      <c r="V889" s="1626"/>
      <c r="W889" s="1626"/>
      <c r="X889" s="1626"/>
      <c r="Y889" s="1626"/>
      <c r="Z889" s="1626"/>
    </row>
    <row r="890" spans="1:26" ht="15.75" customHeight="1" x14ac:dyDescent="0.25">
      <c r="A890" s="1626"/>
      <c r="B890" s="1626"/>
      <c r="C890" s="1626"/>
      <c r="D890" s="1626"/>
      <c r="E890" s="1626"/>
      <c r="F890" s="1626"/>
      <c r="G890" s="1626"/>
      <c r="H890" s="1626"/>
      <c r="I890" s="1626"/>
      <c r="J890" s="1626"/>
      <c r="K890" s="1626"/>
      <c r="L890" s="1626"/>
      <c r="M890" s="1626"/>
      <c r="N890" s="1626"/>
      <c r="O890" s="1626"/>
      <c r="P890" s="1627"/>
      <c r="Q890" s="1627"/>
      <c r="R890" s="1626"/>
      <c r="S890" s="1626"/>
      <c r="T890" s="1626"/>
      <c r="U890" s="1626"/>
      <c r="V890" s="1626"/>
      <c r="W890" s="1626"/>
      <c r="X890" s="1626"/>
      <c r="Y890" s="1626"/>
      <c r="Z890" s="1626"/>
    </row>
    <row r="891" spans="1:26" ht="15.75" customHeight="1" x14ac:dyDescent="0.25">
      <c r="A891" s="1626"/>
      <c r="B891" s="1626"/>
      <c r="C891" s="1626"/>
      <c r="D891" s="1626"/>
      <c r="E891" s="1626"/>
      <c r="F891" s="1626"/>
      <c r="G891" s="1626"/>
      <c r="H891" s="1626"/>
      <c r="I891" s="1626"/>
      <c r="J891" s="1626"/>
      <c r="K891" s="1626"/>
      <c r="L891" s="1626"/>
      <c r="M891" s="1626"/>
      <c r="N891" s="1626"/>
      <c r="O891" s="1626"/>
      <c r="P891" s="1627"/>
      <c r="Q891" s="1627"/>
      <c r="R891" s="1626"/>
      <c r="S891" s="1626"/>
      <c r="T891" s="1626"/>
      <c r="U891" s="1626"/>
      <c r="V891" s="1626"/>
      <c r="W891" s="1626"/>
      <c r="X891" s="1626"/>
      <c r="Y891" s="1626"/>
      <c r="Z891" s="1626"/>
    </row>
    <row r="892" spans="1:26" ht="15.75" customHeight="1" x14ac:dyDescent="0.25">
      <c r="A892" s="1626"/>
      <c r="B892" s="1626"/>
      <c r="C892" s="1626"/>
      <c r="D892" s="1626"/>
      <c r="E892" s="1626"/>
      <c r="F892" s="1626"/>
      <c r="G892" s="1626"/>
      <c r="H892" s="1626"/>
      <c r="I892" s="1626"/>
      <c r="J892" s="1626"/>
      <c r="K892" s="1626"/>
      <c r="L892" s="1626"/>
      <c r="M892" s="1626"/>
      <c r="N892" s="1626"/>
      <c r="O892" s="1626"/>
      <c r="P892" s="1627"/>
      <c r="Q892" s="1627"/>
      <c r="R892" s="1626"/>
      <c r="S892" s="1626"/>
      <c r="T892" s="1626"/>
      <c r="U892" s="1626"/>
      <c r="V892" s="1626"/>
      <c r="W892" s="1626"/>
      <c r="X892" s="1626"/>
      <c r="Y892" s="1626"/>
      <c r="Z892" s="1626"/>
    </row>
    <row r="893" spans="1:26" ht="15.75" customHeight="1" x14ac:dyDescent="0.25">
      <c r="A893" s="1626"/>
      <c r="B893" s="1626"/>
      <c r="C893" s="1626"/>
      <c r="D893" s="1626"/>
      <c r="E893" s="1626"/>
      <c r="F893" s="1626"/>
      <c r="G893" s="1626"/>
      <c r="H893" s="1626"/>
      <c r="I893" s="1626"/>
      <c r="J893" s="1626"/>
      <c r="K893" s="1626"/>
      <c r="L893" s="1626"/>
      <c r="M893" s="1626"/>
      <c r="N893" s="1626"/>
      <c r="O893" s="1626"/>
      <c r="P893" s="1627"/>
      <c r="Q893" s="1627"/>
      <c r="R893" s="1626"/>
      <c r="S893" s="1626"/>
      <c r="T893" s="1626"/>
      <c r="U893" s="1626"/>
      <c r="V893" s="1626"/>
      <c r="W893" s="1626"/>
      <c r="X893" s="1626"/>
      <c r="Y893" s="1626"/>
      <c r="Z893" s="1626"/>
    </row>
    <row r="894" spans="1:26" ht="15.75" customHeight="1" x14ac:dyDescent="0.25">
      <c r="A894" s="1626"/>
      <c r="B894" s="1626"/>
      <c r="C894" s="1626"/>
      <c r="D894" s="1626"/>
      <c r="E894" s="1626"/>
      <c r="F894" s="1626"/>
      <c r="G894" s="1626"/>
      <c r="H894" s="1626"/>
      <c r="I894" s="1626"/>
      <c r="J894" s="1626"/>
      <c r="K894" s="1626"/>
      <c r="L894" s="1626"/>
      <c r="M894" s="1626"/>
      <c r="N894" s="1626"/>
      <c r="O894" s="1626"/>
      <c r="P894" s="1627"/>
      <c r="Q894" s="1627"/>
      <c r="R894" s="1626"/>
      <c r="S894" s="1626"/>
      <c r="T894" s="1626"/>
      <c r="U894" s="1626"/>
      <c r="V894" s="1626"/>
      <c r="W894" s="1626"/>
      <c r="X894" s="1626"/>
      <c r="Y894" s="1626"/>
      <c r="Z894" s="1626"/>
    </row>
    <row r="895" spans="1:26" ht="15.75" customHeight="1" x14ac:dyDescent="0.25">
      <c r="A895" s="1626"/>
      <c r="B895" s="1626"/>
      <c r="C895" s="1626"/>
      <c r="D895" s="1626"/>
      <c r="E895" s="1626"/>
      <c r="F895" s="1626"/>
      <c r="G895" s="1626"/>
      <c r="H895" s="1626"/>
      <c r="I895" s="1626"/>
      <c r="J895" s="1626"/>
      <c r="K895" s="1626"/>
      <c r="L895" s="1626"/>
      <c r="M895" s="1626"/>
      <c r="N895" s="1626"/>
      <c r="O895" s="1626"/>
      <c r="P895" s="1627"/>
      <c r="Q895" s="1627"/>
      <c r="R895" s="1626"/>
      <c r="S895" s="1626"/>
      <c r="T895" s="1626"/>
      <c r="U895" s="1626"/>
      <c r="V895" s="1626"/>
      <c r="W895" s="1626"/>
      <c r="X895" s="1626"/>
      <c r="Y895" s="1626"/>
      <c r="Z895" s="1626"/>
    </row>
    <row r="896" spans="1:26" ht="15.75" customHeight="1" x14ac:dyDescent="0.25">
      <c r="A896" s="1626"/>
      <c r="B896" s="1626"/>
      <c r="C896" s="1626"/>
      <c r="D896" s="1626"/>
      <c r="E896" s="1626"/>
      <c r="F896" s="1626"/>
      <c r="G896" s="1626"/>
      <c r="H896" s="1626"/>
      <c r="I896" s="1626"/>
      <c r="J896" s="1626"/>
      <c r="K896" s="1626"/>
      <c r="L896" s="1626"/>
      <c r="M896" s="1626"/>
      <c r="N896" s="1626"/>
      <c r="O896" s="1626"/>
      <c r="P896" s="1627"/>
      <c r="Q896" s="1627"/>
      <c r="R896" s="1626"/>
      <c r="S896" s="1626"/>
      <c r="T896" s="1626"/>
      <c r="U896" s="1626"/>
      <c r="V896" s="1626"/>
      <c r="W896" s="1626"/>
      <c r="X896" s="1626"/>
      <c r="Y896" s="1626"/>
      <c r="Z896" s="1626"/>
    </row>
    <row r="897" spans="1:26" ht="15.75" customHeight="1" x14ac:dyDescent="0.25">
      <c r="A897" s="1626"/>
      <c r="B897" s="1626"/>
      <c r="C897" s="1626"/>
      <c r="D897" s="1626"/>
      <c r="E897" s="1626"/>
      <c r="F897" s="1626"/>
      <c r="G897" s="1626"/>
      <c r="H897" s="1626"/>
      <c r="I897" s="1626"/>
      <c r="J897" s="1626"/>
      <c r="K897" s="1626"/>
      <c r="L897" s="1626"/>
      <c r="M897" s="1626"/>
      <c r="N897" s="1626"/>
      <c r="O897" s="1626"/>
      <c r="P897" s="1627"/>
      <c r="Q897" s="1627"/>
      <c r="R897" s="1626"/>
      <c r="S897" s="1626"/>
      <c r="T897" s="1626"/>
      <c r="U897" s="1626"/>
      <c r="V897" s="1626"/>
      <c r="W897" s="1626"/>
      <c r="X897" s="1626"/>
      <c r="Y897" s="1626"/>
      <c r="Z897" s="1626"/>
    </row>
    <row r="898" spans="1:26" ht="15.75" customHeight="1" x14ac:dyDescent="0.25">
      <c r="A898" s="1626"/>
      <c r="B898" s="1626"/>
      <c r="C898" s="1626"/>
      <c r="D898" s="1626"/>
      <c r="E898" s="1626"/>
      <c r="F898" s="1626"/>
      <c r="G898" s="1626"/>
      <c r="H898" s="1626"/>
      <c r="I898" s="1626"/>
      <c r="J898" s="1626"/>
      <c r="K898" s="1626"/>
      <c r="L898" s="1626"/>
      <c r="M898" s="1626"/>
      <c r="N898" s="1626"/>
      <c r="O898" s="1626"/>
      <c r="P898" s="1627"/>
      <c r="Q898" s="1627"/>
      <c r="R898" s="1626"/>
      <c r="S898" s="1626"/>
      <c r="T898" s="1626"/>
      <c r="U898" s="1626"/>
      <c r="V898" s="1626"/>
      <c r="W898" s="1626"/>
      <c r="X898" s="1626"/>
      <c r="Y898" s="1626"/>
      <c r="Z898" s="1626"/>
    </row>
    <row r="899" spans="1:26" ht="15.75" customHeight="1" x14ac:dyDescent="0.25">
      <c r="A899" s="1626"/>
      <c r="B899" s="1626"/>
      <c r="C899" s="1626"/>
      <c r="D899" s="1626"/>
      <c r="E899" s="1626"/>
      <c r="F899" s="1626"/>
      <c r="G899" s="1626"/>
      <c r="H899" s="1626"/>
      <c r="I899" s="1626"/>
      <c r="J899" s="1626"/>
      <c r="K899" s="1626"/>
      <c r="L899" s="1626"/>
      <c r="M899" s="1626"/>
      <c r="N899" s="1626"/>
      <c r="O899" s="1626"/>
      <c r="P899" s="1627"/>
      <c r="Q899" s="1627"/>
      <c r="R899" s="1626"/>
      <c r="S899" s="1626"/>
      <c r="T899" s="1626"/>
      <c r="U899" s="1626"/>
      <c r="V899" s="1626"/>
      <c r="W899" s="1626"/>
      <c r="X899" s="1626"/>
      <c r="Y899" s="1626"/>
      <c r="Z899" s="1626"/>
    </row>
    <row r="900" spans="1:26" ht="15.75" customHeight="1" x14ac:dyDescent="0.25">
      <c r="A900" s="1626"/>
      <c r="B900" s="1626"/>
      <c r="C900" s="1626"/>
      <c r="D900" s="1626"/>
      <c r="E900" s="1626"/>
      <c r="F900" s="1626"/>
      <c r="G900" s="1626"/>
      <c r="H900" s="1626"/>
      <c r="I900" s="1626"/>
      <c r="J900" s="1626"/>
      <c r="K900" s="1626"/>
      <c r="L900" s="1626"/>
      <c r="M900" s="1626"/>
      <c r="N900" s="1626"/>
      <c r="O900" s="1626"/>
      <c r="P900" s="1627"/>
      <c r="Q900" s="1627"/>
      <c r="R900" s="1626"/>
      <c r="S900" s="1626"/>
      <c r="T900" s="1626"/>
      <c r="U900" s="1626"/>
      <c r="V900" s="1626"/>
      <c r="W900" s="1626"/>
      <c r="X900" s="1626"/>
      <c r="Y900" s="1626"/>
      <c r="Z900" s="1626"/>
    </row>
    <row r="901" spans="1:26" ht="15.75" customHeight="1" x14ac:dyDescent="0.25">
      <c r="A901" s="1626"/>
      <c r="B901" s="1626"/>
      <c r="C901" s="1626"/>
      <c r="D901" s="1626"/>
      <c r="E901" s="1626"/>
      <c r="F901" s="1626"/>
      <c r="G901" s="1626"/>
      <c r="H901" s="1626"/>
      <c r="I901" s="1626"/>
      <c r="J901" s="1626"/>
      <c r="K901" s="1626"/>
      <c r="L901" s="1626"/>
      <c r="M901" s="1626"/>
      <c r="N901" s="1626"/>
      <c r="O901" s="1626"/>
      <c r="P901" s="1627"/>
      <c r="Q901" s="1627"/>
      <c r="R901" s="1626"/>
      <c r="S901" s="1626"/>
      <c r="T901" s="1626"/>
      <c r="U901" s="1626"/>
      <c r="V901" s="1626"/>
      <c r="W901" s="1626"/>
      <c r="X901" s="1626"/>
      <c r="Y901" s="1626"/>
      <c r="Z901" s="1626"/>
    </row>
    <row r="902" spans="1:26" ht="15.75" customHeight="1" x14ac:dyDescent="0.25">
      <c r="A902" s="1626"/>
      <c r="B902" s="1626"/>
      <c r="C902" s="1626"/>
      <c r="D902" s="1626"/>
      <c r="E902" s="1626"/>
      <c r="F902" s="1626"/>
      <c r="G902" s="1626"/>
      <c r="H902" s="1626"/>
      <c r="I902" s="1626"/>
      <c r="J902" s="1626"/>
      <c r="K902" s="1626"/>
      <c r="L902" s="1626"/>
      <c r="M902" s="1626"/>
      <c r="N902" s="1626"/>
      <c r="O902" s="1626"/>
      <c r="P902" s="1627"/>
      <c r="Q902" s="1627"/>
      <c r="R902" s="1626"/>
      <c r="S902" s="1626"/>
      <c r="T902" s="1626"/>
      <c r="U902" s="1626"/>
      <c r="V902" s="1626"/>
      <c r="W902" s="1626"/>
      <c r="X902" s="1626"/>
      <c r="Y902" s="1626"/>
      <c r="Z902" s="1626"/>
    </row>
    <row r="903" spans="1:26" ht="15.75" customHeight="1" x14ac:dyDescent="0.25">
      <c r="A903" s="1626"/>
      <c r="B903" s="1626"/>
      <c r="C903" s="1626"/>
      <c r="D903" s="1626"/>
      <c r="E903" s="1626"/>
      <c r="F903" s="1626"/>
      <c r="G903" s="1626"/>
      <c r="H903" s="1626"/>
      <c r="I903" s="1626"/>
      <c r="J903" s="1626"/>
      <c r="K903" s="1626"/>
      <c r="L903" s="1626"/>
      <c r="M903" s="1626"/>
      <c r="N903" s="1626"/>
      <c r="O903" s="1626"/>
      <c r="P903" s="1627"/>
      <c r="Q903" s="1627"/>
      <c r="R903" s="1626"/>
      <c r="S903" s="1626"/>
      <c r="T903" s="1626"/>
      <c r="U903" s="1626"/>
      <c r="V903" s="1626"/>
      <c r="W903" s="1626"/>
      <c r="X903" s="1626"/>
      <c r="Y903" s="1626"/>
      <c r="Z903" s="1626"/>
    </row>
    <row r="904" spans="1:26" ht="15.75" customHeight="1" x14ac:dyDescent="0.25">
      <c r="A904" s="1626"/>
      <c r="B904" s="1626"/>
      <c r="C904" s="1626"/>
      <c r="D904" s="1626"/>
      <c r="E904" s="1626"/>
      <c r="F904" s="1626"/>
      <c r="G904" s="1626"/>
      <c r="H904" s="1626"/>
      <c r="I904" s="1626"/>
      <c r="J904" s="1626"/>
      <c r="K904" s="1626"/>
      <c r="L904" s="1626"/>
      <c r="M904" s="1626"/>
      <c r="N904" s="1626"/>
      <c r="O904" s="1626"/>
      <c r="P904" s="1627"/>
      <c r="Q904" s="1627"/>
      <c r="R904" s="1626"/>
      <c r="S904" s="1626"/>
      <c r="T904" s="1626"/>
      <c r="U904" s="1626"/>
      <c r="V904" s="1626"/>
      <c r="W904" s="1626"/>
      <c r="X904" s="1626"/>
      <c r="Y904" s="1626"/>
      <c r="Z904" s="1626"/>
    </row>
    <row r="905" spans="1:26" ht="15.75" customHeight="1" x14ac:dyDescent="0.25">
      <c r="A905" s="1626"/>
      <c r="B905" s="1626"/>
      <c r="C905" s="1626"/>
      <c r="D905" s="1626"/>
      <c r="E905" s="1626"/>
      <c r="F905" s="1626"/>
      <c r="G905" s="1626"/>
      <c r="H905" s="1626"/>
      <c r="I905" s="1626"/>
      <c r="J905" s="1626"/>
      <c r="K905" s="1626"/>
      <c r="L905" s="1626"/>
      <c r="M905" s="1626"/>
      <c r="N905" s="1626"/>
      <c r="O905" s="1626"/>
      <c r="P905" s="1627"/>
      <c r="Q905" s="1627"/>
      <c r="R905" s="1626"/>
      <c r="S905" s="1626"/>
      <c r="T905" s="1626"/>
      <c r="U905" s="1626"/>
      <c r="V905" s="1626"/>
      <c r="W905" s="1626"/>
      <c r="X905" s="1626"/>
      <c r="Y905" s="1626"/>
      <c r="Z905" s="1626"/>
    </row>
    <row r="906" spans="1:26" ht="15.75" customHeight="1" x14ac:dyDescent="0.25">
      <c r="A906" s="1626"/>
      <c r="B906" s="1626"/>
      <c r="C906" s="1626"/>
      <c r="D906" s="1626"/>
      <c r="E906" s="1626"/>
      <c r="F906" s="1626"/>
      <c r="G906" s="1626"/>
      <c r="H906" s="1626"/>
      <c r="I906" s="1626"/>
      <c r="J906" s="1626"/>
      <c r="K906" s="1626"/>
      <c r="L906" s="1626"/>
      <c r="M906" s="1626"/>
      <c r="N906" s="1626"/>
      <c r="O906" s="1626"/>
      <c r="P906" s="1627"/>
      <c r="Q906" s="1627"/>
      <c r="R906" s="1626"/>
      <c r="S906" s="1626"/>
      <c r="T906" s="1626"/>
      <c r="U906" s="1626"/>
      <c r="V906" s="1626"/>
      <c r="W906" s="1626"/>
      <c r="X906" s="1626"/>
      <c r="Y906" s="1626"/>
      <c r="Z906" s="1626"/>
    </row>
    <row r="907" spans="1:26" ht="15.75" customHeight="1" x14ac:dyDescent="0.25">
      <c r="A907" s="1626"/>
      <c r="B907" s="1626"/>
      <c r="C907" s="1626"/>
      <c r="D907" s="1626"/>
      <c r="E907" s="1626"/>
      <c r="F907" s="1626"/>
      <c r="G907" s="1626"/>
      <c r="H907" s="1626"/>
      <c r="I907" s="1626"/>
      <c r="J907" s="1626"/>
      <c r="K907" s="1626"/>
      <c r="L907" s="1626"/>
      <c r="M907" s="1626"/>
      <c r="N907" s="1626"/>
      <c r="O907" s="1626"/>
      <c r="P907" s="1627"/>
      <c r="Q907" s="1627"/>
      <c r="R907" s="1626"/>
      <c r="S907" s="1626"/>
      <c r="T907" s="1626"/>
      <c r="U907" s="1626"/>
      <c r="V907" s="1626"/>
      <c r="W907" s="1626"/>
      <c r="X907" s="1626"/>
      <c r="Y907" s="1626"/>
      <c r="Z907" s="1626"/>
    </row>
    <row r="908" spans="1:26" ht="15.75" customHeight="1" x14ac:dyDescent="0.25">
      <c r="A908" s="1626"/>
      <c r="B908" s="1626"/>
      <c r="C908" s="1626"/>
      <c r="D908" s="1626"/>
      <c r="E908" s="1626"/>
      <c r="F908" s="1626"/>
      <c r="G908" s="1626"/>
      <c r="H908" s="1626"/>
      <c r="I908" s="1626"/>
      <c r="J908" s="1626"/>
      <c r="K908" s="1626"/>
      <c r="L908" s="1626"/>
      <c r="M908" s="1626"/>
      <c r="N908" s="1626"/>
      <c r="O908" s="1626"/>
      <c r="P908" s="1627"/>
      <c r="Q908" s="1627"/>
      <c r="R908" s="1626"/>
      <c r="S908" s="1626"/>
      <c r="T908" s="1626"/>
      <c r="U908" s="1626"/>
      <c r="V908" s="1626"/>
      <c r="W908" s="1626"/>
      <c r="X908" s="1626"/>
      <c r="Y908" s="1626"/>
      <c r="Z908" s="1626"/>
    </row>
    <row r="909" spans="1:26" ht="15.75" customHeight="1" x14ac:dyDescent="0.25">
      <c r="A909" s="1626"/>
      <c r="B909" s="1626"/>
      <c r="C909" s="1626"/>
      <c r="D909" s="1626"/>
      <c r="E909" s="1626"/>
      <c r="F909" s="1626"/>
      <c r="G909" s="1626"/>
      <c r="H909" s="1626"/>
      <c r="I909" s="1626"/>
      <c r="J909" s="1626"/>
      <c r="K909" s="1626"/>
      <c r="L909" s="1626"/>
      <c r="M909" s="1626"/>
      <c r="N909" s="1626"/>
      <c r="O909" s="1626"/>
      <c r="P909" s="1627"/>
      <c r="Q909" s="1627"/>
      <c r="R909" s="1626"/>
      <c r="S909" s="1626"/>
      <c r="T909" s="1626"/>
      <c r="U909" s="1626"/>
      <c r="V909" s="1626"/>
      <c r="W909" s="1626"/>
      <c r="X909" s="1626"/>
      <c r="Y909" s="1626"/>
      <c r="Z909" s="1626"/>
    </row>
    <row r="910" spans="1:26" ht="15.75" customHeight="1" x14ac:dyDescent="0.25">
      <c r="A910" s="1626"/>
      <c r="B910" s="1626"/>
      <c r="C910" s="1626"/>
      <c r="D910" s="1626"/>
      <c r="E910" s="1626"/>
      <c r="F910" s="1626"/>
      <c r="G910" s="1626"/>
      <c r="H910" s="1626"/>
      <c r="I910" s="1626"/>
      <c r="J910" s="1626"/>
      <c r="K910" s="1626"/>
      <c r="L910" s="1626"/>
      <c r="M910" s="1626"/>
      <c r="N910" s="1626"/>
      <c r="O910" s="1626"/>
      <c r="P910" s="1627"/>
      <c r="Q910" s="1627"/>
      <c r="R910" s="1626"/>
      <c r="S910" s="1626"/>
      <c r="T910" s="1626"/>
      <c r="U910" s="1626"/>
      <c r="V910" s="1626"/>
      <c r="W910" s="1626"/>
      <c r="X910" s="1626"/>
      <c r="Y910" s="1626"/>
      <c r="Z910" s="1626"/>
    </row>
    <row r="911" spans="1:26" ht="15.75" customHeight="1" x14ac:dyDescent="0.25">
      <c r="A911" s="1626"/>
      <c r="B911" s="1626"/>
      <c r="C911" s="1626"/>
      <c r="D911" s="1626"/>
      <c r="E911" s="1626"/>
      <c r="F911" s="1626"/>
      <c r="G911" s="1626"/>
      <c r="H911" s="1626"/>
      <c r="I911" s="1626"/>
      <c r="J911" s="1626"/>
      <c r="K911" s="1626"/>
      <c r="L911" s="1626"/>
      <c r="M911" s="1626"/>
      <c r="N911" s="1626"/>
      <c r="O911" s="1626"/>
      <c r="P911" s="1627"/>
      <c r="Q911" s="1627"/>
      <c r="R911" s="1626"/>
      <c r="S911" s="1626"/>
      <c r="T911" s="1626"/>
      <c r="U911" s="1626"/>
      <c r="V911" s="1626"/>
      <c r="W911" s="1626"/>
      <c r="X911" s="1626"/>
      <c r="Y911" s="1626"/>
      <c r="Z911" s="1626"/>
    </row>
    <row r="912" spans="1:26" ht="15.75" customHeight="1" x14ac:dyDescent="0.25">
      <c r="A912" s="1626"/>
      <c r="B912" s="1626"/>
      <c r="C912" s="1626"/>
      <c r="D912" s="1626"/>
      <c r="E912" s="1626"/>
      <c r="F912" s="1626"/>
      <c r="G912" s="1626"/>
      <c r="H912" s="1626"/>
      <c r="I912" s="1626"/>
      <c r="J912" s="1626"/>
      <c r="K912" s="1626"/>
      <c r="L912" s="1626"/>
      <c r="M912" s="1626"/>
      <c r="N912" s="1626"/>
      <c r="O912" s="1626"/>
      <c r="P912" s="1627"/>
      <c r="Q912" s="1627"/>
      <c r="R912" s="1626"/>
      <c r="S912" s="1626"/>
      <c r="T912" s="1626"/>
      <c r="U912" s="1626"/>
      <c r="V912" s="1626"/>
      <c r="W912" s="1626"/>
      <c r="X912" s="1626"/>
      <c r="Y912" s="1626"/>
      <c r="Z912" s="1626"/>
    </row>
    <row r="913" spans="1:26" ht="15.75" customHeight="1" x14ac:dyDescent="0.25">
      <c r="A913" s="1626"/>
      <c r="B913" s="1626"/>
      <c r="C913" s="1626"/>
      <c r="D913" s="1626"/>
      <c r="E913" s="1626"/>
      <c r="F913" s="1626"/>
      <c r="G913" s="1626"/>
      <c r="H913" s="1626"/>
      <c r="I913" s="1626"/>
      <c r="J913" s="1626"/>
      <c r="K913" s="1626"/>
      <c r="L913" s="1626"/>
      <c r="M913" s="1626"/>
      <c r="N913" s="1626"/>
      <c r="O913" s="1626"/>
      <c r="P913" s="1627"/>
      <c r="Q913" s="1627"/>
      <c r="R913" s="1626"/>
      <c r="S913" s="1626"/>
      <c r="T913" s="1626"/>
      <c r="U913" s="1626"/>
      <c r="V913" s="1626"/>
      <c r="W913" s="1626"/>
      <c r="X913" s="1626"/>
      <c r="Y913" s="1626"/>
      <c r="Z913" s="1626"/>
    </row>
    <row r="914" spans="1:26" ht="15.75" customHeight="1" x14ac:dyDescent="0.25">
      <c r="A914" s="1626"/>
      <c r="B914" s="1626"/>
      <c r="C914" s="1626"/>
      <c r="D914" s="1626"/>
      <c r="E914" s="1626"/>
      <c r="F914" s="1626"/>
      <c r="G914" s="1626"/>
      <c r="H914" s="1626"/>
      <c r="I914" s="1626"/>
      <c r="J914" s="1626"/>
      <c r="K914" s="1626"/>
      <c r="L914" s="1626"/>
      <c r="M914" s="1626"/>
      <c r="N914" s="1626"/>
      <c r="O914" s="1626"/>
      <c r="P914" s="1627"/>
      <c r="Q914" s="1627"/>
      <c r="R914" s="1626"/>
      <c r="S914" s="1626"/>
      <c r="T914" s="1626"/>
      <c r="U914" s="1626"/>
      <c r="V914" s="1626"/>
      <c r="W914" s="1626"/>
      <c r="X914" s="1626"/>
      <c r="Y914" s="1626"/>
      <c r="Z914" s="1626"/>
    </row>
    <row r="915" spans="1:26" ht="15.75" customHeight="1" x14ac:dyDescent="0.25">
      <c r="A915" s="1626"/>
      <c r="B915" s="1626"/>
      <c r="C915" s="1626"/>
      <c r="D915" s="1626"/>
      <c r="E915" s="1626"/>
      <c r="F915" s="1626"/>
      <c r="G915" s="1626"/>
      <c r="H915" s="1626"/>
      <c r="I915" s="1626"/>
      <c r="J915" s="1626"/>
      <c r="K915" s="1626"/>
      <c r="L915" s="1626"/>
      <c r="M915" s="1626"/>
      <c r="N915" s="1626"/>
      <c r="O915" s="1626"/>
      <c r="P915" s="1627"/>
      <c r="Q915" s="1627"/>
      <c r="R915" s="1626"/>
      <c r="S915" s="1626"/>
      <c r="T915" s="1626"/>
      <c r="U915" s="1626"/>
      <c r="V915" s="1626"/>
      <c r="W915" s="1626"/>
      <c r="X915" s="1626"/>
      <c r="Y915" s="1626"/>
      <c r="Z915" s="1626"/>
    </row>
    <row r="916" spans="1:26" ht="15.75" customHeight="1" x14ac:dyDescent="0.25">
      <c r="A916" s="1626"/>
      <c r="B916" s="1626"/>
      <c r="C916" s="1626"/>
      <c r="D916" s="1626"/>
      <c r="E916" s="1626"/>
      <c r="F916" s="1626"/>
      <c r="G916" s="1626"/>
      <c r="H916" s="1626"/>
      <c r="I916" s="1626"/>
      <c r="J916" s="1626"/>
      <c r="K916" s="1626"/>
      <c r="L916" s="1626"/>
      <c r="M916" s="1626"/>
      <c r="N916" s="1626"/>
      <c r="O916" s="1626"/>
      <c r="P916" s="1627"/>
      <c r="Q916" s="1627"/>
      <c r="R916" s="1626"/>
      <c r="S916" s="1626"/>
      <c r="T916" s="1626"/>
      <c r="U916" s="1626"/>
      <c r="V916" s="1626"/>
      <c r="W916" s="1626"/>
      <c r="X916" s="1626"/>
      <c r="Y916" s="1626"/>
      <c r="Z916" s="1626"/>
    </row>
    <row r="917" spans="1:26" ht="15.75" customHeight="1" x14ac:dyDescent="0.25">
      <c r="A917" s="1626"/>
      <c r="B917" s="1626"/>
      <c r="C917" s="1626"/>
      <c r="D917" s="1626"/>
      <c r="E917" s="1626"/>
      <c r="F917" s="1626"/>
      <c r="G917" s="1626"/>
      <c r="H917" s="1626"/>
      <c r="I917" s="1626"/>
      <c r="J917" s="1626"/>
      <c r="K917" s="1626"/>
      <c r="L917" s="1626"/>
      <c r="M917" s="1626"/>
      <c r="N917" s="1626"/>
      <c r="O917" s="1626"/>
      <c r="P917" s="1627"/>
      <c r="Q917" s="1627"/>
      <c r="R917" s="1626"/>
      <c r="S917" s="1626"/>
      <c r="T917" s="1626"/>
      <c r="U917" s="1626"/>
      <c r="V917" s="1626"/>
      <c r="W917" s="1626"/>
      <c r="X917" s="1626"/>
      <c r="Y917" s="1626"/>
      <c r="Z917" s="1626"/>
    </row>
    <row r="918" spans="1:26" ht="15.75" customHeight="1" x14ac:dyDescent="0.25">
      <c r="A918" s="1626"/>
      <c r="B918" s="1626"/>
      <c r="C918" s="1626"/>
      <c r="D918" s="1626"/>
      <c r="E918" s="1626"/>
      <c r="F918" s="1626"/>
      <c r="G918" s="1626"/>
      <c r="H918" s="1626"/>
      <c r="I918" s="1626"/>
      <c r="J918" s="1626"/>
      <c r="K918" s="1626"/>
      <c r="L918" s="1626"/>
      <c r="M918" s="1626"/>
      <c r="N918" s="1626"/>
      <c r="O918" s="1626"/>
      <c r="P918" s="1627"/>
      <c r="Q918" s="1627"/>
      <c r="R918" s="1626"/>
      <c r="S918" s="1626"/>
      <c r="T918" s="1626"/>
      <c r="U918" s="1626"/>
      <c r="V918" s="1626"/>
      <c r="W918" s="1626"/>
      <c r="X918" s="1626"/>
      <c r="Y918" s="1626"/>
      <c r="Z918" s="1626"/>
    </row>
    <row r="919" spans="1:26" ht="15.75" customHeight="1" x14ac:dyDescent="0.25">
      <c r="A919" s="1626"/>
      <c r="B919" s="1626"/>
      <c r="C919" s="1626"/>
      <c r="D919" s="1626"/>
      <c r="E919" s="1626"/>
      <c r="F919" s="1626"/>
      <c r="G919" s="1626"/>
      <c r="H919" s="1626"/>
      <c r="I919" s="1626"/>
      <c r="J919" s="1626"/>
      <c r="K919" s="1626"/>
      <c r="L919" s="1626"/>
      <c r="M919" s="1626"/>
      <c r="N919" s="1626"/>
      <c r="O919" s="1626"/>
      <c r="P919" s="1627"/>
      <c r="Q919" s="1627"/>
      <c r="R919" s="1626"/>
      <c r="S919" s="1626"/>
      <c r="T919" s="1626"/>
      <c r="U919" s="1626"/>
      <c r="V919" s="1626"/>
      <c r="W919" s="1626"/>
      <c r="X919" s="1626"/>
      <c r="Y919" s="1626"/>
      <c r="Z919" s="1626"/>
    </row>
    <row r="920" spans="1:26" ht="15.75" customHeight="1" x14ac:dyDescent="0.25">
      <c r="A920" s="1626"/>
      <c r="B920" s="1626"/>
      <c r="C920" s="1626"/>
      <c r="D920" s="1626"/>
      <c r="E920" s="1626"/>
      <c r="F920" s="1626"/>
      <c r="G920" s="1626"/>
      <c r="H920" s="1626"/>
      <c r="I920" s="1626"/>
      <c r="J920" s="1626"/>
      <c r="K920" s="1626"/>
      <c r="L920" s="1626"/>
      <c r="M920" s="1626"/>
      <c r="N920" s="1626"/>
      <c r="O920" s="1626"/>
      <c r="P920" s="1627"/>
      <c r="Q920" s="1627"/>
      <c r="R920" s="1626"/>
      <c r="S920" s="1626"/>
      <c r="T920" s="1626"/>
      <c r="U920" s="1626"/>
      <c r="V920" s="1626"/>
      <c r="W920" s="1626"/>
      <c r="X920" s="1626"/>
      <c r="Y920" s="1626"/>
      <c r="Z920" s="1626"/>
    </row>
    <row r="921" spans="1:26" ht="15.75" customHeight="1" x14ac:dyDescent="0.25">
      <c r="A921" s="1626"/>
      <c r="B921" s="1626"/>
      <c r="C921" s="1626"/>
      <c r="D921" s="1626"/>
      <c r="E921" s="1626"/>
      <c r="F921" s="1626"/>
      <c r="G921" s="1626"/>
      <c r="H921" s="1626"/>
      <c r="I921" s="1626"/>
      <c r="J921" s="1626"/>
      <c r="K921" s="1626"/>
      <c r="L921" s="1626"/>
      <c r="M921" s="1626"/>
      <c r="N921" s="1626"/>
      <c r="O921" s="1626"/>
      <c r="P921" s="1627"/>
      <c r="Q921" s="1627"/>
      <c r="R921" s="1626"/>
      <c r="S921" s="1626"/>
      <c r="T921" s="1626"/>
      <c r="U921" s="1626"/>
      <c r="V921" s="1626"/>
      <c r="W921" s="1626"/>
      <c r="X921" s="1626"/>
      <c r="Y921" s="1626"/>
      <c r="Z921" s="1626"/>
    </row>
    <row r="922" spans="1:26" ht="15.75" customHeight="1" x14ac:dyDescent="0.25">
      <c r="A922" s="1626"/>
      <c r="B922" s="1626"/>
      <c r="C922" s="1626"/>
      <c r="D922" s="1626"/>
      <c r="E922" s="1626"/>
      <c r="F922" s="1626"/>
      <c r="G922" s="1626"/>
      <c r="H922" s="1626"/>
      <c r="I922" s="1626"/>
      <c r="J922" s="1626"/>
      <c r="K922" s="1626"/>
      <c r="L922" s="1626"/>
      <c r="M922" s="1626"/>
      <c r="N922" s="1626"/>
      <c r="O922" s="1626"/>
      <c r="P922" s="1627"/>
      <c r="Q922" s="1627"/>
      <c r="R922" s="1626"/>
      <c r="S922" s="1626"/>
      <c r="T922" s="1626"/>
      <c r="U922" s="1626"/>
      <c r="V922" s="1626"/>
      <c r="W922" s="1626"/>
      <c r="X922" s="1626"/>
      <c r="Y922" s="1626"/>
      <c r="Z922" s="1626"/>
    </row>
    <row r="923" spans="1:26" ht="15.75" customHeight="1" x14ac:dyDescent="0.25">
      <c r="A923" s="1626"/>
      <c r="B923" s="1626"/>
      <c r="C923" s="1626"/>
      <c r="D923" s="1626"/>
      <c r="E923" s="1626"/>
      <c r="F923" s="1626"/>
      <c r="G923" s="1626"/>
      <c r="H923" s="1626"/>
      <c r="I923" s="1626"/>
      <c r="J923" s="1626"/>
      <c r="K923" s="1626"/>
      <c r="L923" s="1626"/>
      <c r="M923" s="1626"/>
      <c r="N923" s="1626"/>
      <c r="O923" s="1626"/>
      <c r="P923" s="1627"/>
      <c r="Q923" s="1627"/>
      <c r="R923" s="1626"/>
      <c r="S923" s="1626"/>
      <c r="T923" s="1626"/>
      <c r="U923" s="1626"/>
      <c r="V923" s="1626"/>
      <c r="W923" s="1626"/>
      <c r="X923" s="1626"/>
      <c r="Y923" s="1626"/>
      <c r="Z923" s="1626"/>
    </row>
    <row r="924" spans="1:26" ht="15.75" customHeight="1" x14ac:dyDescent="0.25">
      <c r="A924" s="1626"/>
      <c r="B924" s="1626"/>
      <c r="C924" s="1626"/>
      <c r="D924" s="1626"/>
      <c r="E924" s="1626"/>
      <c r="F924" s="1626"/>
      <c r="G924" s="1626"/>
      <c r="H924" s="1626"/>
      <c r="I924" s="1626"/>
      <c r="J924" s="1626"/>
      <c r="K924" s="1626"/>
      <c r="L924" s="1626"/>
      <c r="M924" s="1626"/>
      <c r="N924" s="1626"/>
      <c r="O924" s="1626"/>
      <c r="P924" s="1627"/>
      <c r="Q924" s="1627"/>
      <c r="R924" s="1626"/>
      <c r="S924" s="1626"/>
      <c r="T924" s="1626"/>
      <c r="U924" s="1626"/>
      <c r="V924" s="1626"/>
      <c r="W924" s="1626"/>
      <c r="X924" s="1626"/>
      <c r="Y924" s="1626"/>
      <c r="Z924" s="1626"/>
    </row>
    <row r="925" spans="1:26" ht="15.75" customHeight="1" x14ac:dyDescent="0.25">
      <c r="A925" s="1626"/>
      <c r="B925" s="1626"/>
      <c r="C925" s="1626"/>
      <c r="D925" s="1626"/>
      <c r="E925" s="1626"/>
      <c r="F925" s="1626"/>
      <c r="G925" s="1626"/>
      <c r="H925" s="1626"/>
      <c r="I925" s="1626"/>
      <c r="J925" s="1626"/>
      <c r="K925" s="1626"/>
      <c r="L925" s="1626"/>
      <c r="M925" s="1626"/>
      <c r="N925" s="1626"/>
      <c r="O925" s="1626"/>
      <c r="P925" s="1627"/>
      <c r="Q925" s="1627"/>
      <c r="R925" s="1626"/>
      <c r="S925" s="1626"/>
      <c r="T925" s="1626"/>
      <c r="U925" s="1626"/>
      <c r="V925" s="1626"/>
      <c r="W925" s="1626"/>
      <c r="X925" s="1626"/>
      <c r="Y925" s="1626"/>
      <c r="Z925" s="1626"/>
    </row>
    <row r="926" spans="1:26" ht="15.75" customHeight="1" x14ac:dyDescent="0.25">
      <c r="A926" s="1626"/>
      <c r="B926" s="1626"/>
      <c r="C926" s="1626"/>
      <c r="D926" s="1626"/>
      <c r="E926" s="1626"/>
      <c r="F926" s="1626"/>
      <c r="G926" s="1626"/>
      <c r="H926" s="1626"/>
      <c r="I926" s="1626"/>
      <c r="J926" s="1626"/>
      <c r="K926" s="1626"/>
      <c r="L926" s="1626"/>
      <c r="M926" s="1626"/>
      <c r="N926" s="1626"/>
      <c r="O926" s="1626"/>
      <c r="P926" s="1627"/>
      <c r="Q926" s="1627"/>
      <c r="R926" s="1626"/>
      <c r="S926" s="1626"/>
      <c r="T926" s="1626"/>
      <c r="U926" s="1626"/>
      <c r="V926" s="1626"/>
      <c r="W926" s="1626"/>
      <c r="X926" s="1626"/>
      <c r="Y926" s="1626"/>
      <c r="Z926" s="1626"/>
    </row>
    <row r="927" spans="1:26" ht="15.75" customHeight="1" x14ac:dyDescent="0.25">
      <c r="A927" s="1626"/>
      <c r="B927" s="1626"/>
      <c r="C927" s="1626"/>
      <c r="D927" s="1626"/>
      <c r="E927" s="1626"/>
      <c r="F927" s="1626"/>
      <c r="G927" s="1626"/>
      <c r="H927" s="1626"/>
      <c r="I927" s="1626"/>
      <c r="J927" s="1626"/>
      <c r="K927" s="1626"/>
      <c r="L927" s="1626"/>
      <c r="M927" s="1626"/>
      <c r="N927" s="1626"/>
      <c r="O927" s="1626"/>
      <c r="P927" s="1627"/>
      <c r="Q927" s="1627"/>
      <c r="R927" s="1626"/>
      <c r="S927" s="1626"/>
      <c r="T927" s="1626"/>
      <c r="U927" s="1626"/>
      <c r="V927" s="1626"/>
      <c r="W927" s="1626"/>
      <c r="X927" s="1626"/>
      <c r="Y927" s="1626"/>
      <c r="Z927" s="1626"/>
    </row>
    <row r="928" spans="1:26" ht="15.75" customHeight="1" x14ac:dyDescent="0.25">
      <c r="A928" s="1626"/>
      <c r="B928" s="1626"/>
      <c r="C928" s="1626"/>
      <c r="D928" s="1626"/>
      <c r="E928" s="1626"/>
      <c r="F928" s="1626"/>
      <c r="G928" s="1626"/>
      <c r="H928" s="1626"/>
      <c r="I928" s="1626"/>
      <c r="J928" s="1626"/>
      <c r="K928" s="1626"/>
      <c r="L928" s="1626"/>
      <c r="M928" s="1626"/>
      <c r="N928" s="1626"/>
      <c r="O928" s="1626"/>
      <c r="P928" s="1627"/>
      <c r="Q928" s="1627"/>
      <c r="R928" s="1626"/>
      <c r="S928" s="1626"/>
      <c r="T928" s="1626"/>
      <c r="U928" s="1626"/>
      <c r="V928" s="1626"/>
      <c r="W928" s="1626"/>
      <c r="X928" s="1626"/>
      <c r="Y928" s="1626"/>
      <c r="Z928" s="1626"/>
    </row>
    <row r="929" spans="1:26" ht="15.75" customHeight="1" x14ac:dyDescent="0.25">
      <c r="A929" s="1626"/>
      <c r="B929" s="1626"/>
      <c r="C929" s="1626"/>
      <c r="D929" s="1626"/>
      <c r="E929" s="1626"/>
      <c r="F929" s="1626"/>
      <c r="G929" s="1626"/>
      <c r="H929" s="1626"/>
      <c r="I929" s="1626"/>
      <c r="J929" s="1626"/>
      <c r="K929" s="1626"/>
      <c r="L929" s="1626"/>
      <c r="M929" s="1626"/>
      <c r="N929" s="1626"/>
      <c r="O929" s="1626"/>
      <c r="P929" s="1627"/>
      <c r="Q929" s="1627"/>
      <c r="R929" s="1626"/>
      <c r="S929" s="1626"/>
      <c r="T929" s="1626"/>
      <c r="U929" s="1626"/>
      <c r="V929" s="1626"/>
      <c r="W929" s="1626"/>
      <c r="X929" s="1626"/>
      <c r="Y929" s="1626"/>
      <c r="Z929" s="1626"/>
    </row>
    <row r="930" spans="1:26" ht="15.75" customHeight="1" x14ac:dyDescent="0.25">
      <c r="A930" s="1626"/>
      <c r="B930" s="1626"/>
      <c r="C930" s="1626"/>
      <c r="D930" s="1626"/>
      <c r="E930" s="1626"/>
      <c r="F930" s="1626"/>
      <c r="G930" s="1626"/>
      <c r="H930" s="1626"/>
      <c r="I930" s="1626"/>
      <c r="J930" s="1626"/>
      <c r="K930" s="1626"/>
      <c r="L930" s="1626"/>
      <c r="M930" s="1626"/>
      <c r="N930" s="1626"/>
      <c r="O930" s="1626"/>
      <c r="P930" s="1627"/>
      <c r="Q930" s="1627"/>
      <c r="R930" s="1626"/>
      <c r="S930" s="1626"/>
      <c r="T930" s="1626"/>
      <c r="U930" s="1626"/>
      <c r="V930" s="1626"/>
      <c r="W930" s="1626"/>
      <c r="X930" s="1626"/>
      <c r="Y930" s="1626"/>
      <c r="Z930" s="1626"/>
    </row>
    <row r="931" spans="1:26" ht="15.75" customHeight="1" x14ac:dyDescent="0.25">
      <c r="A931" s="1626"/>
      <c r="B931" s="1626"/>
      <c r="C931" s="1626"/>
      <c r="D931" s="1626"/>
      <c r="E931" s="1626"/>
      <c r="F931" s="1626"/>
      <c r="G931" s="1626"/>
      <c r="H931" s="1626"/>
      <c r="I931" s="1626"/>
      <c r="J931" s="1626"/>
      <c r="K931" s="1626"/>
      <c r="L931" s="1626"/>
      <c r="M931" s="1626"/>
      <c r="N931" s="1626"/>
      <c r="O931" s="1626"/>
      <c r="P931" s="1627"/>
      <c r="Q931" s="1627"/>
      <c r="R931" s="1626"/>
      <c r="S931" s="1626"/>
      <c r="T931" s="1626"/>
      <c r="U931" s="1626"/>
      <c r="V931" s="1626"/>
      <c r="W931" s="1626"/>
      <c r="X931" s="1626"/>
      <c r="Y931" s="1626"/>
      <c r="Z931" s="1626"/>
    </row>
    <row r="932" spans="1:26" ht="15.75" customHeight="1" x14ac:dyDescent="0.25">
      <c r="A932" s="1626"/>
      <c r="B932" s="1626"/>
      <c r="C932" s="1626"/>
      <c r="D932" s="1626"/>
      <c r="E932" s="1626"/>
      <c r="F932" s="1626"/>
      <c r="G932" s="1626"/>
      <c r="H932" s="1626"/>
      <c r="I932" s="1626"/>
      <c r="J932" s="1626"/>
      <c r="K932" s="1626"/>
      <c r="L932" s="1626"/>
      <c r="M932" s="1626"/>
      <c r="N932" s="1626"/>
      <c r="O932" s="1626"/>
      <c r="P932" s="1627"/>
      <c r="Q932" s="1627"/>
      <c r="R932" s="1626"/>
      <c r="S932" s="1626"/>
      <c r="T932" s="1626"/>
      <c r="U932" s="1626"/>
      <c r="V932" s="1626"/>
      <c r="W932" s="1626"/>
      <c r="X932" s="1626"/>
      <c r="Y932" s="1626"/>
      <c r="Z932" s="1626"/>
    </row>
    <row r="933" spans="1:26" ht="15.75" customHeight="1" x14ac:dyDescent="0.25">
      <c r="A933" s="1626"/>
      <c r="B933" s="1626"/>
      <c r="C933" s="1626"/>
      <c r="D933" s="1626"/>
      <c r="E933" s="1626"/>
      <c r="F933" s="1626"/>
      <c r="G933" s="1626"/>
      <c r="H933" s="1626"/>
      <c r="I933" s="1626"/>
      <c r="J933" s="1626"/>
      <c r="K933" s="1626"/>
      <c r="L933" s="1626"/>
      <c r="M933" s="1626"/>
      <c r="N933" s="1626"/>
      <c r="O933" s="1626"/>
      <c r="P933" s="1627"/>
      <c r="Q933" s="1627"/>
      <c r="R933" s="1626"/>
      <c r="S933" s="1626"/>
      <c r="T933" s="1626"/>
      <c r="U933" s="1626"/>
      <c r="V933" s="1626"/>
      <c r="W933" s="1626"/>
      <c r="X933" s="1626"/>
      <c r="Y933" s="1626"/>
      <c r="Z933" s="1626"/>
    </row>
    <row r="934" spans="1:26" ht="15.75" customHeight="1" x14ac:dyDescent="0.25">
      <c r="A934" s="1626"/>
      <c r="B934" s="1626"/>
      <c r="C934" s="1626"/>
      <c r="D934" s="1626"/>
      <c r="E934" s="1626"/>
      <c r="F934" s="1626"/>
      <c r="G934" s="1626"/>
      <c r="H934" s="1626"/>
      <c r="I934" s="1626"/>
      <c r="J934" s="1626"/>
      <c r="K934" s="1626"/>
      <c r="L934" s="1626"/>
      <c r="M934" s="1626"/>
      <c r="N934" s="1626"/>
      <c r="O934" s="1626"/>
      <c r="P934" s="1627"/>
      <c r="Q934" s="1627"/>
      <c r="R934" s="1626"/>
      <c r="S934" s="1626"/>
      <c r="T934" s="1626"/>
      <c r="U934" s="1626"/>
      <c r="V934" s="1626"/>
      <c r="W934" s="1626"/>
      <c r="X934" s="1626"/>
      <c r="Y934" s="1626"/>
      <c r="Z934" s="1626"/>
    </row>
    <row r="935" spans="1:26" ht="15.75" customHeight="1" x14ac:dyDescent="0.25">
      <c r="A935" s="1626"/>
      <c r="B935" s="1626"/>
      <c r="C935" s="1626"/>
      <c r="D935" s="1626"/>
      <c r="E935" s="1626"/>
      <c r="F935" s="1626"/>
      <c r="G935" s="1626"/>
      <c r="H935" s="1626"/>
      <c r="I935" s="1626"/>
      <c r="J935" s="1626"/>
      <c r="K935" s="1626"/>
      <c r="L935" s="1626"/>
      <c r="M935" s="1626"/>
      <c r="N935" s="1626"/>
      <c r="O935" s="1626"/>
      <c r="P935" s="1627"/>
      <c r="Q935" s="1627"/>
      <c r="R935" s="1626"/>
      <c r="S935" s="1626"/>
      <c r="T935" s="1626"/>
      <c r="U935" s="1626"/>
      <c r="V935" s="1626"/>
      <c r="W935" s="1626"/>
      <c r="X935" s="1626"/>
      <c r="Y935" s="1626"/>
      <c r="Z935" s="1626"/>
    </row>
    <row r="936" spans="1:26" ht="15.75" customHeight="1" x14ac:dyDescent="0.25">
      <c r="A936" s="1626"/>
      <c r="B936" s="1626"/>
      <c r="C936" s="1626"/>
      <c r="D936" s="1626"/>
      <c r="E936" s="1626"/>
      <c r="F936" s="1626"/>
      <c r="G936" s="1626"/>
      <c r="H936" s="1626"/>
      <c r="I936" s="1626"/>
      <c r="J936" s="1626"/>
      <c r="K936" s="1626"/>
      <c r="L936" s="1626"/>
      <c r="M936" s="1626"/>
      <c r="N936" s="1626"/>
      <c r="O936" s="1626"/>
      <c r="P936" s="1627"/>
      <c r="Q936" s="1627"/>
      <c r="R936" s="1626"/>
      <c r="S936" s="1626"/>
      <c r="T936" s="1626"/>
      <c r="U936" s="1626"/>
      <c r="V936" s="1626"/>
      <c r="W936" s="1626"/>
      <c r="X936" s="1626"/>
      <c r="Y936" s="1626"/>
      <c r="Z936" s="1626"/>
    </row>
    <row r="937" spans="1:26" ht="15.75" customHeight="1" x14ac:dyDescent="0.25">
      <c r="A937" s="1626"/>
      <c r="B937" s="1626"/>
      <c r="C937" s="1626"/>
      <c r="D937" s="1626"/>
      <c r="E937" s="1626"/>
      <c r="F937" s="1626"/>
      <c r="G937" s="1626"/>
      <c r="H937" s="1626"/>
      <c r="I937" s="1626"/>
      <c r="J937" s="1626"/>
      <c r="K937" s="1626"/>
      <c r="L937" s="1626"/>
      <c r="M937" s="1626"/>
      <c r="N937" s="1626"/>
      <c r="O937" s="1626"/>
      <c r="P937" s="1627"/>
      <c r="Q937" s="1627"/>
      <c r="R937" s="1626"/>
      <c r="S937" s="1626"/>
      <c r="T937" s="1626"/>
      <c r="U937" s="1626"/>
      <c r="V937" s="1626"/>
      <c r="W937" s="1626"/>
      <c r="X937" s="1626"/>
      <c r="Y937" s="1626"/>
      <c r="Z937" s="1626"/>
    </row>
    <row r="938" spans="1:26" ht="15.75" customHeight="1" x14ac:dyDescent="0.25">
      <c r="A938" s="1626"/>
      <c r="B938" s="1626"/>
      <c r="C938" s="1626"/>
      <c r="D938" s="1626"/>
      <c r="E938" s="1626"/>
      <c r="F938" s="1626"/>
      <c r="G938" s="1626"/>
      <c r="H938" s="1626"/>
      <c r="I938" s="1626"/>
      <c r="J938" s="1626"/>
      <c r="K938" s="1626"/>
      <c r="L938" s="1626"/>
      <c r="M938" s="1626"/>
      <c r="N938" s="1626"/>
      <c r="O938" s="1626"/>
      <c r="P938" s="1627"/>
      <c r="Q938" s="1627"/>
      <c r="R938" s="1626"/>
      <c r="S938" s="1626"/>
      <c r="T938" s="1626"/>
      <c r="U938" s="1626"/>
      <c r="V938" s="1626"/>
      <c r="W938" s="1626"/>
      <c r="X938" s="1626"/>
      <c r="Y938" s="1626"/>
      <c r="Z938" s="1626"/>
    </row>
    <row r="939" spans="1:26" ht="15.75" customHeight="1" x14ac:dyDescent="0.25">
      <c r="A939" s="1626"/>
      <c r="B939" s="1626"/>
      <c r="C939" s="1626"/>
      <c r="D939" s="1626"/>
      <c r="E939" s="1626"/>
      <c r="F939" s="1626"/>
      <c r="G939" s="1626"/>
      <c r="H939" s="1626"/>
      <c r="I939" s="1626"/>
      <c r="J939" s="1626"/>
      <c r="K939" s="1626"/>
      <c r="L939" s="1626"/>
      <c r="M939" s="1626"/>
      <c r="N939" s="1626"/>
      <c r="O939" s="1626"/>
      <c r="P939" s="1627"/>
      <c r="Q939" s="1627"/>
      <c r="R939" s="1626"/>
      <c r="S939" s="1626"/>
      <c r="T939" s="1626"/>
      <c r="U939" s="1626"/>
      <c r="V939" s="1626"/>
      <c r="W939" s="1626"/>
      <c r="X939" s="1626"/>
      <c r="Y939" s="1626"/>
      <c r="Z939" s="1626"/>
    </row>
    <row r="940" spans="1:26" ht="15.75" customHeight="1" x14ac:dyDescent="0.25">
      <c r="A940" s="1626"/>
      <c r="B940" s="1626"/>
      <c r="C940" s="1626"/>
      <c r="D940" s="1626"/>
      <c r="E940" s="1626"/>
      <c r="F940" s="1626"/>
      <c r="G940" s="1626"/>
      <c r="H940" s="1626"/>
      <c r="I940" s="1626"/>
      <c r="J940" s="1626"/>
      <c r="K940" s="1626"/>
      <c r="L940" s="1626"/>
      <c r="M940" s="1626"/>
      <c r="N940" s="1626"/>
      <c r="O940" s="1626"/>
      <c r="P940" s="1627"/>
      <c r="Q940" s="1627"/>
      <c r="R940" s="1626"/>
      <c r="S940" s="1626"/>
      <c r="T940" s="1626"/>
      <c r="U940" s="1626"/>
      <c r="V940" s="1626"/>
      <c r="W940" s="1626"/>
      <c r="X940" s="1626"/>
      <c r="Y940" s="1626"/>
      <c r="Z940" s="1626"/>
    </row>
    <row r="941" spans="1:26" ht="15.75" customHeight="1" x14ac:dyDescent="0.25">
      <c r="A941" s="1626"/>
      <c r="B941" s="1626"/>
      <c r="C941" s="1626"/>
      <c r="D941" s="1626"/>
      <c r="E941" s="1626"/>
      <c r="F941" s="1626"/>
      <c r="G941" s="1626"/>
      <c r="H941" s="1626"/>
      <c r="I941" s="1626"/>
      <c r="J941" s="1626"/>
      <c r="K941" s="1626"/>
      <c r="L941" s="1626"/>
      <c r="M941" s="1626"/>
      <c r="N941" s="1626"/>
      <c r="O941" s="1626"/>
      <c r="P941" s="1627"/>
      <c r="Q941" s="1627"/>
      <c r="R941" s="1626"/>
      <c r="S941" s="1626"/>
      <c r="T941" s="1626"/>
      <c r="U941" s="1626"/>
      <c r="V941" s="1626"/>
      <c r="W941" s="1626"/>
      <c r="X941" s="1626"/>
      <c r="Y941" s="1626"/>
      <c r="Z941" s="1626"/>
    </row>
    <row r="942" spans="1:26" ht="15.75" customHeight="1" x14ac:dyDescent="0.25">
      <c r="A942" s="1626"/>
      <c r="B942" s="1626"/>
      <c r="C942" s="1626"/>
      <c r="D942" s="1626"/>
      <c r="E942" s="1626"/>
      <c r="F942" s="1626"/>
      <c r="G942" s="1626"/>
      <c r="H942" s="1626"/>
      <c r="I942" s="1626"/>
      <c r="J942" s="1626"/>
      <c r="K942" s="1626"/>
      <c r="L942" s="1626"/>
      <c r="M942" s="1626"/>
      <c r="N942" s="1626"/>
      <c r="O942" s="1626"/>
      <c r="P942" s="1627"/>
      <c r="Q942" s="1627"/>
      <c r="R942" s="1626"/>
      <c r="S942" s="1626"/>
      <c r="T942" s="1626"/>
      <c r="U942" s="1626"/>
      <c r="V942" s="1626"/>
      <c r="W942" s="1626"/>
      <c r="X942" s="1626"/>
      <c r="Y942" s="1626"/>
      <c r="Z942" s="1626"/>
    </row>
    <row r="943" spans="1:26" ht="15.75" customHeight="1" x14ac:dyDescent="0.25">
      <c r="A943" s="1626"/>
      <c r="B943" s="1626"/>
      <c r="C943" s="1626"/>
      <c r="D943" s="1626"/>
      <c r="E943" s="1626"/>
      <c r="F943" s="1626"/>
      <c r="G943" s="1626"/>
      <c r="H943" s="1626"/>
      <c r="I943" s="1626"/>
      <c r="J943" s="1626"/>
      <c r="K943" s="1626"/>
      <c r="L943" s="1626"/>
      <c r="M943" s="1626"/>
      <c r="N943" s="1626"/>
      <c r="O943" s="1626"/>
      <c r="P943" s="1627"/>
      <c r="Q943" s="1627"/>
      <c r="R943" s="1626"/>
      <c r="S943" s="1626"/>
      <c r="T943" s="1626"/>
      <c r="U943" s="1626"/>
      <c r="V943" s="1626"/>
      <c r="W943" s="1626"/>
      <c r="X943" s="1626"/>
      <c r="Y943" s="1626"/>
      <c r="Z943" s="1626"/>
    </row>
    <row r="944" spans="1:26" ht="15.75" customHeight="1" x14ac:dyDescent="0.25">
      <c r="A944" s="1626"/>
      <c r="B944" s="1626"/>
      <c r="C944" s="1626"/>
      <c r="D944" s="1626"/>
      <c r="E944" s="1626"/>
      <c r="F944" s="1626"/>
      <c r="G944" s="1626"/>
      <c r="H944" s="1626"/>
      <c r="I944" s="1626"/>
      <c r="J944" s="1626"/>
      <c r="K944" s="1626"/>
      <c r="L944" s="1626"/>
      <c r="M944" s="1626"/>
      <c r="N944" s="1626"/>
      <c r="O944" s="1626"/>
      <c r="P944" s="1627"/>
      <c r="Q944" s="1627"/>
      <c r="R944" s="1626"/>
      <c r="S944" s="1626"/>
      <c r="T944" s="1626"/>
      <c r="U944" s="1626"/>
      <c r="V944" s="1626"/>
      <c r="W944" s="1626"/>
      <c r="X944" s="1626"/>
      <c r="Y944" s="1626"/>
      <c r="Z944" s="1626"/>
    </row>
    <row r="945" spans="1:26" ht="15.75" customHeight="1" x14ac:dyDescent="0.25">
      <c r="A945" s="1626"/>
      <c r="B945" s="1626"/>
      <c r="C945" s="1626"/>
      <c r="D945" s="1626"/>
      <c r="E945" s="1626"/>
      <c r="F945" s="1626"/>
      <c r="G945" s="1626"/>
      <c r="H945" s="1626"/>
      <c r="I945" s="1626"/>
      <c r="J945" s="1626"/>
      <c r="K945" s="1626"/>
      <c r="L945" s="1626"/>
      <c r="M945" s="1626"/>
      <c r="N945" s="1626"/>
      <c r="O945" s="1626"/>
      <c r="P945" s="1627"/>
      <c r="Q945" s="1627"/>
      <c r="R945" s="1626"/>
      <c r="S945" s="1626"/>
      <c r="T945" s="1626"/>
      <c r="U945" s="1626"/>
      <c r="V945" s="1626"/>
      <c r="W945" s="1626"/>
      <c r="X945" s="1626"/>
      <c r="Y945" s="1626"/>
      <c r="Z945" s="1626"/>
    </row>
    <row r="946" spans="1:26" ht="15.75" customHeight="1" x14ac:dyDescent="0.25">
      <c r="A946" s="1626"/>
      <c r="B946" s="1626"/>
      <c r="C946" s="1626"/>
      <c r="D946" s="1626"/>
      <c r="E946" s="1626"/>
      <c r="F946" s="1626"/>
      <c r="G946" s="1626"/>
      <c r="H946" s="1626"/>
      <c r="I946" s="1626"/>
      <c r="J946" s="1626"/>
      <c r="K946" s="1626"/>
      <c r="L946" s="1626"/>
      <c r="M946" s="1626"/>
      <c r="N946" s="1626"/>
      <c r="O946" s="1626"/>
      <c r="P946" s="1627"/>
      <c r="Q946" s="1627"/>
      <c r="R946" s="1626"/>
      <c r="S946" s="1626"/>
      <c r="T946" s="1626"/>
      <c r="U946" s="1626"/>
      <c r="V946" s="1626"/>
      <c r="W946" s="1626"/>
      <c r="X946" s="1626"/>
      <c r="Y946" s="1626"/>
      <c r="Z946" s="1626"/>
    </row>
    <row r="947" spans="1:26" ht="15.75" customHeight="1" x14ac:dyDescent="0.25">
      <c r="A947" s="1626"/>
      <c r="B947" s="1626"/>
      <c r="C947" s="1626"/>
      <c r="D947" s="1626"/>
      <c r="E947" s="1626"/>
      <c r="F947" s="1626"/>
      <c r="G947" s="1626"/>
      <c r="H947" s="1626"/>
      <c r="I947" s="1626"/>
      <c r="J947" s="1626"/>
      <c r="K947" s="1626"/>
      <c r="L947" s="1626"/>
      <c r="M947" s="1626"/>
      <c r="N947" s="1626"/>
      <c r="O947" s="1626"/>
      <c r="P947" s="1627"/>
      <c r="Q947" s="1627"/>
      <c r="R947" s="1626"/>
      <c r="S947" s="1626"/>
      <c r="T947" s="1626"/>
      <c r="U947" s="1626"/>
      <c r="V947" s="1626"/>
      <c r="W947" s="1626"/>
      <c r="X947" s="1626"/>
      <c r="Y947" s="1626"/>
      <c r="Z947" s="1626"/>
    </row>
    <row r="948" spans="1:26" ht="15.75" customHeight="1" x14ac:dyDescent="0.25">
      <c r="A948" s="1626"/>
      <c r="B948" s="1626"/>
      <c r="C948" s="1626"/>
      <c r="D948" s="1626"/>
      <c r="E948" s="1626"/>
      <c r="F948" s="1626"/>
      <c r="G948" s="1626"/>
      <c r="H948" s="1626"/>
      <c r="I948" s="1626"/>
      <c r="J948" s="1626"/>
      <c r="K948" s="1626"/>
      <c r="L948" s="1626"/>
      <c r="M948" s="1626"/>
      <c r="N948" s="1626"/>
      <c r="O948" s="1626"/>
      <c r="P948" s="1627"/>
      <c r="Q948" s="1627"/>
      <c r="R948" s="1626"/>
      <c r="S948" s="1626"/>
      <c r="T948" s="1626"/>
      <c r="U948" s="1626"/>
      <c r="V948" s="1626"/>
      <c r="W948" s="1626"/>
      <c r="X948" s="1626"/>
      <c r="Y948" s="1626"/>
      <c r="Z948" s="1626"/>
    </row>
    <row r="949" spans="1:26" ht="15.75" customHeight="1" x14ac:dyDescent="0.25">
      <c r="A949" s="1626"/>
      <c r="B949" s="1626"/>
      <c r="C949" s="1626"/>
      <c r="D949" s="1626"/>
      <c r="E949" s="1626"/>
      <c r="F949" s="1626"/>
      <c r="G949" s="1626"/>
      <c r="H949" s="1626"/>
      <c r="I949" s="1626"/>
      <c r="J949" s="1626"/>
      <c r="K949" s="1626"/>
      <c r="L949" s="1626"/>
      <c r="M949" s="1626"/>
      <c r="N949" s="1626"/>
      <c r="O949" s="1626"/>
      <c r="P949" s="1627"/>
      <c r="Q949" s="1627"/>
      <c r="R949" s="1626"/>
      <c r="S949" s="1626"/>
      <c r="T949" s="1626"/>
      <c r="U949" s="1626"/>
      <c r="V949" s="1626"/>
      <c r="W949" s="1626"/>
      <c r="X949" s="1626"/>
      <c r="Y949" s="1626"/>
      <c r="Z949" s="1626"/>
    </row>
    <row r="950" spans="1:26" ht="15.75" customHeight="1" x14ac:dyDescent="0.25">
      <c r="A950" s="1626"/>
      <c r="B950" s="1626"/>
      <c r="C950" s="1626"/>
      <c r="D950" s="1626"/>
      <c r="E950" s="1626"/>
      <c r="F950" s="1626"/>
      <c r="G950" s="1626"/>
      <c r="H950" s="1626"/>
      <c r="I950" s="1626"/>
      <c r="J950" s="1626"/>
      <c r="K950" s="1626"/>
      <c r="L950" s="1626"/>
      <c r="M950" s="1626"/>
      <c r="N950" s="1626"/>
      <c r="O950" s="1626"/>
      <c r="P950" s="1627"/>
      <c r="Q950" s="1627"/>
      <c r="R950" s="1626"/>
      <c r="S950" s="1626"/>
      <c r="T950" s="1626"/>
      <c r="U950" s="1626"/>
      <c r="V950" s="1626"/>
      <c r="W950" s="1626"/>
      <c r="X950" s="1626"/>
      <c r="Y950" s="1626"/>
      <c r="Z950" s="1626"/>
    </row>
    <row r="951" spans="1:26" ht="15.75" customHeight="1" x14ac:dyDescent="0.25">
      <c r="A951" s="1626"/>
      <c r="B951" s="1626"/>
      <c r="C951" s="1626"/>
      <c r="D951" s="1626"/>
      <c r="E951" s="1626"/>
      <c r="F951" s="1626"/>
      <c r="G951" s="1626"/>
      <c r="H951" s="1626"/>
      <c r="I951" s="1626"/>
      <c r="J951" s="1626"/>
      <c r="K951" s="1626"/>
      <c r="L951" s="1626"/>
      <c r="M951" s="1626"/>
      <c r="N951" s="1626"/>
      <c r="O951" s="1626"/>
      <c r="P951" s="1627"/>
      <c r="Q951" s="1627"/>
      <c r="R951" s="1626"/>
      <c r="S951" s="1626"/>
      <c r="T951" s="1626"/>
      <c r="U951" s="1626"/>
      <c r="V951" s="1626"/>
      <c r="W951" s="1626"/>
      <c r="X951" s="1626"/>
      <c r="Y951" s="1626"/>
      <c r="Z951" s="1626"/>
    </row>
    <row r="952" spans="1:26" ht="15.75" customHeight="1" x14ac:dyDescent="0.25">
      <c r="A952" s="1626"/>
      <c r="B952" s="1626"/>
      <c r="C952" s="1626"/>
      <c r="D952" s="1626"/>
      <c r="E952" s="1626"/>
      <c r="F952" s="1626"/>
      <c r="G952" s="1626"/>
      <c r="H952" s="1626"/>
      <c r="I952" s="1626"/>
      <c r="J952" s="1626"/>
      <c r="K952" s="1626"/>
      <c r="L952" s="1626"/>
      <c r="M952" s="1626"/>
      <c r="N952" s="1626"/>
      <c r="O952" s="1626"/>
      <c r="P952" s="1627"/>
      <c r="Q952" s="1627"/>
      <c r="R952" s="1626"/>
      <c r="S952" s="1626"/>
      <c r="T952" s="1626"/>
      <c r="U952" s="1626"/>
      <c r="V952" s="1626"/>
      <c r="W952" s="1626"/>
      <c r="X952" s="1626"/>
      <c r="Y952" s="1626"/>
      <c r="Z952" s="1626"/>
    </row>
    <row r="953" spans="1:26" ht="15.75" customHeight="1" x14ac:dyDescent="0.25">
      <c r="A953" s="1626"/>
      <c r="B953" s="1626"/>
      <c r="C953" s="1626"/>
      <c r="D953" s="1626"/>
      <c r="E953" s="1626"/>
      <c r="F953" s="1626"/>
      <c r="G953" s="1626"/>
      <c r="H953" s="1626"/>
      <c r="I953" s="1626"/>
      <c r="J953" s="1626"/>
      <c r="K953" s="1626"/>
      <c r="L953" s="1626"/>
      <c r="M953" s="1626"/>
      <c r="N953" s="1626"/>
      <c r="O953" s="1626"/>
      <c r="P953" s="1627"/>
      <c r="Q953" s="1627"/>
      <c r="R953" s="1626"/>
      <c r="S953" s="1626"/>
      <c r="T953" s="1626"/>
      <c r="U953" s="1626"/>
      <c r="V953" s="1626"/>
      <c r="W953" s="1626"/>
      <c r="X953" s="1626"/>
      <c r="Y953" s="1626"/>
      <c r="Z953" s="1626"/>
    </row>
    <row r="954" spans="1:26" ht="15.75" customHeight="1" x14ac:dyDescent="0.25">
      <c r="A954" s="1626"/>
      <c r="B954" s="1626"/>
      <c r="C954" s="1626"/>
      <c r="D954" s="1626"/>
      <c r="E954" s="1626"/>
      <c r="F954" s="1626"/>
      <c r="G954" s="1626"/>
      <c r="H954" s="1626"/>
      <c r="I954" s="1626"/>
      <c r="J954" s="1626"/>
      <c r="K954" s="1626"/>
      <c r="L954" s="1626"/>
      <c r="M954" s="1626"/>
      <c r="N954" s="1626"/>
      <c r="O954" s="1626"/>
      <c r="P954" s="1627"/>
      <c r="Q954" s="1627"/>
      <c r="R954" s="1626"/>
      <c r="S954" s="1626"/>
      <c r="T954" s="1626"/>
      <c r="U954" s="1626"/>
      <c r="V954" s="1626"/>
      <c r="W954" s="1626"/>
      <c r="X954" s="1626"/>
      <c r="Y954" s="1626"/>
      <c r="Z954" s="1626"/>
    </row>
    <row r="955" spans="1:26" ht="15.75" customHeight="1" x14ac:dyDescent="0.25">
      <c r="A955" s="1626"/>
      <c r="B955" s="1626"/>
      <c r="C955" s="1626"/>
      <c r="D955" s="1626"/>
      <c r="E955" s="1626"/>
      <c r="F955" s="1626"/>
      <c r="G955" s="1626"/>
      <c r="H955" s="1626"/>
      <c r="I955" s="1626"/>
      <c r="J955" s="1626"/>
      <c r="K955" s="1626"/>
      <c r="L955" s="1626"/>
      <c r="M955" s="1626"/>
      <c r="N955" s="1626"/>
      <c r="O955" s="1626"/>
      <c r="P955" s="1627"/>
      <c r="Q955" s="1627"/>
      <c r="R955" s="1626"/>
      <c r="S955" s="1626"/>
      <c r="T955" s="1626"/>
      <c r="U955" s="1626"/>
      <c r="V955" s="1626"/>
      <c r="W955" s="1626"/>
      <c r="X955" s="1626"/>
      <c r="Y955" s="1626"/>
      <c r="Z955" s="1626"/>
    </row>
    <row r="956" spans="1:26" ht="15.75" customHeight="1" x14ac:dyDescent="0.25">
      <c r="A956" s="1626"/>
      <c r="B956" s="1626"/>
      <c r="C956" s="1626"/>
      <c r="D956" s="1626"/>
      <c r="E956" s="1626"/>
      <c r="F956" s="1626"/>
      <c r="G956" s="1626"/>
      <c r="H956" s="1626"/>
      <c r="I956" s="1626"/>
      <c r="J956" s="1626"/>
      <c r="K956" s="1626"/>
      <c r="L956" s="1626"/>
      <c r="M956" s="1626"/>
      <c r="N956" s="1626"/>
      <c r="O956" s="1626"/>
      <c r="P956" s="1627"/>
      <c r="Q956" s="1627"/>
      <c r="R956" s="1626"/>
      <c r="S956" s="1626"/>
      <c r="T956" s="1626"/>
      <c r="U956" s="1626"/>
      <c r="V956" s="1626"/>
      <c r="W956" s="1626"/>
      <c r="X956" s="1626"/>
      <c r="Y956" s="1626"/>
      <c r="Z956" s="1626"/>
    </row>
    <row r="957" spans="1:26" ht="15.75" customHeight="1" x14ac:dyDescent="0.25">
      <c r="A957" s="1626"/>
      <c r="B957" s="1626"/>
      <c r="C957" s="1626"/>
      <c r="D957" s="1626"/>
      <c r="E957" s="1626"/>
      <c r="F957" s="1626"/>
      <c r="G957" s="1626"/>
      <c r="H957" s="1626"/>
      <c r="I957" s="1626"/>
      <c r="J957" s="1626"/>
      <c r="K957" s="1626"/>
      <c r="L957" s="1626"/>
      <c r="M957" s="1626"/>
      <c r="N957" s="1626"/>
      <c r="O957" s="1626"/>
      <c r="P957" s="1627"/>
      <c r="Q957" s="1627"/>
      <c r="R957" s="1626"/>
      <c r="S957" s="1626"/>
      <c r="T957" s="1626"/>
      <c r="U957" s="1626"/>
      <c r="V957" s="1626"/>
      <c r="W957" s="1626"/>
      <c r="X957" s="1626"/>
      <c r="Y957" s="1626"/>
      <c r="Z957" s="1626"/>
    </row>
    <row r="958" spans="1:26" ht="15.75" customHeight="1" x14ac:dyDescent="0.25">
      <c r="A958" s="1626"/>
      <c r="B958" s="1626"/>
      <c r="C958" s="1626"/>
      <c r="D958" s="1626"/>
      <c r="E958" s="1626"/>
      <c r="F958" s="1626"/>
      <c r="G958" s="1626"/>
      <c r="H958" s="1626"/>
      <c r="I958" s="1626"/>
      <c r="J958" s="1626"/>
      <c r="K958" s="1626"/>
      <c r="L958" s="1626"/>
      <c r="M958" s="1626"/>
      <c r="N958" s="1626"/>
      <c r="O958" s="1626"/>
      <c r="P958" s="1627"/>
      <c r="Q958" s="1627"/>
      <c r="R958" s="1626"/>
      <c r="S958" s="1626"/>
      <c r="T958" s="1626"/>
      <c r="U958" s="1626"/>
      <c r="V958" s="1626"/>
      <c r="W958" s="1626"/>
      <c r="X958" s="1626"/>
      <c r="Y958" s="1626"/>
      <c r="Z958" s="1626"/>
    </row>
    <row r="959" spans="1:26" ht="15.75" customHeight="1" x14ac:dyDescent="0.25">
      <c r="A959" s="1626"/>
      <c r="B959" s="1626"/>
      <c r="C959" s="1626"/>
      <c r="D959" s="1626"/>
      <c r="E959" s="1626"/>
      <c r="F959" s="1626"/>
      <c r="G959" s="1626"/>
      <c r="H959" s="1626"/>
      <c r="I959" s="1626"/>
      <c r="J959" s="1626"/>
      <c r="K959" s="1626"/>
      <c r="L959" s="1626"/>
      <c r="M959" s="1626"/>
      <c r="N959" s="1626"/>
      <c r="O959" s="1626"/>
      <c r="P959" s="1627"/>
      <c r="Q959" s="1627"/>
      <c r="R959" s="1626"/>
      <c r="S959" s="1626"/>
      <c r="T959" s="1626"/>
      <c r="U959" s="1626"/>
      <c r="V959" s="1626"/>
      <c r="W959" s="1626"/>
      <c r="X959" s="1626"/>
      <c r="Y959" s="1626"/>
      <c r="Z959" s="1626"/>
    </row>
    <row r="960" spans="1:26" ht="15.75" customHeight="1" x14ac:dyDescent="0.25">
      <c r="A960" s="1626"/>
      <c r="B960" s="1626"/>
      <c r="C960" s="1626"/>
      <c r="D960" s="1626"/>
      <c r="E960" s="1626"/>
      <c r="F960" s="1626"/>
      <c r="G960" s="1626"/>
      <c r="H960" s="1626"/>
      <c r="I960" s="1626"/>
      <c r="J960" s="1626"/>
      <c r="K960" s="1626"/>
      <c r="L960" s="1626"/>
      <c r="M960" s="1626"/>
      <c r="N960" s="1626"/>
      <c r="O960" s="1626"/>
      <c r="P960" s="1627"/>
      <c r="Q960" s="1627"/>
      <c r="R960" s="1626"/>
      <c r="S960" s="1626"/>
      <c r="T960" s="1626"/>
      <c r="U960" s="1626"/>
      <c r="V960" s="1626"/>
      <c r="W960" s="1626"/>
      <c r="X960" s="1626"/>
      <c r="Y960" s="1626"/>
      <c r="Z960" s="1626"/>
    </row>
    <row r="961" spans="1:26" ht="15.75" customHeight="1" x14ac:dyDescent="0.25">
      <c r="A961" s="1626"/>
      <c r="B961" s="1626"/>
      <c r="C961" s="1626"/>
      <c r="D961" s="1626"/>
      <c r="E961" s="1626"/>
      <c r="F961" s="1626"/>
      <c r="G961" s="1626"/>
      <c r="H961" s="1626"/>
      <c r="I961" s="1626"/>
      <c r="J961" s="1626"/>
      <c r="K961" s="1626"/>
      <c r="L961" s="1626"/>
      <c r="M961" s="1626"/>
      <c r="N961" s="1626"/>
      <c r="O961" s="1626"/>
      <c r="P961" s="1627"/>
      <c r="Q961" s="1627"/>
      <c r="R961" s="1626"/>
      <c r="S961" s="1626"/>
      <c r="T961" s="1626"/>
      <c r="U961" s="1626"/>
      <c r="V961" s="1626"/>
      <c r="W961" s="1626"/>
      <c r="X961" s="1626"/>
      <c r="Y961" s="1626"/>
      <c r="Z961" s="1626"/>
    </row>
    <row r="962" spans="1:26" ht="15.75" customHeight="1" x14ac:dyDescent="0.25">
      <c r="A962" s="1626"/>
      <c r="B962" s="1626"/>
      <c r="C962" s="1626"/>
      <c r="D962" s="1626"/>
      <c r="E962" s="1626"/>
      <c r="F962" s="1626"/>
      <c r="G962" s="1626"/>
      <c r="H962" s="1626"/>
      <c r="I962" s="1626"/>
      <c r="J962" s="1626"/>
      <c r="K962" s="1626"/>
      <c r="L962" s="1626"/>
      <c r="M962" s="1626"/>
      <c r="N962" s="1626"/>
      <c r="O962" s="1626"/>
      <c r="P962" s="1627"/>
      <c r="Q962" s="1627"/>
      <c r="R962" s="1626"/>
      <c r="S962" s="1626"/>
      <c r="T962" s="1626"/>
      <c r="U962" s="1626"/>
      <c r="V962" s="1626"/>
      <c r="W962" s="1626"/>
      <c r="X962" s="1626"/>
      <c r="Y962" s="1626"/>
      <c r="Z962" s="1626"/>
    </row>
    <row r="963" spans="1:26" ht="15.75" customHeight="1" x14ac:dyDescent="0.25">
      <c r="A963" s="1626"/>
      <c r="B963" s="1626"/>
      <c r="C963" s="1626"/>
      <c r="D963" s="1626"/>
      <c r="E963" s="1626"/>
      <c r="F963" s="1626"/>
      <c r="G963" s="1626"/>
      <c r="H963" s="1626"/>
      <c r="I963" s="1626"/>
      <c r="J963" s="1626"/>
      <c r="K963" s="1626"/>
      <c r="L963" s="1626"/>
      <c r="M963" s="1626"/>
      <c r="N963" s="1626"/>
      <c r="O963" s="1626"/>
      <c r="P963" s="1627"/>
      <c r="Q963" s="1627"/>
      <c r="R963" s="1626"/>
      <c r="S963" s="1626"/>
      <c r="T963" s="1626"/>
      <c r="U963" s="1626"/>
      <c r="V963" s="1626"/>
      <c r="W963" s="1626"/>
      <c r="X963" s="1626"/>
      <c r="Y963" s="1626"/>
      <c r="Z963" s="1626"/>
    </row>
    <row r="964" spans="1:26" ht="15.75" customHeight="1" x14ac:dyDescent="0.25">
      <c r="A964" s="1626"/>
      <c r="B964" s="1626"/>
      <c r="C964" s="1626"/>
      <c r="D964" s="1626"/>
      <c r="E964" s="1626"/>
      <c r="F964" s="1626"/>
      <c r="G964" s="1626"/>
      <c r="H964" s="1626"/>
      <c r="I964" s="1626"/>
      <c r="J964" s="1626"/>
      <c r="K964" s="1626"/>
      <c r="L964" s="1626"/>
      <c r="M964" s="1626"/>
      <c r="N964" s="1626"/>
      <c r="O964" s="1626"/>
      <c r="P964" s="1627"/>
      <c r="Q964" s="1627"/>
      <c r="R964" s="1626"/>
      <c r="S964" s="1626"/>
      <c r="T964" s="1626"/>
      <c r="U964" s="1626"/>
      <c r="V964" s="1626"/>
      <c r="W964" s="1626"/>
      <c r="X964" s="1626"/>
      <c r="Y964" s="1626"/>
      <c r="Z964" s="1626"/>
    </row>
    <row r="965" spans="1:26" ht="15.75" customHeight="1" x14ac:dyDescent="0.25">
      <c r="A965" s="1626"/>
      <c r="B965" s="1626"/>
      <c r="C965" s="1626"/>
      <c r="D965" s="1626"/>
      <c r="E965" s="1626"/>
      <c r="F965" s="1626"/>
      <c r="G965" s="1626"/>
      <c r="H965" s="1626"/>
      <c r="I965" s="1626"/>
      <c r="J965" s="1626"/>
      <c r="K965" s="1626"/>
      <c r="L965" s="1626"/>
      <c r="M965" s="1626"/>
      <c r="N965" s="1626"/>
      <c r="O965" s="1626"/>
      <c r="P965" s="1627"/>
      <c r="Q965" s="1627"/>
      <c r="R965" s="1626"/>
      <c r="S965" s="1626"/>
      <c r="T965" s="1626"/>
      <c r="U965" s="1626"/>
      <c r="V965" s="1626"/>
      <c r="W965" s="1626"/>
      <c r="X965" s="1626"/>
      <c r="Y965" s="1626"/>
      <c r="Z965" s="1626"/>
    </row>
    <row r="966" spans="1:26" ht="15.75" customHeight="1" x14ac:dyDescent="0.25">
      <c r="A966" s="1626"/>
      <c r="B966" s="1626"/>
      <c r="C966" s="1626"/>
      <c r="D966" s="1626"/>
      <c r="E966" s="1626"/>
      <c r="F966" s="1626"/>
      <c r="G966" s="1626"/>
      <c r="H966" s="1626"/>
      <c r="I966" s="1626"/>
      <c r="J966" s="1626"/>
      <c r="K966" s="1626"/>
      <c r="L966" s="1626"/>
      <c r="M966" s="1626"/>
      <c r="N966" s="1626"/>
      <c r="O966" s="1626"/>
      <c r="P966" s="1627"/>
      <c r="Q966" s="1627"/>
      <c r="R966" s="1626"/>
      <c r="S966" s="1626"/>
      <c r="T966" s="1626"/>
      <c r="U966" s="1626"/>
      <c r="V966" s="1626"/>
      <c r="W966" s="1626"/>
      <c r="X966" s="1626"/>
      <c r="Y966" s="1626"/>
      <c r="Z966" s="1626"/>
    </row>
    <row r="967" spans="1:26" ht="15.75" customHeight="1" x14ac:dyDescent="0.25">
      <c r="A967" s="1626"/>
      <c r="B967" s="1626"/>
      <c r="C967" s="1626"/>
      <c r="D967" s="1626"/>
      <c r="E967" s="1626"/>
      <c r="F967" s="1626"/>
      <c r="G967" s="1626"/>
      <c r="H967" s="1626"/>
      <c r="I967" s="1626"/>
      <c r="J967" s="1626"/>
      <c r="K967" s="1626"/>
      <c r="L967" s="1626"/>
      <c r="M967" s="1626"/>
      <c r="N967" s="1626"/>
      <c r="O967" s="1626"/>
      <c r="P967" s="1627"/>
      <c r="Q967" s="1627"/>
      <c r="R967" s="1626"/>
      <c r="S967" s="1626"/>
      <c r="T967" s="1626"/>
      <c r="U967" s="1626"/>
      <c r="V967" s="1626"/>
      <c r="W967" s="1626"/>
      <c r="X967" s="1626"/>
      <c r="Y967" s="1626"/>
      <c r="Z967" s="1626"/>
    </row>
    <row r="968" spans="1:26" ht="15.75" customHeight="1" x14ac:dyDescent="0.25">
      <c r="A968" s="1626"/>
      <c r="B968" s="1626"/>
      <c r="C968" s="1626"/>
      <c r="D968" s="1626"/>
      <c r="E968" s="1626"/>
      <c r="F968" s="1626"/>
      <c r="G968" s="1626"/>
      <c r="H968" s="1626"/>
      <c r="I968" s="1626"/>
      <c r="J968" s="1626"/>
      <c r="K968" s="1626"/>
      <c r="L968" s="1626"/>
      <c r="M968" s="1626"/>
      <c r="N968" s="1626"/>
      <c r="O968" s="1626"/>
      <c r="P968" s="1627"/>
      <c r="Q968" s="1627"/>
      <c r="R968" s="1626"/>
      <c r="S968" s="1626"/>
      <c r="T968" s="1626"/>
      <c r="U968" s="1626"/>
      <c r="V968" s="1626"/>
      <c r="W968" s="1626"/>
      <c r="X968" s="1626"/>
      <c r="Y968" s="1626"/>
      <c r="Z968" s="1626"/>
    </row>
    <row r="969" spans="1:26" ht="15.75" customHeight="1" x14ac:dyDescent="0.25">
      <c r="A969" s="1626"/>
      <c r="B969" s="1626"/>
      <c r="C969" s="1626"/>
      <c r="D969" s="1626"/>
      <c r="E969" s="1626"/>
      <c r="F969" s="1626"/>
      <c r="G969" s="1626"/>
      <c r="H969" s="1626"/>
      <c r="I969" s="1626"/>
      <c r="J969" s="1626"/>
      <c r="K969" s="1626"/>
      <c r="L969" s="1626"/>
      <c r="M969" s="1626"/>
      <c r="N969" s="1626"/>
      <c r="O969" s="1626"/>
      <c r="P969" s="1627"/>
      <c r="Q969" s="1627"/>
      <c r="R969" s="1626"/>
      <c r="S969" s="1626"/>
      <c r="T969" s="1626"/>
      <c r="U969" s="1626"/>
      <c r="V969" s="1626"/>
      <c r="W969" s="1626"/>
      <c r="X969" s="1626"/>
      <c r="Y969" s="1626"/>
      <c r="Z969" s="1626"/>
    </row>
    <row r="970" spans="1:26" ht="15.75" customHeight="1" x14ac:dyDescent="0.25">
      <c r="A970" s="1626"/>
      <c r="B970" s="1626"/>
      <c r="C970" s="1626"/>
      <c r="D970" s="1626"/>
      <c r="E970" s="1626"/>
      <c r="F970" s="1626"/>
      <c r="G970" s="1626"/>
      <c r="H970" s="1626"/>
      <c r="I970" s="1626"/>
      <c r="J970" s="1626"/>
      <c r="K970" s="1626"/>
      <c r="L970" s="1626"/>
      <c r="M970" s="1626"/>
      <c r="N970" s="1626"/>
      <c r="O970" s="1626"/>
      <c r="P970" s="1627"/>
      <c r="Q970" s="1627"/>
      <c r="R970" s="1626"/>
      <c r="S970" s="1626"/>
      <c r="T970" s="1626"/>
      <c r="U970" s="1626"/>
      <c r="V970" s="1626"/>
      <c r="W970" s="1626"/>
      <c r="X970" s="1626"/>
      <c r="Y970" s="1626"/>
      <c r="Z970" s="1626"/>
    </row>
    <row r="971" spans="1:26" ht="15.75" customHeight="1" x14ac:dyDescent="0.25">
      <c r="A971" s="1626"/>
      <c r="B971" s="1626"/>
      <c r="C971" s="1626"/>
      <c r="D971" s="1626"/>
      <c r="E971" s="1626"/>
      <c r="F971" s="1626"/>
      <c r="G971" s="1626"/>
      <c r="H971" s="1626"/>
      <c r="I971" s="1626"/>
      <c r="J971" s="1626"/>
      <c r="K971" s="1626"/>
      <c r="L971" s="1626"/>
      <c r="M971" s="1626"/>
      <c r="N971" s="1626"/>
      <c r="O971" s="1626"/>
      <c r="P971" s="1627"/>
      <c r="Q971" s="1627"/>
      <c r="R971" s="1626"/>
      <c r="S971" s="1626"/>
      <c r="T971" s="1626"/>
      <c r="U971" s="1626"/>
      <c r="V971" s="1626"/>
      <c r="W971" s="1626"/>
      <c r="X971" s="1626"/>
      <c r="Y971" s="1626"/>
      <c r="Z971" s="1626"/>
    </row>
    <row r="972" spans="1:26" ht="15.75" customHeight="1" x14ac:dyDescent="0.25">
      <c r="A972" s="1626"/>
      <c r="B972" s="1626"/>
      <c r="C972" s="1626"/>
      <c r="D972" s="1626"/>
      <c r="E972" s="1626"/>
      <c r="F972" s="1626"/>
      <c r="G972" s="1626"/>
      <c r="H972" s="1626"/>
      <c r="I972" s="1626"/>
      <c r="J972" s="1626"/>
      <c r="K972" s="1626"/>
      <c r="L972" s="1626"/>
      <c r="M972" s="1626"/>
      <c r="N972" s="1626"/>
      <c r="O972" s="1626"/>
      <c r="P972" s="1627"/>
      <c r="Q972" s="1627"/>
      <c r="R972" s="1626"/>
      <c r="S972" s="1626"/>
      <c r="T972" s="1626"/>
      <c r="U972" s="1626"/>
      <c r="V972" s="1626"/>
      <c r="W972" s="1626"/>
      <c r="X972" s="1626"/>
      <c r="Y972" s="1626"/>
      <c r="Z972" s="1626"/>
    </row>
    <row r="973" spans="1:26" ht="15.75" customHeight="1" x14ac:dyDescent="0.25">
      <c r="A973" s="1626"/>
      <c r="B973" s="1626"/>
      <c r="C973" s="1626"/>
      <c r="D973" s="1626"/>
      <c r="E973" s="1626"/>
      <c r="F973" s="1626"/>
      <c r="G973" s="1626"/>
      <c r="H973" s="1626"/>
      <c r="I973" s="1626"/>
      <c r="J973" s="1626"/>
      <c r="K973" s="1626"/>
      <c r="L973" s="1626"/>
      <c r="M973" s="1626"/>
      <c r="N973" s="1626"/>
      <c r="O973" s="1626"/>
      <c r="P973" s="1627"/>
      <c r="Q973" s="1627"/>
      <c r="R973" s="1626"/>
      <c r="S973" s="1626"/>
      <c r="T973" s="1626"/>
      <c r="U973" s="1626"/>
      <c r="V973" s="1626"/>
      <c r="W973" s="1626"/>
      <c r="X973" s="1626"/>
      <c r="Y973" s="1626"/>
      <c r="Z973" s="1626"/>
    </row>
    <row r="974" spans="1:26" ht="15.75" customHeight="1" x14ac:dyDescent="0.25">
      <c r="A974" s="1626"/>
      <c r="B974" s="1626"/>
      <c r="C974" s="1626"/>
      <c r="D974" s="1626"/>
      <c r="E974" s="1626"/>
      <c r="F974" s="1626"/>
      <c r="G974" s="1626"/>
      <c r="H974" s="1626"/>
      <c r="I974" s="1626"/>
      <c r="J974" s="1626"/>
      <c r="K974" s="1626"/>
      <c r="L974" s="1626"/>
      <c r="M974" s="1626"/>
      <c r="N974" s="1626"/>
      <c r="O974" s="1626"/>
      <c r="P974" s="1627"/>
      <c r="Q974" s="1627"/>
      <c r="R974" s="1626"/>
      <c r="S974" s="1626"/>
      <c r="T974" s="1626"/>
      <c r="U974" s="1626"/>
      <c r="V974" s="1626"/>
      <c r="W974" s="1626"/>
      <c r="X974" s="1626"/>
      <c r="Y974" s="1626"/>
      <c r="Z974" s="1626"/>
    </row>
    <row r="975" spans="1:26" ht="15.75" customHeight="1" x14ac:dyDescent="0.25">
      <c r="A975" s="1626"/>
      <c r="B975" s="1626"/>
      <c r="C975" s="1626"/>
      <c r="D975" s="1626"/>
      <c r="E975" s="1626"/>
      <c r="F975" s="1626"/>
      <c r="G975" s="1626"/>
      <c r="H975" s="1626"/>
      <c r="I975" s="1626"/>
      <c r="J975" s="1626"/>
      <c r="K975" s="1626"/>
      <c r="L975" s="1626"/>
      <c r="M975" s="1626"/>
      <c r="N975" s="1626"/>
      <c r="O975" s="1626"/>
      <c r="P975" s="1627"/>
      <c r="Q975" s="1627"/>
      <c r="R975" s="1626"/>
      <c r="S975" s="1626"/>
      <c r="T975" s="1626"/>
      <c r="U975" s="1626"/>
      <c r="V975" s="1626"/>
      <c r="W975" s="1626"/>
      <c r="X975" s="1626"/>
      <c r="Y975" s="1626"/>
      <c r="Z975" s="1626"/>
    </row>
    <row r="976" spans="1:26" ht="15.75" customHeight="1" x14ac:dyDescent="0.25">
      <c r="A976" s="1626"/>
      <c r="B976" s="1626"/>
      <c r="C976" s="1626"/>
      <c r="D976" s="1626"/>
      <c r="E976" s="1626"/>
      <c r="F976" s="1626"/>
      <c r="G976" s="1626"/>
      <c r="H976" s="1626"/>
      <c r="I976" s="1626"/>
      <c r="J976" s="1626"/>
      <c r="K976" s="1626"/>
      <c r="L976" s="1626"/>
      <c r="M976" s="1626"/>
      <c r="N976" s="1626"/>
      <c r="O976" s="1626"/>
      <c r="P976" s="1627"/>
      <c r="Q976" s="1627"/>
      <c r="R976" s="1626"/>
      <c r="S976" s="1626"/>
      <c r="T976" s="1626"/>
      <c r="U976" s="1626"/>
      <c r="V976" s="1626"/>
      <c r="W976" s="1626"/>
      <c r="X976" s="1626"/>
      <c r="Y976" s="1626"/>
      <c r="Z976" s="1626"/>
    </row>
    <row r="977" spans="1:26" ht="15.75" customHeight="1" x14ac:dyDescent="0.25">
      <c r="A977" s="1626"/>
      <c r="B977" s="1626"/>
      <c r="C977" s="1626"/>
      <c r="D977" s="1626"/>
      <c r="E977" s="1626"/>
      <c r="F977" s="1626"/>
      <c r="G977" s="1626"/>
      <c r="H977" s="1626"/>
      <c r="I977" s="1626"/>
      <c r="J977" s="1626"/>
      <c r="K977" s="1626"/>
      <c r="L977" s="1626"/>
      <c r="M977" s="1626"/>
      <c r="N977" s="1626"/>
      <c r="O977" s="1626"/>
      <c r="P977" s="1627"/>
      <c r="Q977" s="1627"/>
      <c r="R977" s="1626"/>
      <c r="S977" s="1626"/>
      <c r="T977" s="1626"/>
      <c r="U977" s="1626"/>
      <c r="V977" s="1626"/>
      <c r="W977" s="1626"/>
      <c r="X977" s="1626"/>
      <c r="Y977" s="1626"/>
      <c r="Z977" s="1626"/>
    </row>
    <row r="978" spans="1:26" ht="15.75" customHeight="1" x14ac:dyDescent="0.25">
      <c r="A978" s="1626"/>
      <c r="B978" s="1626"/>
      <c r="C978" s="1626"/>
      <c r="D978" s="1626"/>
      <c r="E978" s="1626"/>
      <c r="F978" s="1626"/>
      <c r="G978" s="1626"/>
      <c r="H978" s="1626"/>
      <c r="I978" s="1626"/>
      <c r="J978" s="1626"/>
      <c r="K978" s="1626"/>
      <c r="L978" s="1626"/>
      <c r="M978" s="1626"/>
      <c r="N978" s="1626"/>
      <c r="O978" s="1626"/>
      <c r="P978" s="1627"/>
      <c r="Q978" s="1627"/>
      <c r="R978" s="1626"/>
      <c r="S978" s="1626"/>
      <c r="T978" s="1626"/>
      <c r="U978" s="1626"/>
      <c r="V978" s="1626"/>
      <c r="W978" s="1626"/>
      <c r="X978" s="1626"/>
      <c r="Y978" s="1626"/>
      <c r="Z978" s="1626"/>
    </row>
    <row r="979" spans="1:26" ht="15.75" customHeight="1" x14ac:dyDescent="0.25">
      <c r="A979" s="1626"/>
      <c r="B979" s="1626"/>
      <c r="C979" s="1626"/>
      <c r="D979" s="1626"/>
      <c r="E979" s="1626"/>
      <c r="F979" s="1626"/>
      <c r="G979" s="1626"/>
      <c r="H979" s="1626"/>
      <c r="I979" s="1626"/>
      <c r="J979" s="1626"/>
      <c r="K979" s="1626"/>
      <c r="L979" s="1626"/>
      <c r="M979" s="1626"/>
      <c r="N979" s="1626"/>
      <c r="O979" s="1626"/>
      <c r="P979" s="1627"/>
      <c r="Q979" s="1627"/>
      <c r="R979" s="1626"/>
      <c r="S979" s="1626"/>
      <c r="T979" s="1626"/>
      <c r="U979" s="1626"/>
      <c r="V979" s="1626"/>
      <c r="W979" s="1626"/>
      <c r="X979" s="1626"/>
      <c r="Y979" s="1626"/>
      <c r="Z979" s="1626"/>
    </row>
    <row r="980" spans="1:26" ht="15.75" customHeight="1" x14ac:dyDescent="0.25">
      <c r="A980" s="1626"/>
      <c r="B980" s="1626"/>
      <c r="C980" s="1626"/>
      <c r="D980" s="1626"/>
      <c r="E980" s="1626"/>
      <c r="F980" s="1626"/>
      <c r="G980" s="1626"/>
      <c r="H980" s="1626"/>
      <c r="I980" s="1626"/>
      <c r="J980" s="1626"/>
      <c r="K980" s="1626"/>
      <c r="L980" s="1626"/>
      <c r="M980" s="1626"/>
      <c r="N980" s="1626"/>
      <c r="O980" s="1626"/>
      <c r="P980" s="1627"/>
      <c r="Q980" s="1627"/>
      <c r="R980" s="1626"/>
      <c r="S980" s="1626"/>
      <c r="T980" s="1626"/>
      <c r="U980" s="1626"/>
      <c r="V980" s="1626"/>
      <c r="W980" s="1626"/>
      <c r="X980" s="1626"/>
      <c r="Y980" s="1626"/>
      <c r="Z980" s="1626"/>
    </row>
    <row r="981" spans="1:26" ht="15.75" customHeight="1" x14ac:dyDescent="0.25">
      <c r="A981" s="1626"/>
      <c r="B981" s="1626"/>
      <c r="C981" s="1626"/>
      <c r="D981" s="1626"/>
      <c r="E981" s="1626"/>
      <c r="F981" s="1626"/>
      <c r="G981" s="1626"/>
      <c r="H981" s="1626"/>
      <c r="I981" s="1626"/>
      <c r="J981" s="1626"/>
      <c r="K981" s="1626"/>
      <c r="L981" s="1626"/>
      <c r="M981" s="1626"/>
      <c r="N981" s="1626"/>
      <c r="O981" s="1626"/>
      <c r="P981" s="1627"/>
      <c r="Q981" s="1627"/>
      <c r="R981" s="1626"/>
      <c r="S981" s="1626"/>
      <c r="T981" s="1626"/>
      <c r="U981" s="1626"/>
      <c r="V981" s="1626"/>
      <c r="W981" s="1626"/>
      <c r="X981" s="1626"/>
      <c r="Y981" s="1626"/>
      <c r="Z981" s="1626"/>
    </row>
    <row r="982" spans="1:26" ht="15.75" customHeight="1" x14ac:dyDescent="0.25">
      <c r="A982" s="1626"/>
      <c r="B982" s="1626"/>
      <c r="C982" s="1626"/>
      <c r="D982" s="1626"/>
      <c r="E982" s="1626"/>
      <c r="F982" s="1626"/>
      <c r="G982" s="1626"/>
      <c r="H982" s="1626"/>
      <c r="I982" s="1626"/>
      <c r="J982" s="1626"/>
      <c r="K982" s="1626"/>
      <c r="L982" s="1626"/>
      <c r="M982" s="1626"/>
      <c r="N982" s="1626"/>
      <c r="O982" s="1626"/>
      <c r="P982" s="1627"/>
      <c r="Q982" s="1627"/>
      <c r="R982" s="1626"/>
      <c r="S982" s="1626"/>
      <c r="T982" s="1626"/>
      <c r="U982" s="1626"/>
      <c r="V982" s="1626"/>
      <c r="W982" s="1626"/>
      <c r="X982" s="1626"/>
      <c r="Y982" s="1626"/>
      <c r="Z982" s="1626"/>
    </row>
    <row r="983" spans="1:26" ht="15.75" customHeight="1" x14ac:dyDescent="0.25">
      <c r="A983" s="1626"/>
      <c r="B983" s="1626"/>
      <c r="C983" s="1626"/>
      <c r="D983" s="1626"/>
      <c r="E983" s="1626"/>
      <c r="F983" s="1626"/>
      <c r="G983" s="1626"/>
      <c r="H983" s="1626"/>
      <c r="I983" s="1626"/>
      <c r="J983" s="1626"/>
      <c r="K983" s="1626"/>
      <c r="L983" s="1626"/>
      <c r="M983" s="1626"/>
      <c r="N983" s="1626"/>
      <c r="O983" s="1626"/>
      <c r="P983" s="1627"/>
      <c r="Q983" s="1627"/>
      <c r="R983" s="1626"/>
      <c r="S983" s="1626"/>
      <c r="T983" s="1626"/>
      <c r="U983" s="1626"/>
      <c r="V983" s="1626"/>
      <c r="W983" s="1626"/>
      <c r="X983" s="1626"/>
      <c r="Y983" s="1626"/>
      <c r="Z983" s="1626"/>
    </row>
    <row r="984" spans="1:26" ht="15.75" customHeight="1" x14ac:dyDescent="0.25">
      <c r="A984" s="1626"/>
      <c r="B984" s="1626"/>
      <c r="C984" s="1626"/>
      <c r="D984" s="1626"/>
      <c r="E984" s="1626"/>
      <c r="F984" s="1626"/>
      <c r="G984" s="1626"/>
      <c r="H984" s="1626"/>
      <c r="I984" s="1626"/>
      <c r="J984" s="1626"/>
      <c r="K984" s="1626"/>
      <c r="L984" s="1626"/>
      <c r="M984" s="1626"/>
      <c r="N984" s="1626"/>
      <c r="O984" s="1626"/>
      <c r="P984" s="1627"/>
      <c r="Q984" s="1627"/>
      <c r="R984" s="1626"/>
      <c r="S984" s="1626"/>
      <c r="T984" s="1626"/>
      <c r="U984" s="1626"/>
      <c r="V984" s="1626"/>
      <c r="W984" s="1626"/>
      <c r="X984" s="1626"/>
      <c r="Y984" s="1626"/>
      <c r="Z984" s="1626"/>
    </row>
    <row r="985" spans="1:26" ht="15.75" customHeight="1" x14ac:dyDescent="0.25">
      <c r="A985" s="1626"/>
      <c r="B985" s="1626"/>
      <c r="C985" s="1626"/>
      <c r="D985" s="1626"/>
      <c r="E985" s="1626"/>
      <c r="F985" s="1626"/>
      <c r="G985" s="1626"/>
      <c r="H985" s="1626"/>
      <c r="I985" s="1626"/>
      <c r="J985" s="1626"/>
      <c r="K985" s="1626"/>
      <c r="L985" s="1626"/>
      <c r="M985" s="1626"/>
      <c r="N985" s="1626"/>
      <c r="O985" s="1626"/>
      <c r="P985" s="1627"/>
      <c r="Q985" s="1627"/>
      <c r="R985" s="1626"/>
      <c r="S985" s="1626"/>
      <c r="T985" s="1626"/>
      <c r="U985" s="1626"/>
      <c r="V985" s="1626"/>
      <c r="W985" s="1626"/>
      <c r="X985" s="1626"/>
      <c r="Y985" s="1626"/>
      <c r="Z985" s="1626"/>
    </row>
    <row r="986" spans="1:26" ht="15.75" customHeight="1" x14ac:dyDescent="0.25">
      <c r="A986" s="1626"/>
      <c r="B986" s="1626"/>
      <c r="C986" s="1626"/>
      <c r="D986" s="1626"/>
      <c r="E986" s="1626"/>
      <c r="F986" s="1626"/>
      <c r="G986" s="1626"/>
      <c r="H986" s="1626"/>
      <c r="I986" s="1626"/>
      <c r="J986" s="1626"/>
      <c r="K986" s="1626"/>
      <c r="L986" s="1626"/>
      <c r="M986" s="1626"/>
      <c r="N986" s="1626"/>
      <c r="O986" s="1626"/>
      <c r="P986" s="1627"/>
      <c r="Q986" s="1627"/>
      <c r="R986" s="1626"/>
      <c r="S986" s="1626"/>
      <c r="T986" s="1626"/>
      <c r="U986" s="1626"/>
      <c r="V986" s="1626"/>
      <c r="W986" s="1626"/>
      <c r="X986" s="1626"/>
      <c r="Y986" s="1626"/>
      <c r="Z986" s="1626"/>
    </row>
    <row r="987" spans="1:26" ht="15.75" customHeight="1" x14ac:dyDescent="0.25">
      <c r="A987" s="1626"/>
      <c r="B987" s="1626"/>
      <c r="C987" s="1626"/>
      <c r="D987" s="1626"/>
      <c r="E987" s="1626"/>
      <c r="F987" s="1626"/>
      <c r="G987" s="1626"/>
      <c r="H987" s="1626"/>
      <c r="I987" s="1626"/>
      <c r="J987" s="1626"/>
      <c r="K987" s="1626"/>
      <c r="L987" s="1626"/>
      <c r="M987" s="1626"/>
      <c r="N987" s="1626"/>
      <c r="O987" s="1626"/>
      <c r="P987" s="1627"/>
      <c r="Q987" s="1627"/>
      <c r="R987" s="1626"/>
      <c r="S987" s="1626"/>
      <c r="T987" s="1626"/>
      <c r="U987" s="1626"/>
      <c r="V987" s="1626"/>
      <c r="W987" s="1626"/>
      <c r="X987" s="1626"/>
      <c r="Y987" s="1626"/>
      <c r="Z987" s="1626"/>
    </row>
    <row r="988" spans="1:26" ht="15.75" customHeight="1" x14ac:dyDescent="0.25">
      <c r="A988" s="1626"/>
      <c r="B988" s="1626"/>
      <c r="C988" s="1626"/>
      <c r="D988" s="1626"/>
      <c r="E988" s="1626"/>
      <c r="F988" s="1626"/>
      <c r="G988" s="1626"/>
      <c r="H988" s="1626"/>
      <c r="I988" s="1626"/>
      <c r="J988" s="1626"/>
      <c r="K988" s="1626"/>
      <c r="L988" s="1626"/>
      <c r="M988" s="1626"/>
      <c r="N988" s="1626"/>
      <c r="O988" s="1626"/>
      <c r="P988" s="1627"/>
      <c r="Q988" s="1627"/>
      <c r="R988" s="1626"/>
      <c r="S988" s="1626"/>
      <c r="T988" s="1626"/>
      <c r="U988" s="1626"/>
      <c r="V988" s="1626"/>
      <c r="W988" s="1626"/>
      <c r="X988" s="1626"/>
      <c r="Y988" s="1626"/>
      <c r="Z988" s="1626"/>
    </row>
    <row r="989" spans="1:26" ht="15.75" customHeight="1" x14ac:dyDescent="0.25">
      <c r="A989" s="1626"/>
      <c r="B989" s="1626"/>
      <c r="C989" s="1626"/>
      <c r="D989" s="1626"/>
      <c r="E989" s="1626"/>
      <c r="F989" s="1626"/>
      <c r="G989" s="1626"/>
      <c r="H989" s="1626"/>
      <c r="I989" s="1626"/>
      <c r="J989" s="1626"/>
      <c r="K989" s="1626"/>
      <c r="L989" s="1626"/>
      <c r="M989" s="1626"/>
      <c r="N989" s="1626"/>
      <c r="O989" s="1626"/>
      <c r="P989" s="1627"/>
      <c r="Q989" s="1627"/>
      <c r="R989" s="1626"/>
      <c r="S989" s="1626"/>
      <c r="T989" s="1626"/>
      <c r="U989" s="1626"/>
      <c r="V989" s="1626"/>
      <c r="W989" s="1626"/>
      <c r="X989" s="1626"/>
      <c r="Y989" s="1626"/>
      <c r="Z989" s="1626"/>
    </row>
    <row r="990" spans="1:26" ht="15.75" customHeight="1" x14ac:dyDescent="0.25">
      <c r="A990" s="1626"/>
      <c r="B990" s="1626"/>
      <c r="C990" s="1626"/>
      <c r="D990" s="1626"/>
      <c r="E990" s="1626"/>
      <c r="F990" s="1626"/>
      <c r="G990" s="1626"/>
      <c r="H990" s="1626"/>
      <c r="I990" s="1626"/>
      <c r="J990" s="1626"/>
      <c r="K990" s="1626"/>
      <c r="L990" s="1626"/>
      <c r="M990" s="1626"/>
      <c r="N990" s="1626"/>
      <c r="O990" s="1626"/>
      <c r="P990" s="1627"/>
      <c r="Q990" s="1627"/>
      <c r="R990" s="1626"/>
      <c r="S990" s="1626"/>
      <c r="T990" s="1626"/>
      <c r="U990" s="1626"/>
      <c r="V990" s="1626"/>
      <c r="W990" s="1626"/>
      <c r="X990" s="1626"/>
      <c r="Y990" s="1626"/>
      <c r="Z990" s="1626"/>
    </row>
    <row r="991" spans="1:26" ht="15.75" customHeight="1" x14ac:dyDescent="0.25">
      <c r="A991" s="1626"/>
      <c r="B991" s="1626"/>
      <c r="C991" s="1626"/>
      <c r="D991" s="1626"/>
      <c r="E991" s="1626"/>
      <c r="F991" s="1626"/>
      <c r="G991" s="1626"/>
      <c r="H991" s="1626"/>
      <c r="I991" s="1626"/>
      <c r="J991" s="1626"/>
      <c r="K991" s="1626"/>
      <c r="L991" s="1626"/>
      <c r="M991" s="1626"/>
      <c r="N991" s="1626"/>
      <c r="O991" s="1626"/>
      <c r="P991" s="1627"/>
      <c r="Q991" s="1627"/>
      <c r="R991" s="1626"/>
      <c r="S991" s="1626"/>
      <c r="T991" s="1626"/>
      <c r="U991" s="1626"/>
      <c r="V991" s="1626"/>
      <c r="W991" s="1626"/>
      <c r="X991" s="1626"/>
      <c r="Y991" s="1626"/>
      <c r="Z991" s="1626"/>
    </row>
    <row r="992" spans="1:26" ht="15.75" customHeight="1" x14ac:dyDescent="0.25">
      <c r="A992" s="1626"/>
      <c r="B992" s="1626"/>
      <c r="C992" s="1626"/>
      <c r="D992" s="1626"/>
      <c r="E992" s="1626"/>
      <c r="F992" s="1626"/>
      <c r="G992" s="1626"/>
      <c r="H992" s="1626"/>
      <c r="I992" s="1626"/>
      <c r="J992" s="1626"/>
      <c r="K992" s="1626"/>
      <c r="L992" s="1626"/>
      <c r="M992" s="1626"/>
      <c r="N992" s="1626"/>
      <c r="O992" s="1626"/>
      <c r="P992" s="1627"/>
      <c r="Q992" s="1627"/>
      <c r="R992" s="1626"/>
      <c r="S992" s="1626"/>
      <c r="T992" s="1626"/>
      <c r="U992" s="1626"/>
      <c r="V992" s="1626"/>
      <c r="W992" s="1626"/>
      <c r="X992" s="1626"/>
      <c r="Y992" s="1626"/>
      <c r="Z992" s="1626"/>
    </row>
    <row r="993" spans="1:26" ht="15.75" customHeight="1" x14ac:dyDescent="0.25">
      <c r="A993" s="1626"/>
      <c r="B993" s="1626"/>
      <c r="C993" s="1626"/>
      <c r="D993" s="1626"/>
      <c r="E993" s="1626"/>
      <c r="F993" s="1626"/>
      <c r="G993" s="1626"/>
      <c r="H993" s="1626"/>
      <c r="I993" s="1626"/>
      <c r="J993" s="1626"/>
      <c r="K993" s="1626"/>
      <c r="L993" s="1626"/>
      <c r="M993" s="1626"/>
      <c r="N993" s="1626"/>
      <c r="O993" s="1626"/>
      <c r="P993" s="1627"/>
      <c r="Q993" s="1627"/>
      <c r="R993" s="1626"/>
      <c r="S993" s="1626"/>
      <c r="T993" s="1626"/>
      <c r="U993" s="1626"/>
      <c r="V993" s="1626"/>
      <c r="W993" s="1626"/>
      <c r="X993" s="1626"/>
      <c r="Y993" s="1626"/>
      <c r="Z993" s="1626"/>
    </row>
    <row r="994" spans="1:26" ht="15.75" customHeight="1" x14ac:dyDescent="0.25">
      <c r="A994" s="1626"/>
      <c r="B994" s="1626"/>
      <c r="C994" s="1626"/>
      <c r="D994" s="1626"/>
      <c r="E994" s="1626"/>
      <c r="F994" s="1626"/>
      <c r="G994" s="1626"/>
      <c r="H994" s="1626"/>
      <c r="I994" s="1626"/>
      <c r="J994" s="1626"/>
      <c r="K994" s="1626"/>
      <c r="L994" s="1626"/>
      <c r="M994" s="1626"/>
      <c r="N994" s="1626"/>
      <c r="O994" s="1626"/>
      <c r="P994" s="1627"/>
      <c r="Q994" s="1627"/>
      <c r="R994" s="1626"/>
      <c r="S994" s="1626"/>
      <c r="T994" s="1626"/>
      <c r="U994" s="1626"/>
      <c r="V994" s="1626"/>
      <c r="W994" s="1626"/>
      <c r="X994" s="1626"/>
      <c r="Y994" s="1626"/>
      <c r="Z994" s="1626"/>
    </row>
    <row r="995" spans="1:26" ht="15.75" customHeight="1" x14ac:dyDescent="0.25">
      <c r="A995" s="1626"/>
      <c r="B995" s="1626"/>
      <c r="C995" s="1626"/>
      <c r="D995" s="1626"/>
      <c r="E995" s="1626"/>
      <c r="F995" s="1626"/>
      <c r="G995" s="1626"/>
      <c r="H995" s="1626"/>
      <c r="I995" s="1626"/>
      <c r="J995" s="1626"/>
      <c r="K995" s="1626"/>
      <c r="L995" s="1626"/>
      <c r="M995" s="1626"/>
      <c r="N995" s="1626"/>
      <c r="O995" s="1626"/>
      <c r="P995" s="1627"/>
      <c r="Q995" s="1627"/>
      <c r="R995" s="1626"/>
      <c r="S995" s="1626"/>
      <c r="T995" s="1626"/>
      <c r="U995" s="1626"/>
      <c r="V995" s="1626"/>
      <c r="W995" s="1626"/>
      <c r="X995" s="1626"/>
      <c r="Y995" s="1626"/>
      <c r="Z995" s="1626"/>
    </row>
    <row r="996" spans="1:26" ht="15.75" customHeight="1" x14ac:dyDescent="0.25">
      <c r="A996" s="1626"/>
      <c r="B996" s="1626"/>
      <c r="C996" s="1626"/>
      <c r="D996" s="1626"/>
      <c r="E996" s="1626"/>
      <c r="F996" s="1626"/>
      <c r="G996" s="1626"/>
      <c r="H996" s="1626"/>
      <c r="I996" s="1626"/>
      <c r="J996" s="1626"/>
      <c r="K996" s="1626"/>
      <c r="L996" s="1626"/>
      <c r="M996" s="1626"/>
      <c r="N996" s="1626"/>
      <c r="O996" s="1626"/>
      <c r="P996" s="1627"/>
      <c r="Q996" s="1627"/>
      <c r="R996" s="1626"/>
      <c r="S996" s="1626"/>
      <c r="T996" s="1626"/>
      <c r="U996" s="1626"/>
      <c r="V996" s="1626"/>
      <c r="W996" s="1626"/>
      <c r="X996" s="1626"/>
      <c r="Y996" s="1626"/>
      <c r="Z996" s="1626"/>
    </row>
    <row r="997" spans="1:26" ht="15.75" customHeight="1" x14ac:dyDescent="0.25">
      <c r="A997" s="1626"/>
      <c r="B997" s="1626"/>
      <c r="C997" s="1626"/>
      <c r="D997" s="1626"/>
      <c r="E997" s="1626"/>
      <c r="F997" s="1626"/>
      <c r="G997" s="1626"/>
      <c r="H997" s="1626"/>
      <c r="I997" s="1626"/>
      <c r="J997" s="1626"/>
      <c r="K997" s="1626"/>
      <c r="L997" s="1626"/>
      <c r="M997" s="1626"/>
      <c r="N997" s="1626"/>
      <c r="O997" s="1626"/>
      <c r="P997" s="1627"/>
      <c r="Q997" s="1627"/>
      <c r="R997" s="1626"/>
      <c r="S997" s="1626"/>
      <c r="T997" s="1626"/>
      <c r="U997" s="1626"/>
      <c r="V997" s="1626"/>
      <c r="W997" s="1626"/>
      <c r="X997" s="1626"/>
      <c r="Y997" s="1626"/>
      <c r="Z997" s="1626"/>
    </row>
    <row r="998" spans="1:26" ht="15.75" customHeight="1" x14ac:dyDescent="0.25">
      <c r="A998" s="1626"/>
      <c r="B998" s="1626"/>
      <c r="C998" s="1626"/>
      <c r="D998" s="1626"/>
      <c r="E998" s="1626"/>
      <c r="F998" s="1626"/>
      <c r="G998" s="1626"/>
      <c r="H998" s="1626"/>
      <c r="I998" s="1626"/>
      <c r="J998" s="1626"/>
      <c r="K998" s="1626"/>
      <c r="L998" s="1626"/>
      <c r="M998" s="1626"/>
      <c r="N998" s="1626"/>
      <c r="O998" s="1626"/>
      <c r="P998" s="1627"/>
      <c r="Q998" s="1627"/>
      <c r="R998" s="1626"/>
      <c r="S998" s="1626"/>
      <c r="T998" s="1626"/>
      <c r="U998" s="1626"/>
      <c r="V998" s="1626"/>
      <c r="W998" s="1626"/>
      <c r="X998" s="1626"/>
      <c r="Y998" s="1626"/>
      <c r="Z998" s="1626"/>
    </row>
    <row r="999" spans="1:26" ht="15.75" customHeight="1" x14ac:dyDescent="0.25">
      <c r="A999" s="1626"/>
      <c r="B999" s="1626"/>
      <c r="C999" s="1626"/>
      <c r="D999" s="1626"/>
      <c r="E999" s="1626"/>
      <c r="F999" s="1626"/>
      <c r="G999" s="1626"/>
      <c r="H999" s="1626"/>
      <c r="I999" s="1626"/>
      <c r="J999" s="1626"/>
      <c r="K999" s="1626"/>
      <c r="L999" s="1626"/>
      <c r="M999" s="1626"/>
      <c r="N999" s="1626"/>
      <c r="O999" s="1626"/>
      <c r="P999" s="1627"/>
      <c r="Q999" s="1627"/>
      <c r="R999" s="1626"/>
      <c r="S999" s="1626"/>
      <c r="T999" s="1626"/>
      <c r="U999" s="1626"/>
      <c r="V999" s="1626"/>
      <c r="W999" s="1626"/>
      <c r="X999" s="1626"/>
      <c r="Y999" s="1626"/>
      <c r="Z999" s="1626"/>
    </row>
    <row r="1000" spans="1:26" ht="15.75" customHeight="1" x14ac:dyDescent="0.25">
      <c r="A1000" s="1626"/>
      <c r="B1000" s="1626"/>
      <c r="C1000" s="1626"/>
      <c r="D1000" s="1626"/>
      <c r="E1000" s="1626"/>
      <c r="F1000" s="1626"/>
      <c r="G1000" s="1626"/>
      <c r="H1000" s="1626"/>
      <c r="I1000" s="1626"/>
      <c r="J1000" s="1626"/>
      <c r="K1000" s="1626"/>
      <c r="L1000" s="1626"/>
      <c r="M1000" s="1626"/>
      <c r="N1000" s="1626"/>
      <c r="O1000" s="1626"/>
      <c r="P1000" s="1627"/>
      <c r="Q1000" s="1627"/>
      <c r="R1000" s="1626"/>
      <c r="S1000" s="1626"/>
      <c r="T1000" s="1626"/>
      <c r="U1000" s="1626"/>
      <c r="V1000" s="1626"/>
      <c r="W1000" s="1626"/>
      <c r="X1000" s="1626"/>
      <c r="Y1000" s="1626"/>
      <c r="Z1000" s="1626"/>
    </row>
  </sheetData>
  <mergeCells count="80">
    <mergeCell ref="B60:O60"/>
    <mergeCell ref="C54:O54"/>
    <mergeCell ref="C55:O55"/>
    <mergeCell ref="C56:O56"/>
    <mergeCell ref="C57:O57"/>
    <mergeCell ref="C58:F58"/>
    <mergeCell ref="B59:O59"/>
    <mergeCell ref="C53:O53"/>
    <mergeCell ref="D45:J45"/>
    <mergeCell ref="L45:N45"/>
    <mergeCell ref="C46:J46"/>
    <mergeCell ref="L46:N46"/>
    <mergeCell ref="C47:J47"/>
    <mergeCell ref="L47:N47"/>
    <mergeCell ref="C48:J48"/>
    <mergeCell ref="L48:N48"/>
    <mergeCell ref="B50:O50"/>
    <mergeCell ref="C51:O51"/>
    <mergeCell ref="C52:O52"/>
    <mergeCell ref="D42:J42"/>
    <mergeCell ref="L42:N42"/>
    <mergeCell ref="D43:J43"/>
    <mergeCell ref="L43:N43"/>
    <mergeCell ref="D44:J44"/>
    <mergeCell ref="L44:N44"/>
    <mergeCell ref="C39:J39"/>
    <mergeCell ref="L39:N39"/>
    <mergeCell ref="D40:J40"/>
    <mergeCell ref="L40:N40"/>
    <mergeCell ref="D41:J41"/>
    <mergeCell ref="L41:N41"/>
    <mergeCell ref="C36:J36"/>
    <mergeCell ref="L36:N36"/>
    <mergeCell ref="C37:J37"/>
    <mergeCell ref="L37:N37"/>
    <mergeCell ref="C38:J38"/>
    <mergeCell ref="L38:N38"/>
    <mergeCell ref="C33:J33"/>
    <mergeCell ref="L33:N33"/>
    <mergeCell ref="C34:J34"/>
    <mergeCell ref="L34:N34"/>
    <mergeCell ref="C35:J35"/>
    <mergeCell ref="L35:N35"/>
    <mergeCell ref="C32:J32"/>
    <mergeCell ref="L32:N32"/>
    <mergeCell ref="C26:E26"/>
    <mergeCell ref="F26:H26"/>
    <mergeCell ref="I26:K26"/>
    <mergeCell ref="L26:N26"/>
    <mergeCell ref="C27:E27"/>
    <mergeCell ref="F27:H27"/>
    <mergeCell ref="I27:K27"/>
    <mergeCell ref="L27:N27"/>
    <mergeCell ref="C28:E28"/>
    <mergeCell ref="F28:H28"/>
    <mergeCell ref="I28:K28"/>
    <mergeCell ref="L28:N28"/>
    <mergeCell ref="B30:O30"/>
    <mergeCell ref="C24:E24"/>
    <mergeCell ref="F24:H24"/>
    <mergeCell ref="I24:K24"/>
    <mergeCell ref="L24:N24"/>
    <mergeCell ref="C25:E25"/>
    <mergeCell ref="F25:H25"/>
    <mergeCell ref="I25:K25"/>
    <mergeCell ref="L25:N25"/>
    <mergeCell ref="B20:O20"/>
    <mergeCell ref="C22:E22"/>
    <mergeCell ref="F22:N22"/>
    <mergeCell ref="C23:E23"/>
    <mergeCell ref="F23:H23"/>
    <mergeCell ref="I23:K23"/>
    <mergeCell ref="L23:N23"/>
    <mergeCell ref="C13:D13"/>
    <mergeCell ref="M13:N13"/>
    <mergeCell ref="B2:O2"/>
    <mergeCell ref="C9:D9"/>
    <mergeCell ref="M9:N9"/>
    <mergeCell ref="C10:D12"/>
    <mergeCell ref="M10:N12"/>
  </mergeCells>
  <conditionalFormatting sqref="C13:D13 M13:N13">
    <cfRule type="containsText" dxfId="267" priority="1" stopIfTrue="1" operator="containsText" text="Excellent">
      <formula>NOT(ISERROR(SEARCH(("Excellent"),(C13))))</formula>
    </cfRule>
  </conditionalFormatting>
  <conditionalFormatting sqref="C13:D13 M13:N13">
    <cfRule type="containsText" dxfId="266" priority="2" stopIfTrue="1" operator="containsText" text="Good">
      <formula>NOT(ISERROR(SEARCH(("Good"),(C13))))</formula>
    </cfRule>
  </conditionalFormatting>
  <conditionalFormatting sqref="C13:D13 M13:N13">
    <cfRule type="containsText" dxfId="265" priority="3" stopIfTrue="1" operator="containsText" text="Poor">
      <formula>NOT(ISERROR(SEARCH(("Poor"),(C13))))</formula>
    </cfRule>
  </conditionalFormatting>
  <conditionalFormatting sqref="C13:D13 M13:N13">
    <cfRule type="containsText" dxfId="264" priority="4" stopIfTrue="1" operator="containsText" text="Average">
      <formula>NOT(ISERROR(SEARCH(("Average"),(C13))))</formula>
    </cfRule>
  </conditionalFormatting>
  <conditionalFormatting sqref="K33:K48">
    <cfRule type="cellIs" dxfId="263" priority="5" stopIfTrue="1" operator="equal">
      <formula>"Y"</formula>
    </cfRule>
  </conditionalFormatting>
  <pageMargins left="0.7" right="0.7" top="0.75" bottom="0.75" header="0" footer="0"/>
  <pageSetup orientation="portrait"/>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4F6A1-89B4-4E64-B3F7-016C8A552A9B}">
  <sheetPr>
    <outlinePr summaryBelow="0" summaryRight="0"/>
  </sheetPr>
  <dimension ref="A1:AH1000"/>
  <sheetViews>
    <sheetView workbookViewId="0"/>
  </sheetViews>
  <sheetFormatPr defaultColWidth="14.42578125" defaultRowHeight="15" customHeight="1" x14ac:dyDescent="0.2"/>
  <cols>
    <col min="1" max="1" width="1.7109375" style="1550" customWidth="1"/>
    <col min="2" max="2" width="15.140625" style="1550" customWidth="1"/>
    <col min="3" max="34" width="11.28515625" style="1550" customWidth="1"/>
    <col min="35" max="16384" width="14.42578125" style="1550"/>
  </cols>
  <sheetData>
    <row r="1" spans="1:34" ht="9" customHeight="1" thickBot="1" x14ac:dyDescent="0.25">
      <c r="A1" s="1549"/>
      <c r="B1" s="1549"/>
      <c r="C1" s="1549"/>
      <c r="D1" s="1549"/>
      <c r="E1" s="1549"/>
      <c r="F1" s="1549"/>
      <c r="G1" s="1549"/>
      <c r="H1" s="1549"/>
      <c r="I1" s="1549"/>
      <c r="J1" s="1549"/>
      <c r="K1" s="1549"/>
      <c r="L1" s="1549"/>
      <c r="M1" s="1549"/>
      <c r="N1" s="1549"/>
      <c r="O1" s="1549"/>
      <c r="P1" s="1549"/>
      <c r="Q1" s="1549"/>
      <c r="R1" s="1549"/>
      <c r="S1" s="1549"/>
      <c r="T1" s="1549"/>
      <c r="U1" s="1549"/>
      <c r="V1" s="1549"/>
      <c r="W1" s="1549"/>
      <c r="X1" s="1549"/>
      <c r="Y1" s="1549"/>
      <c r="Z1" s="1549"/>
      <c r="AA1" s="1549"/>
      <c r="AB1" s="1549"/>
      <c r="AC1" s="1549"/>
      <c r="AD1" s="1549"/>
      <c r="AE1" s="1549"/>
      <c r="AF1" s="1549"/>
      <c r="AG1" s="1549"/>
      <c r="AH1" s="1549"/>
    </row>
    <row r="2" spans="1:34" ht="12.75" customHeight="1" thickBot="1" x14ac:dyDescent="0.25">
      <c r="A2" s="1549"/>
      <c r="B2" s="1610" t="s">
        <v>3645</v>
      </c>
      <c r="C2" s="1611">
        <v>1</v>
      </c>
      <c r="D2" s="1611">
        <v>2</v>
      </c>
      <c r="E2" s="1611">
        <v>3</v>
      </c>
      <c r="F2" s="1611">
        <v>4</v>
      </c>
      <c r="G2" s="1611">
        <v>5</v>
      </c>
      <c r="H2" s="1611">
        <v>6</v>
      </c>
      <c r="I2" s="1611">
        <v>7</v>
      </c>
      <c r="J2" s="1611">
        <v>8</v>
      </c>
      <c r="K2" s="1611">
        <v>9</v>
      </c>
      <c r="L2" s="1611">
        <v>10</v>
      </c>
      <c r="M2" s="1611">
        <v>11</v>
      </c>
      <c r="N2" s="1611">
        <v>12</v>
      </c>
      <c r="O2" s="1611">
        <v>13</v>
      </c>
      <c r="P2" s="1611">
        <v>14</v>
      </c>
      <c r="Q2" s="1611">
        <v>15</v>
      </c>
      <c r="R2" s="1611">
        <v>16</v>
      </c>
      <c r="S2" s="1611">
        <v>17</v>
      </c>
      <c r="T2" s="1611">
        <v>18</v>
      </c>
      <c r="U2" s="1611">
        <v>19</v>
      </c>
      <c r="V2" s="1611">
        <v>20</v>
      </c>
      <c r="W2" s="1611">
        <v>21</v>
      </c>
      <c r="X2" s="1611">
        <v>22</v>
      </c>
      <c r="Y2" s="1611">
        <v>23</v>
      </c>
      <c r="Z2" s="1611">
        <v>24</v>
      </c>
      <c r="AA2" s="1611">
        <v>25</v>
      </c>
      <c r="AB2" s="1611">
        <v>26</v>
      </c>
      <c r="AC2" s="1611">
        <v>27</v>
      </c>
      <c r="AD2" s="1611">
        <v>28</v>
      </c>
      <c r="AE2" s="1611">
        <v>29</v>
      </c>
      <c r="AF2" s="1611">
        <v>30</v>
      </c>
      <c r="AG2" s="1611">
        <v>31</v>
      </c>
      <c r="AH2" s="1612" t="s">
        <v>3646</v>
      </c>
    </row>
    <row r="3" spans="1:34" ht="12.75" customHeight="1" x14ac:dyDescent="0.2">
      <c r="A3" s="1549"/>
      <c r="B3" s="1613">
        <v>42979</v>
      </c>
      <c r="C3" s="1614">
        <v>-18767491.52</v>
      </c>
      <c r="D3" s="1614">
        <v>-18767491.52</v>
      </c>
      <c r="E3" s="1614">
        <v>-18767491.52</v>
      </c>
      <c r="F3" s="1614">
        <v>-17560396.989999998</v>
      </c>
      <c r="G3" s="1614">
        <v>-19039895.989999998</v>
      </c>
      <c r="H3" s="1614">
        <v>-20513132.989999998</v>
      </c>
      <c r="I3" s="1614">
        <v>-20907158.989999998</v>
      </c>
      <c r="J3" s="1614">
        <v>-22170206.550000001</v>
      </c>
      <c r="K3" s="1614">
        <v>-22170206.550000001</v>
      </c>
      <c r="L3" s="1614">
        <v>-22170206.550000001</v>
      </c>
      <c r="M3" s="1614">
        <v>-21359456.84</v>
      </c>
      <c r="N3" s="1614">
        <v>-21516702.84</v>
      </c>
      <c r="O3" s="1614">
        <v>-19532179.719999999</v>
      </c>
      <c r="P3" s="1614">
        <v>-19009918.719999999</v>
      </c>
      <c r="Q3" s="1614">
        <v>-19021762.719999999</v>
      </c>
      <c r="R3" s="1614">
        <v>-19032899.239999998</v>
      </c>
      <c r="S3" s="1614">
        <v>-19032899.239999998</v>
      </c>
      <c r="T3" s="1614">
        <v>-19056203.239999998</v>
      </c>
      <c r="U3" s="1614">
        <v>-18970571.239999998</v>
      </c>
      <c r="V3" s="1614">
        <v>-16489735.24</v>
      </c>
      <c r="W3" s="1614">
        <v>-14806854.380000001</v>
      </c>
      <c r="X3" s="1614">
        <v>-16028634.380000001</v>
      </c>
      <c r="Y3" s="1614">
        <v>-16028634.380000001</v>
      </c>
      <c r="Z3" s="1614">
        <v>-16028634.380000001</v>
      </c>
      <c r="AA3" s="1614">
        <v>-15835115.49</v>
      </c>
      <c r="AB3" s="1614">
        <v>-15957449.289999999</v>
      </c>
      <c r="AC3" s="1614">
        <v>-16753774.800000001</v>
      </c>
      <c r="AD3" s="1614">
        <v>-15552940.630000001</v>
      </c>
      <c r="AE3" s="1615"/>
      <c r="AF3" s="1615"/>
      <c r="AG3" s="1614"/>
      <c r="AH3" s="1616">
        <f t="shared" ref="AH3:AH9" si="0">IFERROR(AVERAGE(C3:AG3),"")</f>
        <v>-18601715.926428575</v>
      </c>
    </row>
    <row r="4" spans="1:34" ht="12.75" customHeight="1" x14ac:dyDescent="0.2">
      <c r="A4" s="1549"/>
      <c r="B4" s="1613">
        <v>43009</v>
      </c>
      <c r="C4" s="1615"/>
      <c r="D4" s="1615"/>
      <c r="E4" s="1614">
        <v>-17146194.309999999</v>
      </c>
      <c r="F4" s="1614">
        <v>-18065461.07</v>
      </c>
      <c r="G4" s="1614">
        <v>-18403675.850000001</v>
      </c>
      <c r="H4" s="1614">
        <v>-17407582.379999999</v>
      </c>
      <c r="I4" s="1614">
        <v>-19822399.379999999</v>
      </c>
      <c r="J4" s="1614">
        <v>-19822399.379999999</v>
      </c>
      <c r="K4" s="1614">
        <v>-20454181.030000001</v>
      </c>
      <c r="L4" s="1614">
        <v>-20357832.030000001</v>
      </c>
      <c r="M4" s="1614">
        <v>-18589957.640000001</v>
      </c>
      <c r="N4" s="1614">
        <v>-18485718.640000001</v>
      </c>
      <c r="O4" s="1614">
        <v>-18564778.640000001</v>
      </c>
      <c r="P4" s="1614">
        <v>-18565014.640000001</v>
      </c>
      <c r="Q4" s="1614">
        <v>-18565014.640000001</v>
      </c>
      <c r="R4" s="1614">
        <v>-19177082.239999998</v>
      </c>
      <c r="S4" s="1614">
        <v>-21652834.449999999</v>
      </c>
      <c r="T4" s="1614">
        <v>-20944393.449999999</v>
      </c>
      <c r="U4" s="1614">
        <v>-22175807.09</v>
      </c>
      <c r="V4" s="1614">
        <v>-22188548.09</v>
      </c>
      <c r="W4" s="1614">
        <v>-22188548.09</v>
      </c>
      <c r="X4" s="1614">
        <v>-22188548.09</v>
      </c>
      <c r="Y4" s="1614">
        <v>-22585795.09</v>
      </c>
      <c r="Z4" s="1614">
        <v>-21220504.09</v>
      </c>
      <c r="AA4" s="1614">
        <v>-21416410.09</v>
      </c>
      <c r="AB4" s="1614">
        <v>-20431546.91</v>
      </c>
      <c r="AC4" s="1614">
        <v>-19264448.780000001</v>
      </c>
      <c r="AD4" s="1614">
        <v>-19264448.780000001</v>
      </c>
      <c r="AE4" s="1614">
        <v>-19264448.780000001</v>
      </c>
      <c r="AF4" s="1614">
        <v>-17252455.350000001</v>
      </c>
      <c r="AG4" s="1614">
        <v>-16461612.210000001</v>
      </c>
      <c r="AH4" s="1616">
        <f t="shared" si="0"/>
        <v>-19721642.800344821</v>
      </c>
    </row>
    <row r="5" spans="1:34" ht="12.75" customHeight="1" x14ac:dyDescent="0.2">
      <c r="A5" s="1549"/>
      <c r="B5" s="1613">
        <v>43040</v>
      </c>
      <c r="C5" s="1614">
        <v>-18596563.210000001</v>
      </c>
      <c r="D5" s="1614">
        <v>-16038002.779999999</v>
      </c>
      <c r="E5" s="1614">
        <v>-16112210.779999999</v>
      </c>
      <c r="F5" s="1614">
        <v>-16442940.779999999</v>
      </c>
      <c r="G5" s="1614">
        <v>-16442940.779999999</v>
      </c>
      <c r="H5" s="1614">
        <v>-16954038.780000001</v>
      </c>
      <c r="I5" s="1614">
        <v>-17395794.379999999</v>
      </c>
      <c r="J5" s="1614">
        <v>-14250203.6</v>
      </c>
      <c r="K5" s="1614">
        <v>-15041995.6</v>
      </c>
      <c r="L5" s="1614">
        <v>-13686921.199999999</v>
      </c>
      <c r="M5" s="1614">
        <v>-13687236.26</v>
      </c>
      <c r="N5" s="1614">
        <v>-13687236.26</v>
      </c>
      <c r="O5" s="1614">
        <v>-13833776.26</v>
      </c>
      <c r="P5" s="1614">
        <v>-12709201.26</v>
      </c>
      <c r="Q5" s="1614">
        <v>-12715866.26</v>
      </c>
      <c r="R5" s="1614">
        <v>-12777286.26</v>
      </c>
      <c r="S5" s="1614">
        <v>-11884262.09</v>
      </c>
      <c r="T5" s="1614">
        <v>-13333668.09</v>
      </c>
      <c r="U5" s="1614">
        <v>-13333668.09</v>
      </c>
      <c r="V5" s="1614">
        <v>-13764670.09</v>
      </c>
      <c r="W5" s="1614">
        <v>-13058202.09</v>
      </c>
      <c r="X5" s="1614">
        <v>-13087763.09</v>
      </c>
      <c r="Y5" s="1614">
        <v>-11728531.09</v>
      </c>
      <c r="Z5" s="1614">
        <v>-11744462.09</v>
      </c>
      <c r="AA5" s="1614">
        <v>-11744462.09</v>
      </c>
      <c r="AB5" s="1614">
        <v>-11744462.09</v>
      </c>
      <c r="AC5" s="1614">
        <v>-11819868.289999999</v>
      </c>
      <c r="AD5" s="1614">
        <v>-13059290.960000001</v>
      </c>
      <c r="AE5" s="1614">
        <v>-12969455.960000001</v>
      </c>
      <c r="AF5" s="1614">
        <v>-14466306.859999999</v>
      </c>
      <c r="AG5" s="1614"/>
      <c r="AH5" s="1616">
        <f t="shared" si="0"/>
        <v>-13937042.913999991</v>
      </c>
    </row>
    <row r="6" spans="1:34" ht="12.75" customHeight="1" x14ac:dyDescent="0.2">
      <c r="A6" s="1549"/>
      <c r="B6" s="1613">
        <v>43070</v>
      </c>
      <c r="C6" s="1614">
        <v>-12863333.039999999</v>
      </c>
      <c r="D6" s="1614">
        <v>-16837113.989999998</v>
      </c>
      <c r="E6" s="1614">
        <v>-16837113.989999998</v>
      </c>
      <c r="F6" s="1614">
        <v>-16877256.989999998</v>
      </c>
      <c r="G6" s="1614">
        <v>-14066704.560000001</v>
      </c>
      <c r="H6" s="1614">
        <v>-14816589.98</v>
      </c>
      <c r="I6" s="1614">
        <v>-12506781.789999999</v>
      </c>
      <c r="J6" s="1614">
        <v>-13522272.789999999</v>
      </c>
      <c r="K6" s="1614">
        <v>-13522272.789999999</v>
      </c>
      <c r="L6" s="1614">
        <v>-13522272.789999999</v>
      </c>
      <c r="M6" s="1614">
        <v>-14054509.789999999</v>
      </c>
      <c r="N6" s="1614">
        <v>-12818047.539999999</v>
      </c>
      <c r="O6" s="1614">
        <v>-12788748.539999999</v>
      </c>
      <c r="P6" s="1614">
        <v>-11724142.539999999</v>
      </c>
      <c r="Q6" s="1614">
        <v>-12283022.539999999</v>
      </c>
      <c r="R6" s="1614">
        <v>-12284376</v>
      </c>
      <c r="S6" s="1614">
        <v>-12284376</v>
      </c>
      <c r="T6" s="1614">
        <v>-11034046</v>
      </c>
      <c r="U6" s="1614">
        <v>-8169945.8700000001</v>
      </c>
      <c r="V6" s="1614">
        <v>-8399041.8599999994</v>
      </c>
      <c r="W6" s="1614">
        <v>-6754456.7800000003</v>
      </c>
      <c r="X6" s="1614">
        <v>-6840881.3300000001</v>
      </c>
      <c r="Y6" s="1614">
        <v>-6840881.3300000001</v>
      </c>
      <c r="Z6" s="1614">
        <v>-6840881.3300000001</v>
      </c>
      <c r="AA6" s="1614">
        <v>-6840881.3300000001</v>
      </c>
      <c r="AB6" s="1614">
        <v>-6889655.3300000001</v>
      </c>
      <c r="AC6" s="1614">
        <v>-4656793.9400000004</v>
      </c>
      <c r="AD6" s="1614">
        <v>-5602271.0599999996</v>
      </c>
      <c r="AE6" s="1614">
        <v>-7360049.2199999997</v>
      </c>
      <c r="AF6" s="1614">
        <v>-28051342.420000002</v>
      </c>
      <c r="AG6" s="1614">
        <v>-28161926.420000002</v>
      </c>
      <c r="AH6" s="1616">
        <f t="shared" si="0"/>
        <v>-12130709.350967741</v>
      </c>
    </row>
    <row r="7" spans="1:34" ht="12.75" customHeight="1" x14ac:dyDescent="0.2">
      <c r="A7" s="1549"/>
      <c r="B7" s="1613">
        <v>43101</v>
      </c>
      <c r="C7" s="1614">
        <v>-9869036.5999999996</v>
      </c>
      <c r="D7" s="1614">
        <v>-9956077.5</v>
      </c>
      <c r="E7" s="1614">
        <v>-9857360.6300000008</v>
      </c>
      <c r="F7" s="1614">
        <v>-10105292.630000001</v>
      </c>
      <c r="G7" s="1614">
        <v>-11442487.630000001</v>
      </c>
      <c r="H7" s="1614">
        <v>-11497562.630000001</v>
      </c>
      <c r="I7" s="1614">
        <v>-11497562.630000001</v>
      </c>
      <c r="J7" s="1614">
        <v>-9696735.6300000008</v>
      </c>
      <c r="K7" s="1614">
        <v>-7652953.7300000004</v>
      </c>
      <c r="L7" s="1614">
        <v>-7783258.7300000004</v>
      </c>
      <c r="M7" s="1614">
        <v>-6523996.6500000004</v>
      </c>
      <c r="N7" s="1614">
        <v>-5815670.1200000001</v>
      </c>
      <c r="O7" s="1614">
        <v>-5815890.7800000003</v>
      </c>
      <c r="P7" s="1614">
        <v>-5815890.7800000003</v>
      </c>
      <c r="Q7" s="1614">
        <v>-5269558.78</v>
      </c>
      <c r="R7" s="1614">
        <v>-3651886.82</v>
      </c>
      <c r="S7" s="1614">
        <v>-3746922.82</v>
      </c>
      <c r="T7" s="1614">
        <v>-3096405.15</v>
      </c>
      <c r="U7" s="1614">
        <v>-4103983.15</v>
      </c>
      <c r="V7" s="1614">
        <v>-4108058.15</v>
      </c>
      <c r="W7" s="1614">
        <v>-4108058.15</v>
      </c>
      <c r="X7" s="1614">
        <v>-4407211.2699999996</v>
      </c>
      <c r="Y7" s="1614">
        <v>-4150406.08</v>
      </c>
      <c r="Z7" s="1614">
        <v>-4218113.08</v>
      </c>
      <c r="AA7" s="1614">
        <v>-4395896.08</v>
      </c>
      <c r="AB7" s="1614">
        <v>-4395896.08</v>
      </c>
      <c r="AC7" s="1614">
        <v>-4395896.08</v>
      </c>
      <c r="AD7" s="1614">
        <v>-4395896.08</v>
      </c>
      <c r="AE7" s="1614">
        <v>-3950250.88</v>
      </c>
      <c r="AF7" s="1614">
        <v>-4457784.0599999996</v>
      </c>
      <c r="AG7" s="1614">
        <v>-3584944.56</v>
      </c>
      <c r="AH7" s="1616">
        <f t="shared" si="0"/>
        <v>-6250546.5787096824</v>
      </c>
    </row>
    <row r="8" spans="1:34" ht="12.75" customHeight="1" x14ac:dyDescent="0.2">
      <c r="A8" s="1549"/>
      <c r="B8" s="1613">
        <v>43132</v>
      </c>
      <c r="C8" s="1614">
        <v>-5353685.5599999996</v>
      </c>
      <c r="D8" s="1614">
        <v>-6415872.96</v>
      </c>
      <c r="E8" s="1614">
        <v>-7023734.96</v>
      </c>
      <c r="F8" s="1614">
        <v>-7023734.96</v>
      </c>
      <c r="G8" s="1614">
        <v>-8856680.9600000009</v>
      </c>
      <c r="H8" s="1614">
        <v>-9409079.3399999999</v>
      </c>
      <c r="I8" s="1614">
        <v>-9570632.3399999999</v>
      </c>
      <c r="J8" s="1614">
        <v>-9665634.3000000007</v>
      </c>
      <c r="K8" s="1614">
        <v>-9868386.3000000007</v>
      </c>
      <c r="L8" s="1614">
        <v>-9868386.3000000007</v>
      </c>
      <c r="M8" s="1614">
        <v>-9868386.3000000007</v>
      </c>
      <c r="N8" s="1614">
        <v>-10886003.9</v>
      </c>
      <c r="O8" s="1614">
        <v>-10784112.9</v>
      </c>
      <c r="P8" s="1614">
        <v>-8864315.9000000004</v>
      </c>
      <c r="Q8" s="1614">
        <v>-8589203.6699999999</v>
      </c>
      <c r="R8" s="1614">
        <v>-28613468.670000002</v>
      </c>
      <c r="S8" s="1614">
        <v>-29652817.309999999</v>
      </c>
      <c r="T8" s="1614">
        <v>-29652817.309999999</v>
      </c>
      <c r="U8" s="1614">
        <v>-29722880.210000001</v>
      </c>
      <c r="V8" s="1614">
        <v>-28817543.469999999</v>
      </c>
      <c r="W8" s="1614">
        <v>-27709336.469999999</v>
      </c>
      <c r="X8" s="1614">
        <v>-27714548.960000001</v>
      </c>
      <c r="Y8" s="1614">
        <v>-27944641.960000001</v>
      </c>
      <c r="Z8" s="1614">
        <v>-27944641.960000001</v>
      </c>
      <c r="AA8" s="1614">
        <v>-27944641.960000001</v>
      </c>
      <c r="AB8" s="1614">
        <v>-27185323.960000001</v>
      </c>
      <c r="AC8" s="1614">
        <v>-25924931.960000001</v>
      </c>
      <c r="AD8" s="1614">
        <v>-26582428.129999999</v>
      </c>
      <c r="AE8" s="1614"/>
      <c r="AF8" s="1614"/>
      <c r="AG8" s="1614"/>
      <c r="AH8" s="1616">
        <f t="shared" si="0"/>
        <v>-17766352.606428567</v>
      </c>
    </row>
    <row r="9" spans="1:34" ht="12.75" customHeight="1" thickBot="1" x14ac:dyDescent="0.25">
      <c r="A9" s="1549"/>
      <c r="B9" s="1613">
        <v>43160</v>
      </c>
      <c r="C9" s="1614">
        <v>-27175559.289999999</v>
      </c>
      <c r="D9" s="1614">
        <v>-27261959.289999999</v>
      </c>
      <c r="E9" s="1614">
        <v>-27649043.289999999</v>
      </c>
      <c r="F9" s="1614">
        <v>-27649043.289999999</v>
      </c>
      <c r="G9" s="1614">
        <v>-28032790.390000001</v>
      </c>
      <c r="H9" s="1614">
        <v>-29834903.809999999</v>
      </c>
      <c r="I9" s="1614">
        <v>-31533576.27</v>
      </c>
      <c r="J9" s="1614">
        <v>-31599917.129999999</v>
      </c>
      <c r="K9" s="1614">
        <v>-32088575.530000001</v>
      </c>
      <c r="L9" s="1614">
        <v>-32088804.449999999</v>
      </c>
      <c r="M9" s="1614">
        <v>-32088804.449999999</v>
      </c>
      <c r="N9" s="1614">
        <v>-32238919.050000001</v>
      </c>
      <c r="O9" s="1614">
        <v>-33200126.309999999</v>
      </c>
      <c r="P9" s="1614">
        <v>-31906067.199999999</v>
      </c>
      <c r="Q9" s="1614">
        <v>-31897916.199999999</v>
      </c>
      <c r="R9" s="1614">
        <v>-31902033.199999999</v>
      </c>
      <c r="S9" s="1614">
        <v>-33414990.199999999</v>
      </c>
      <c r="T9" s="1614">
        <v>-33414990.199999999</v>
      </c>
      <c r="U9" s="1614">
        <v>-33467498.800000001</v>
      </c>
      <c r="V9" s="1614">
        <v>-31991336.469999999</v>
      </c>
      <c r="W9" s="1614">
        <v>-30574968.469999999</v>
      </c>
      <c r="X9" s="1614">
        <v>-29770112.469999999</v>
      </c>
      <c r="Y9" s="1614">
        <v>-30201589.649999999</v>
      </c>
      <c r="Z9" s="1614">
        <v>-30201589.649999999</v>
      </c>
      <c r="AA9" s="1614">
        <v>-30201589.649999999</v>
      </c>
      <c r="AB9" s="1614">
        <v>-29857095.649999999</v>
      </c>
      <c r="AC9" s="1614">
        <v>-19784688.609999999</v>
      </c>
      <c r="AD9" s="1614">
        <v>-20711015.890000001</v>
      </c>
      <c r="AE9" s="1614">
        <v>-20101399.699999999</v>
      </c>
      <c r="AF9" s="1614">
        <v>-21745807.699999999</v>
      </c>
      <c r="AG9" s="1614">
        <v>-30473549.32</v>
      </c>
      <c r="AH9" s="1616">
        <f t="shared" si="0"/>
        <v>-29485814.88967742</v>
      </c>
    </row>
    <row r="10" spans="1:34" ht="12.75" customHeight="1" thickBot="1" x14ac:dyDescent="0.25">
      <c r="A10" s="1549"/>
      <c r="B10" s="1617" t="s">
        <v>3647</v>
      </c>
      <c r="C10" s="1618">
        <f t="shared" ref="C10:AH10" si="1">IFERROR(AVERAGE(C3:C9),"")</f>
        <v>-15437611.536666667</v>
      </c>
      <c r="D10" s="1618">
        <f t="shared" si="1"/>
        <v>-15879419.673333332</v>
      </c>
      <c r="E10" s="1618">
        <f t="shared" si="1"/>
        <v>-16199021.354285713</v>
      </c>
      <c r="F10" s="1618">
        <f t="shared" si="1"/>
        <v>-16246303.815714283</v>
      </c>
      <c r="G10" s="1618">
        <f t="shared" si="1"/>
        <v>-16612168.022857144</v>
      </c>
      <c r="H10" s="1618">
        <f t="shared" si="1"/>
        <v>-17204698.558571428</v>
      </c>
      <c r="I10" s="1618">
        <f t="shared" si="1"/>
        <v>-17604843.682857141</v>
      </c>
      <c r="J10" s="1618">
        <f t="shared" si="1"/>
        <v>-17246767.054285713</v>
      </c>
      <c r="K10" s="1618">
        <f t="shared" si="1"/>
        <v>-17256938.789999999</v>
      </c>
      <c r="L10" s="1618">
        <f t="shared" si="1"/>
        <v>-17068240.292857144</v>
      </c>
      <c r="M10" s="1618">
        <f t="shared" si="1"/>
        <v>-16596049.704285715</v>
      </c>
      <c r="N10" s="1618">
        <f t="shared" si="1"/>
        <v>-16492614.050000001</v>
      </c>
      <c r="O10" s="1618">
        <f t="shared" si="1"/>
        <v>-16359944.735714287</v>
      </c>
      <c r="P10" s="1618">
        <f t="shared" si="1"/>
        <v>-15513507.291428572</v>
      </c>
      <c r="Q10" s="1618">
        <f t="shared" si="1"/>
        <v>-15477477.83</v>
      </c>
      <c r="R10" s="1618">
        <f t="shared" si="1"/>
        <v>-18205576.061428569</v>
      </c>
      <c r="S10" s="1618">
        <f t="shared" si="1"/>
        <v>-18809871.73</v>
      </c>
      <c r="T10" s="1618">
        <f t="shared" si="1"/>
        <v>-18647503.348571431</v>
      </c>
      <c r="U10" s="1618">
        <f t="shared" si="1"/>
        <v>-18563479.207142856</v>
      </c>
      <c r="V10" s="1618">
        <f t="shared" si="1"/>
        <v>-17965561.91</v>
      </c>
      <c r="W10" s="1618">
        <f t="shared" si="1"/>
        <v>-17028632.061428573</v>
      </c>
      <c r="X10" s="1618">
        <f t="shared" si="1"/>
        <v>-17148242.79857143</v>
      </c>
      <c r="Y10" s="1618">
        <f t="shared" si="1"/>
        <v>-17068639.940000001</v>
      </c>
      <c r="Z10" s="1618">
        <f t="shared" si="1"/>
        <v>-16885546.654285718</v>
      </c>
      <c r="AA10" s="1618">
        <f t="shared" si="1"/>
        <v>-16911285.241428573</v>
      </c>
      <c r="AB10" s="1618">
        <f t="shared" si="1"/>
        <v>-16637347.044285715</v>
      </c>
      <c r="AC10" s="1618">
        <f t="shared" si="1"/>
        <v>-14657200.35142857</v>
      </c>
      <c r="AD10" s="1618">
        <f t="shared" si="1"/>
        <v>-15024041.647142857</v>
      </c>
      <c r="AE10" s="1618">
        <f t="shared" si="1"/>
        <v>-12729120.908000002</v>
      </c>
      <c r="AF10" s="1618">
        <f t="shared" si="1"/>
        <v>-17194739.278000001</v>
      </c>
      <c r="AG10" s="1618">
        <f t="shared" si="1"/>
        <v>-19670508.127500001</v>
      </c>
      <c r="AH10" s="1619">
        <f t="shared" si="1"/>
        <v>-16841975.009508114</v>
      </c>
    </row>
    <row r="11" spans="1:34" ht="0.75" customHeight="1" x14ac:dyDescent="0.2">
      <c r="A11" s="1549"/>
      <c r="B11" s="1620" t="str">
        <f>"MIN - "&amp;TEXT(MIN(DAvg),"#,###")</f>
        <v>MIN - -1,88,09,872</v>
      </c>
      <c r="C11" s="1620" t="e">
        <f t="shared" ref="C11:AF11" si="2">IF(MIN(DAvg)=C10,C10,NA())</f>
        <v>#N/A</v>
      </c>
      <c r="D11" s="1620" t="e">
        <f t="shared" si="2"/>
        <v>#N/A</v>
      </c>
      <c r="E11" s="1620" t="e">
        <f t="shared" si="2"/>
        <v>#N/A</v>
      </c>
      <c r="F11" s="1620" t="e">
        <f t="shared" si="2"/>
        <v>#N/A</v>
      </c>
      <c r="G11" s="1620" t="e">
        <f t="shared" si="2"/>
        <v>#N/A</v>
      </c>
      <c r="H11" s="1620" t="e">
        <f t="shared" si="2"/>
        <v>#N/A</v>
      </c>
      <c r="I11" s="1620" t="e">
        <f t="shared" si="2"/>
        <v>#N/A</v>
      </c>
      <c r="J11" s="1620" t="e">
        <f t="shared" si="2"/>
        <v>#N/A</v>
      </c>
      <c r="K11" s="1620" t="e">
        <f t="shared" si="2"/>
        <v>#N/A</v>
      </c>
      <c r="L11" s="1620" t="e">
        <f t="shared" si="2"/>
        <v>#N/A</v>
      </c>
      <c r="M11" s="1620" t="e">
        <f t="shared" si="2"/>
        <v>#N/A</v>
      </c>
      <c r="N11" s="1620" t="e">
        <f t="shared" si="2"/>
        <v>#N/A</v>
      </c>
      <c r="O11" s="1620" t="e">
        <f t="shared" si="2"/>
        <v>#N/A</v>
      </c>
      <c r="P11" s="1620" t="e">
        <f t="shared" si="2"/>
        <v>#N/A</v>
      </c>
      <c r="Q11" s="1620" t="e">
        <f t="shared" si="2"/>
        <v>#N/A</v>
      </c>
      <c r="R11" s="1620" t="e">
        <f t="shared" si="2"/>
        <v>#N/A</v>
      </c>
      <c r="S11" s="1621">
        <f t="shared" si="2"/>
        <v>-18809871.73</v>
      </c>
      <c r="T11" s="1620" t="e">
        <f t="shared" si="2"/>
        <v>#N/A</v>
      </c>
      <c r="U11" s="1620" t="e">
        <f t="shared" si="2"/>
        <v>#N/A</v>
      </c>
      <c r="V11" s="1620" t="e">
        <f t="shared" si="2"/>
        <v>#N/A</v>
      </c>
      <c r="W11" s="1620" t="e">
        <f t="shared" si="2"/>
        <v>#N/A</v>
      </c>
      <c r="X11" s="1620" t="e">
        <f t="shared" si="2"/>
        <v>#N/A</v>
      </c>
      <c r="Y11" s="1620" t="e">
        <f t="shared" si="2"/>
        <v>#N/A</v>
      </c>
      <c r="Z11" s="1620" t="e">
        <f t="shared" si="2"/>
        <v>#N/A</v>
      </c>
      <c r="AA11" s="1620" t="e">
        <f t="shared" si="2"/>
        <v>#N/A</v>
      </c>
      <c r="AB11" s="1620" t="e">
        <f t="shared" si="2"/>
        <v>#N/A</v>
      </c>
      <c r="AC11" s="1620" t="e">
        <f t="shared" si="2"/>
        <v>#N/A</v>
      </c>
      <c r="AD11" s="1620" t="e">
        <f t="shared" si="2"/>
        <v>#N/A</v>
      </c>
      <c r="AE11" s="1620" t="e">
        <f t="shared" si="2"/>
        <v>#N/A</v>
      </c>
      <c r="AF11" s="1620" t="e">
        <f t="shared" si="2"/>
        <v>#N/A</v>
      </c>
      <c r="AG11" s="1549"/>
      <c r="AH11" s="1549"/>
    </row>
    <row r="12" spans="1:34" ht="0.75" customHeight="1" x14ac:dyDescent="0.2">
      <c r="A12" s="1549"/>
      <c r="B12" s="1620" t="str">
        <f>"MAX - "&amp;TEXT(MAX(DAvg),"#,###")</f>
        <v>MAX - -1,27,29,121</v>
      </c>
      <c r="C12" s="1620" t="e">
        <f t="shared" ref="C12:AF12" si="3">IF(MAX(DAvg)=C10,C10,NA())</f>
        <v>#N/A</v>
      </c>
      <c r="D12" s="1620" t="e">
        <f t="shared" si="3"/>
        <v>#N/A</v>
      </c>
      <c r="E12" s="1620" t="e">
        <f t="shared" si="3"/>
        <v>#N/A</v>
      </c>
      <c r="F12" s="1620" t="e">
        <f t="shared" si="3"/>
        <v>#N/A</v>
      </c>
      <c r="G12" s="1620" t="e">
        <f t="shared" si="3"/>
        <v>#N/A</v>
      </c>
      <c r="H12" s="1620" t="e">
        <f t="shared" si="3"/>
        <v>#N/A</v>
      </c>
      <c r="I12" s="1620" t="e">
        <f t="shared" si="3"/>
        <v>#N/A</v>
      </c>
      <c r="J12" s="1620" t="e">
        <f t="shared" si="3"/>
        <v>#N/A</v>
      </c>
      <c r="K12" s="1620" t="e">
        <f t="shared" si="3"/>
        <v>#N/A</v>
      </c>
      <c r="L12" s="1620" t="e">
        <f t="shared" si="3"/>
        <v>#N/A</v>
      </c>
      <c r="M12" s="1620" t="e">
        <f t="shared" si="3"/>
        <v>#N/A</v>
      </c>
      <c r="N12" s="1620" t="e">
        <f t="shared" si="3"/>
        <v>#N/A</v>
      </c>
      <c r="O12" s="1620" t="e">
        <f t="shared" si="3"/>
        <v>#N/A</v>
      </c>
      <c r="P12" s="1620" t="e">
        <f t="shared" si="3"/>
        <v>#N/A</v>
      </c>
      <c r="Q12" s="1620" t="e">
        <f t="shared" si="3"/>
        <v>#N/A</v>
      </c>
      <c r="R12" s="1620" t="e">
        <f t="shared" si="3"/>
        <v>#N/A</v>
      </c>
      <c r="S12" s="1620" t="e">
        <f t="shared" si="3"/>
        <v>#N/A</v>
      </c>
      <c r="T12" s="1620" t="e">
        <f t="shared" si="3"/>
        <v>#N/A</v>
      </c>
      <c r="U12" s="1620" t="e">
        <f t="shared" si="3"/>
        <v>#N/A</v>
      </c>
      <c r="V12" s="1620" t="e">
        <f t="shared" si="3"/>
        <v>#N/A</v>
      </c>
      <c r="W12" s="1620" t="e">
        <f t="shared" si="3"/>
        <v>#N/A</v>
      </c>
      <c r="X12" s="1620" t="e">
        <f t="shared" si="3"/>
        <v>#N/A</v>
      </c>
      <c r="Y12" s="1620" t="e">
        <f t="shared" si="3"/>
        <v>#N/A</v>
      </c>
      <c r="Z12" s="1620" t="e">
        <f t="shared" si="3"/>
        <v>#N/A</v>
      </c>
      <c r="AA12" s="1620" t="e">
        <f t="shared" si="3"/>
        <v>#N/A</v>
      </c>
      <c r="AB12" s="1620" t="e">
        <f t="shared" si="3"/>
        <v>#N/A</v>
      </c>
      <c r="AC12" s="1620" t="e">
        <f t="shared" si="3"/>
        <v>#N/A</v>
      </c>
      <c r="AD12" s="1620" t="e">
        <f t="shared" si="3"/>
        <v>#N/A</v>
      </c>
      <c r="AE12" s="1621" t="e">
        <f t="shared" si="3"/>
        <v>#N/A</v>
      </c>
      <c r="AF12" s="1620" t="e">
        <f t="shared" si="3"/>
        <v>#N/A</v>
      </c>
      <c r="AG12" s="1549"/>
      <c r="AH12" s="1549"/>
    </row>
    <row r="13" spans="1:34" ht="0.75" customHeight="1" x14ac:dyDescent="0.2">
      <c r="A13" s="1549"/>
      <c r="B13" s="1620" t="str">
        <f>"Average - "&amp;TEXT(AVERAGE(DAvg),"#,###")</f>
        <v>Average - -1,66,89,080</v>
      </c>
      <c r="C13" s="1620">
        <f t="shared" ref="C13:AF13" si="4">AVERAGE(DAvg)</f>
        <v>-16689079.818666669</v>
      </c>
      <c r="D13" s="1620">
        <f t="shared" si="4"/>
        <v>-16689079.818666669</v>
      </c>
      <c r="E13" s="1620">
        <f t="shared" si="4"/>
        <v>-16689079.818666669</v>
      </c>
      <c r="F13" s="1620">
        <f t="shared" si="4"/>
        <v>-16689079.818666669</v>
      </c>
      <c r="G13" s="1620">
        <f t="shared" si="4"/>
        <v>-16689079.818666669</v>
      </c>
      <c r="H13" s="1620">
        <f t="shared" si="4"/>
        <v>-16689079.818666669</v>
      </c>
      <c r="I13" s="1620">
        <f t="shared" si="4"/>
        <v>-16689079.818666669</v>
      </c>
      <c r="J13" s="1620">
        <f t="shared" si="4"/>
        <v>-16689079.818666669</v>
      </c>
      <c r="K13" s="1620">
        <f t="shared" si="4"/>
        <v>-16689079.818666669</v>
      </c>
      <c r="L13" s="1620">
        <f t="shared" si="4"/>
        <v>-16689079.818666669</v>
      </c>
      <c r="M13" s="1620">
        <f t="shared" si="4"/>
        <v>-16689079.818666669</v>
      </c>
      <c r="N13" s="1620">
        <f t="shared" si="4"/>
        <v>-16689079.818666669</v>
      </c>
      <c r="O13" s="1620">
        <f t="shared" si="4"/>
        <v>-16689079.818666669</v>
      </c>
      <c r="P13" s="1620">
        <f t="shared" si="4"/>
        <v>-16689079.818666669</v>
      </c>
      <c r="Q13" s="1620">
        <f t="shared" si="4"/>
        <v>-16689079.818666669</v>
      </c>
      <c r="R13" s="1620">
        <f t="shared" si="4"/>
        <v>-16689079.818666669</v>
      </c>
      <c r="S13" s="1620">
        <f t="shared" si="4"/>
        <v>-16689079.818666669</v>
      </c>
      <c r="T13" s="1620">
        <f t="shared" si="4"/>
        <v>-16689079.818666669</v>
      </c>
      <c r="U13" s="1620">
        <f t="shared" si="4"/>
        <v>-16689079.818666669</v>
      </c>
      <c r="V13" s="1620">
        <f t="shared" si="4"/>
        <v>-16689079.818666669</v>
      </c>
      <c r="W13" s="1620">
        <f t="shared" si="4"/>
        <v>-16689079.818666669</v>
      </c>
      <c r="X13" s="1620">
        <f t="shared" si="4"/>
        <v>-16689079.818666669</v>
      </c>
      <c r="Y13" s="1620">
        <f t="shared" si="4"/>
        <v>-16689079.818666669</v>
      </c>
      <c r="Z13" s="1620">
        <f t="shared" si="4"/>
        <v>-16689079.818666669</v>
      </c>
      <c r="AA13" s="1620">
        <f t="shared" si="4"/>
        <v>-16689079.818666669</v>
      </c>
      <c r="AB13" s="1620">
        <f t="shared" si="4"/>
        <v>-16689079.818666669</v>
      </c>
      <c r="AC13" s="1620">
        <f t="shared" si="4"/>
        <v>-16689079.818666669</v>
      </c>
      <c r="AD13" s="1620">
        <f t="shared" si="4"/>
        <v>-16689079.818666669</v>
      </c>
      <c r="AE13" s="1620">
        <f t="shared" si="4"/>
        <v>-16689079.818666669</v>
      </c>
      <c r="AF13" s="1620">
        <f t="shared" si="4"/>
        <v>-16689079.818666669</v>
      </c>
      <c r="AG13" s="1549"/>
      <c r="AH13" s="1549"/>
    </row>
    <row r="14" spans="1:34" ht="12.75" customHeight="1" x14ac:dyDescent="0.2">
      <c r="A14" s="1549"/>
      <c r="B14" s="1549"/>
      <c r="C14" s="1549"/>
      <c r="D14" s="1549"/>
      <c r="E14" s="1549"/>
      <c r="F14" s="1549"/>
      <c r="G14" s="1549"/>
      <c r="H14" s="1549"/>
      <c r="I14" s="1549"/>
      <c r="J14" s="1549"/>
      <c r="K14" s="1549"/>
      <c r="L14" s="1549"/>
      <c r="M14" s="1549"/>
      <c r="N14" s="1549"/>
      <c r="O14" s="1549"/>
      <c r="P14" s="1549"/>
      <c r="Q14" s="1549"/>
      <c r="R14" s="1549"/>
      <c r="S14" s="1549"/>
      <c r="T14" s="1549"/>
      <c r="U14" s="1549"/>
      <c r="V14" s="1549"/>
      <c r="W14" s="1549"/>
      <c r="X14" s="1549"/>
      <c r="Y14" s="1549"/>
      <c r="Z14" s="1549"/>
      <c r="AA14" s="1549"/>
      <c r="AB14" s="1549"/>
      <c r="AC14" s="1549"/>
      <c r="AD14" s="1549"/>
      <c r="AE14" s="1549"/>
      <c r="AF14" s="1549"/>
      <c r="AG14" s="1549"/>
      <c r="AH14" s="1549"/>
    </row>
    <row r="15" spans="1:34" ht="12.75" customHeight="1" x14ac:dyDescent="0.2">
      <c r="A15" s="1549"/>
      <c r="B15" s="1549"/>
      <c r="C15" s="1549"/>
      <c r="D15" s="1549"/>
      <c r="E15" s="1549"/>
      <c r="F15" s="1549"/>
      <c r="G15" s="1549"/>
      <c r="H15" s="1549"/>
      <c r="I15" s="1549"/>
      <c r="J15" s="1549"/>
      <c r="K15" s="1549"/>
      <c r="L15" s="1549"/>
      <c r="M15" s="1549"/>
      <c r="N15" s="1549"/>
      <c r="O15" s="1549"/>
      <c r="P15" s="1549"/>
      <c r="Q15" s="1549"/>
      <c r="R15" s="1549"/>
      <c r="S15" s="1549"/>
      <c r="T15" s="1549"/>
      <c r="U15" s="1549"/>
      <c r="V15" s="1549"/>
      <c r="W15" s="1549"/>
      <c r="X15" s="1549"/>
      <c r="Y15" s="1549"/>
      <c r="Z15" s="1549"/>
      <c r="AA15" s="1549"/>
      <c r="AB15" s="1549"/>
      <c r="AC15" s="1549"/>
      <c r="AD15" s="1549"/>
      <c r="AE15" s="1549"/>
      <c r="AF15" s="1549"/>
      <c r="AG15" s="1549"/>
      <c r="AH15" s="1549"/>
    </row>
    <row r="16" spans="1:34" ht="12.75" customHeight="1" x14ac:dyDescent="0.2">
      <c r="A16" s="1549"/>
      <c r="B16" s="1549"/>
      <c r="C16" s="1549"/>
      <c r="D16" s="1549"/>
      <c r="E16" s="1549"/>
      <c r="F16" s="1549"/>
      <c r="G16" s="1549"/>
      <c r="H16" s="1549"/>
      <c r="I16" s="1549"/>
      <c r="J16" s="1549"/>
      <c r="K16" s="1549"/>
      <c r="L16" s="1549"/>
      <c r="M16" s="1549"/>
      <c r="N16" s="1549"/>
      <c r="O16" s="1549"/>
      <c r="P16" s="1549"/>
      <c r="Q16" s="1549"/>
      <c r="R16" s="1549"/>
      <c r="S16" s="1549"/>
      <c r="T16" s="1549"/>
      <c r="U16" s="1549"/>
      <c r="V16" s="1549"/>
      <c r="W16" s="1549"/>
      <c r="X16" s="1549"/>
      <c r="Y16" s="1549"/>
      <c r="Z16" s="1549"/>
      <c r="AA16" s="1549"/>
      <c r="AB16" s="1549"/>
      <c r="AC16" s="1549"/>
      <c r="AD16" s="1549"/>
      <c r="AE16" s="1549"/>
      <c r="AF16" s="1549"/>
      <c r="AG16" s="1549"/>
      <c r="AH16" s="1549"/>
    </row>
    <row r="17" spans="1:34" ht="12.75" customHeight="1" x14ac:dyDescent="0.2">
      <c r="A17" s="1549"/>
      <c r="B17" s="1549"/>
      <c r="C17" s="1549"/>
      <c r="D17" s="1549"/>
      <c r="E17" s="1549"/>
      <c r="F17" s="1549"/>
      <c r="G17" s="1549"/>
      <c r="H17" s="1549"/>
      <c r="I17" s="1549"/>
      <c r="J17" s="1549"/>
      <c r="K17" s="1549"/>
      <c r="L17" s="1549"/>
      <c r="M17" s="1549"/>
      <c r="N17" s="1549"/>
      <c r="O17" s="1549"/>
      <c r="P17" s="1549"/>
      <c r="Q17" s="1549"/>
      <c r="R17" s="1549"/>
      <c r="S17" s="1549"/>
      <c r="T17" s="1549"/>
      <c r="U17" s="1549"/>
      <c r="V17" s="1549"/>
      <c r="W17" s="1549"/>
      <c r="X17" s="1549"/>
      <c r="Y17" s="1549"/>
      <c r="Z17" s="1549"/>
      <c r="AA17" s="1549"/>
      <c r="AB17" s="1549"/>
      <c r="AC17" s="1549"/>
      <c r="AD17" s="1549"/>
      <c r="AE17" s="1549"/>
      <c r="AF17" s="1549"/>
      <c r="AG17" s="1549"/>
      <c r="AH17" s="1549"/>
    </row>
    <row r="18" spans="1:34" ht="12.75" customHeight="1" x14ac:dyDescent="0.2">
      <c r="A18" s="1549"/>
      <c r="B18" s="1549"/>
      <c r="C18" s="1549"/>
      <c r="D18" s="1549"/>
      <c r="E18" s="1549"/>
      <c r="F18" s="1549"/>
      <c r="G18" s="1549"/>
      <c r="H18" s="1549"/>
      <c r="I18" s="1549"/>
      <c r="J18" s="1549"/>
      <c r="K18" s="1549"/>
      <c r="L18" s="1549"/>
      <c r="M18" s="1549"/>
      <c r="N18" s="1549"/>
      <c r="O18" s="1549"/>
      <c r="P18" s="1549"/>
      <c r="Q18" s="1549"/>
      <c r="R18" s="1549"/>
      <c r="S18" s="1549"/>
      <c r="T18" s="1549"/>
      <c r="U18" s="1549"/>
      <c r="V18" s="1549"/>
      <c r="W18" s="1549"/>
      <c r="X18" s="1549"/>
      <c r="Y18" s="1549"/>
      <c r="Z18" s="1549"/>
      <c r="AA18" s="1549"/>
      <c r="AB18" s="1549"/>
      <c r="AC18" s="1549"/>
      <c r="AD18" s="1549"/>
      <c r="AE18" s="1549"/>
      <c r="AF18" s="1549"/>
      <c r="AG18" s="1549"/>
      <c r="AH18" s="1549"/>
    </row>
    <row r="19" spans="1:34" ht="12.75" customHeight="1" x14ac:dyDescent="0.2">
      <c r="A19" s="1549"/>
      <c r="B19" s="1549"/>
      <c r="C19" s="1549"/>
      <c r="D19" s="1549"/>
      <c r="E19" s="1549"/>
      <c r="F19" s="1549"/>
      <c r="G19" s="1549"/>
      <c r="H19" s="1549"/>
      <c r="I19" s="1549"/>
      <c r="J19" s="1549"/>
      <c r="K19" s="1549"/>
      <c r="L19" s="1549"/>
      <c r="M19" s="1549"/>
      <c r="N19" s="1549"/>
      <c r="O19" s="1549"/>
      <c r="P19" s="1549"/>
      <c r="Q19" s="1549"/>
      <c r="R19" s="1549"/>
      <c r="S19" s="1549"/>
      <c r="T19" s="1549"/>
      <c r="U19" s="1549"/>
      <c r="V19" s="1549"/>
      <c r="W19" s="1549"/>
      <c r="X19" s="1549"/>
      <c r="Y19" s="1549"/>
      <c r="Z19" s="1549"/>
      <c r="AA19" s="1549"/>
      <c r="AB19" s="1549"/>
      <c r="AC19" s="1549"/>
      <c r="AD19" s="1549"/>
      <c r="AE19" s="1549"/>
      <c r="AF19" s="1549"/>
      <c r="AG19" s="1549"/>
      <c r="AH19" s="1549"/>
    </row>
    <row r="20" spans="1:34" ht="12.75" customHeight="1" x14ac:dyDescent="0.2">
      <c r="A20" s="1549"/>
      <c r="B20" s="1549"/>
      <c r="C20" s="1549"/>
      <c r="D20" s="1549"/>
      <c r="E20" s="1549"/>
      <c r="F20" s="1549"/>
      <c r="G20" s="1549"/>
      <c r="H20" s="1549"/>
      <c r="I20" s="1549"/>
      <c r="J20" s="1549"/>
      <c r="K20" s="1549"/>
      <c r="L20" s="1549"/>
      <c r="M20" s="1549"/>
      <c r="N20" s="1549"/>
      <c r="O20" s="1549"/>
      <c r="P20" s="1549"/>
      <c r="Q20" s="1549"/>
      <c r="R20" s="1549"/>
      <c r="S20" s="1549"/>
      <c r="T20" s="1549"/>
      <c r="U20" s="1549"/>
      <c r="V20" s="1549"/>
      <c r="W20" s="1549"/>
      <c r="X20" s="1549"/>
      <c r="Y20" s="1549"/>
      <c r="Z20" s="1549"/>
      <c r="AA20" s="1549"/>
      <c r="AB20" s="1549"/>
      <c r="AC20" s="1549"/>
      <c r="AD20" s="1549"/>
      <c r="AE20" s="1549"/>
      <c r="AF20" s="1549"/>
      <c r="AG20" s="1549"/>
      <c r="AH20" s="1549"/>
    </row>
    <row r="21" spans="1:34" ht="12.75" customHeight="1" x14ac:dyDescent="0.2">
      <c r="A21" s="1549"/>
      <c r="B21" s="1549"/>
      <c r="C21" s="1549"/>
      <c r="D21" s="1549"/>
      <c r="E21" s="1549"/>
      <c r="F21" s="1549"/>
      <c r="G21" s="1549"/>
      <c r="H21" s="1549"/>
      <c r="I21" s="1549"/>
      <c r="J21" s="1549"/>
      <c r="K21" s="1549"/>
      <c r="L21" s="1549"/>
      <c r="M21" s="1549"/>
      <c r="N21" s="1549"/>
      <c r="O21" s="1549"/>
      <c r="P21" s="1549"/>
      <c r="Q21" s="1549"/>
      <c r="R21" s="1549"/>
      <c r="S21" s="1549"/>
      <c r="T21" s="1549"/>
      <c r="U21" s="1549"/>
      <c r="V21" s="1549"/>
      <c r="W21" s="1549"/>
      <c r="X21" s="1549"/>
      <c r="Y21" s="1549"/>
      <c r="Z21" s="1549"/>
      <c r="AA21" s="1549"/>
      <c r="AB21" s="1549"/>
      <c r="AC21" s="1549"/>
      <c r="AD21" s="1549"/>
      <c r="AE21" s="1549"/>
      <c r="AF21" s="1549"/>
      <c r="AG21" s="1549"/>
      <c r="AH21" s="1549"/>
    </row>
    <row r="22" spans="1:34" ht="12.75" customHeight="1" x14ac:dyDescent="0.2">
      <c r="A22" s="1549"/>
      <c r="B22" s="1549"/>
      <c r="C22" s="1549"/>
      <c r="D22" s="1549"/>
      <c r="E22" s="1549"/>
      <c r="F22" s="1549"/>
      <c r="G22" s="1549"/>
      <c r="H22" s="1549"/>
      <c r="I22" s="1549"/>
      <c r="J22" s="1549"/>
      <c r="K22" s="1549"/>
      <c r="L22" s="1549"/>
      <c r="M22" s="1549"/>
      <c r="N22" s="1549"/>
      <c r="O22" s="1549"/>
      <c r="P22" s="1549"/>
      <c r="Q22" s="1549"/>
      <c r="R22" s="1549"/>
      <c r="S22" s="1549"/>
      <c r="T22" s="1549"/>
      <c r="U22" s="1549"/>
      <c r="V22" s="1549"/>
      <c r="W22" s="1549"/>
      <c r="X22" s="1549"/>
      <c r="Y22" s="1549"/>
      <c r="Z22" s="1549"/>
      <c r="AA22" s="1549"/>
      <c r="AB22" s="1549"/>
      <c r="AC22" s="1549"/>
      <c r="AD22" s="1549"/>
      <c r="AE22" s="1549"/>
      <c r="AF22" s="1549"/>
      <c r="AG22" s="1549"/>
      <c r="AH22" s="1549"/>
    </row>
    <row r="23" spans="1:34" ht="12.75" customHeight="1" x14ac:dyDescent="0.2">
      <c r="A23" s="1549"/>
      <c r="B23" s="1549"/>
      <c r="C23" s="1549"/>
      <c r="D23" s="1549"/>
      <c r="E23" s="1549"/>
      <c r="F23" s="1549"/>
      <c r="G23" s="1549"/>
      <c r="H23" s="1549"/>
      <c r="I23" s="1549"/>
      <c r="J23" s="1549"/>
      <c r="K23" s="1549"/>
      <c r="L23" s="1549"/>
      <c r="M23" s="1549"/>
      <c r="N23" s="1549"/>
      <c r="O23" s="1549"/>
      <c r="P23" s="1549"/>
      <c r="Q23" s="1549"/>
      <c r="R23" s="1549"/>
      <c r="S23" s="1549"/>
      <c r="T23" s="1549"/>
      <c r="U23" s="1549"/>
      <c r="V23" s="1549"/>
      <c r="W23" s="1549"/>
      <c r="X23" s="1549"/>
      <c r="Y23" s="1549"/>
      <c r="Z23" s="1549"/>
      <c r="AA23" s="1549"/>
      <c r="AB23" s="1549"/>
      <c r="AC23" s="1549"/>
      <c r="AD23" s="1549"/>
      <c r="AE23" s="1549"/>
      <c r="AF23" s="1549"/>
      <c r="AG23" s="1549"/>
      <c r="AH23" s="1549"/>
    </row>
    <row r="24" spans="1:34" ht="12.75" customHeight="1" x14ac:dyDescent="0.2">
      <c r="A24" s="1549"/>
      <c r="B24" s="1549"/>
      <c r="C24" s="1549"/>
      <c r="D24" s="1549"/>
      <c r="E24" s="1549"/>
      <c r="F24" s="1549"/>
      <c r="G24" s="1549"/>
      <c r="H24" s="1549"/>
      <c r="I24" s="1549"/>
      <c r="J24" s="1549"/>
      <c r="K24" s="1549"/>
      <c r="L24" s="1549"/>
      <c r="M24" s="1549"/>
      <c r="N24" s="1549"/>
      <c r="O24" s="1549"/>
      <c r="P24" s="1549"/>
      <c r="Q24" s="1549"/>
      <c r="R24" s="1549"/>
      <c r="S24" s="1549"/>
      <c r="T24" s="1549"/>
      <c r="U24" s="1549"/>
      <c r="V24" s="1549"/>
      <c r="W24" s="1549"/>
      <c r="X24" s="1549"/>
      <c r="Y24" s="1549"/>
      <c r="Z24" s="1549"/>
      <c r="AA24" s="1549"/>
      <c r="AB24" s="1549"/>
      <c r="AC24" s="1549"/>
      <c r="AD24" s="1549"/>
      <c r="AE24" s="1549"/>
      <c r="AF24" s="1549"/>
      <c r="AG24" s="1549"/>
      <c r="AH24" s="1549"/>
    </row>
    <row r="25" spans="1:34" ht="12.75" customHeight="1" x14ac:dyDescent="0.2">
      <c r="A25" s="1549"/>
      <c r="B25" s="1549"/>
      <c r="C25" s="1549"/>
      <c r="D25" s="1549"/>
      <c r="E25" s="1549"/>
      <c r="F25" s="1549"/>
      <c r="G25" s="1549"/>
      <c r="H25" s="1549"/>
      <c r="I25" s="1549"/>
      <c r="J25" s="1549"/>
      <c r="K25" s="1549"/>
      <c r="L25" s="1549"/>
      <c r="M25" s="1549"/>
      <c r="N25" s="1549"/>
      <c r="O25" s="1549"/>
      <c r="P25" s="1549"/>
      <c r="Q25" s="1549"/>
      <c r="R25" s="1549"/>
      <c r="S25" s="1549"/>
      <c r="T25" s="1549"/>
      <c r="U25" s="1549"/>
      <c r="V25" s="1549"/>
      <c r="W25" s="1549"/>
      <c r="X25" s="1549"/>
      <c r="Y25" s="1549"/>
      <c r="Z25" s="1549"/>
      <c r="AA25" s="1549"/>
      <c r="AB25" s="1549"/>
      <c r="AC25" s="1549"/>
      <c r="AD25" s="1549"/>
      <c r="AE25" s="1549"/>
      <c r="AF25" s="1549"/>
      <c r="AG25" s="1549"/>
      <c r="AH25" s="1549"/>
    </row>
    <row r="26" spans="1:34" ht="12.75" customHeight="1" x14ac:dyDescent="0.2">
      <c r="A26" s="1549"/>
      <c r="B26" s="1549"/>
      <c r="C26" s="1549"/>
      <c r="D26" s="1549"/>
      <c r="E26" s="1549"/>
      <c r="F26" s="1549"/>
      <c r="G26" s="1549"/>
      <c r="H26" s="1549"/>
      <c r="I26" s="1549"/>
      <c r="J26" s="1549"/>
      <c r="K26" s="1549"/>
      <c r="L26" s="1549"/>
      <c r="M26" s="1549"/>
      <c r="N26" s="1549"/>
      <c r="O26" s="1549"/>
      <c r="P26" s="1549"/>
      <c r="Q26" s="1549"/>
      <c r="R26" s="1549"/>
      <c r="S26" s="1549"/>
      <c r="T26" s="1549"/>
      <c r="U26" s="1549"/>
      <c r="V26" s="1549"/>
      <c r="W26" s="1549"/>
      <c r="X26" s="1549"/>
      <c r="Y26" s="1549"/>
      <c r="Z26" s="1549"/>
      <c r="AA26" s="1549"/>
      <c r="AB26" s="1549"/>
      <c r="AC26" s="1549"/>
      <c r="AD26" s="1549"/>
      <c r="AE26" s="1549"/>
      <c r="AF26" s="1549"/>
      <c r="AG26" s="1549"/>
      <c r="AH26" s="1549"/>
    </row>
    <row r="27" spans="1:34" ht="12.75" customHeight="1" x14ac:dyDescent="0.2">
      <c r="A27" s="1549"/>
      <c r="B27" s="1549"/>
      <c r="C27" s="1549"/>
      <c r="D27" s="1549"/>
      <c r="E27" s="1549"/>
      <c r="F27" s="1549"/>
      <c r="G27" s="1549"/>
      <c r="H27" s="1549"/>
      <c r="I27" s="1549"/>
      <c r="J27" s="1549"/>
      <c r="K27" s="1549"/>
      <c r="L27" s="1549"/>
      <c r="M27" s="1549"/>
      <c r="N27" s="1549"/>
      <c r="O27" s="1549"/>
      <c r="P27" s="1549"/>
      <c r="Q27" s="1549"/>
      <c r="R27" s="1549"/>
      <c r="S27" s="1549"/>
      <c r="T27" s="1549"/>
      <c r="U27" s="1549"/>
      <c r="V27" s="1549"/>
      <c r="W27" s="1549"/>
      <c r="X27" s="1549"/>
      <c r="Y27" s="1549"/>
      <c r="Z27" s="1549"/>
      <c r="AA27" s="1549"/>
      <c r="AB27" s="1549"/>
      <c r="AC27" s="1549"/>
      <c r="AD27" s="1549"/>
      <c r="AE27" s="1549"/>
      <c r="AF27" s="1549"/>
      <c r="AG27" s="1549"/>
      <c r="AH27" s="1549"/>
    </row>
    <row r="28" spans="1:34" ht="12.75" customHeight="1" x14ac:dyDescent="0.2">
      <c r="A28" s="1549"/>
      <c r="B28" s="1549"/>
      <c r="C28" s="1549"/>
      <c r="D28" s="1549"/>
      <c r="E28" s="1549"/>
      <c r="F28" s="1549"/>
      <c r="G28" s="1549"/>
      <c r="H28" s="1549"/>
      <c r="I28" s="1549"/>
      <c r="J28" s="1549"/>
      <c r="K28" s="1549"/>
      <c r="L28" s="1549"/>
      <c r="M28" s="1549"/>
      <c r="N28" s="1549"/>
      <c r="O28" s="1549"/>
      <c r="P28" s="1549"/>
      <c r="Q28" s="1549"/>
      <c r="R28" s="1549"/>
      <c r="S28" s="1549"/>
      <c r="T28" s="1549"/>
      <c r="U28" s="1549"/>
      <c r="V28" s="1549"/>
      <c r="W28" s="1549"/>
      <c r="X28" s="1549"/>
      <c r="Y28" s="1549"/>
      <c r="Z28" s="1549"/>
      <c r="AA28" s="1549"/>
      <c r="AB28" s="1549"/>
      <c r="AC28" s="1549"/>
      <c r="AD28" s="1549"/>
      <c r="AE28" s="1549"/>
      <c r="AF28" s="1549"/>
      <c r="AG28" s="1549"/>
      <c r="AH28" s="1549"/>
    </row>
    <row r="29" spans="1:34" ht="12.75" customHeight="1" x14ac:dyDescent="0.2">
      <c r="A29" s="1549"/>
      <c r="B29" s="1549"/>
      <c r="C29" s="1549"/>
      <c r="D29" s="1549"/>
      <c r="E29" s="1549"/>
      <c r="F29" s="1549"/>
      <c r="G29" s="1549"/>
      <c r="H29" s="1549"/>
      <c r="I29" s="1549"/>
      <c r="J29" s="1549"/>
      <c r="K29" s="1549"/>
      <c r="L29" s="1549"/>
      <c r="M29" s="1549"/>
      <c r="N29" s="1549"/>
      <c r="O29" s="1549"/>
      <c r="P29" s="1549"/>
      <c r="Q29" s="1549"/>
      <c r="R29" s="1549"/>
      <c r="S29" s="1549"/>
      <c r="T29" s="1549"/>
      <c r="U29" s="1549"/>
      <c r="V29" s="1549"/>
      <c r="W29" s="1549"/>
      <c r="X29" s="1549"/>
      <c r="Y29" s="1549"/>
      <c r="Z29" s="1549"/>
      <c r="AA29" s="1549"/>
      <c r="AB29" s="1549"/>
      <c r="AC29" s="1549"/>
      <c r="AD29" s="1549"/>
      <c r="AE29" s="1549"/>
      <c r="AF29" s="1549"/>
      <c r="AG29" s="1549"/>
      <c r="AH29" s="1549"/>
    </row>
    <row r="30" spans="1:34" ht="12.75" customHeight="1" x14ac:dyDescent="0.2">
      <c r="A30" s="1549"/>
      <c r="B30" s="1549"/>
      <c r="C30" s="1549"/>
      <c r="D30" s="1549"/>
      <c r="E30" s="1549"/>
      <c r="F30" s="1549"/>
      <c r="G30" s="1549"/>
      <c r="H30" s="1549"/>
      <c r="I30" s="1549"/>
      <c r="J30" s="1549"/>
      <c r="K30" s="1549"/>
      <c r="L30" s="1549"/>
      <c r="M30" s="1549"/>
      <c r="N30" s="1549"/>
      <c r="O30" s="1549"/>
      <c r="P30" s="1549"/>
      <c r="Q30" s="1549"/>
      <c r="R30" s="1549"/>
      <c r="S30" s="1549"/>
      <c r="T30" s="1549"/>
      <c r="U30" s="1549"/>
      <c r="V30" s="1549"/>
      <c r="W30" s="1549"/>
      <c r="X30" s="1549"/>
      <c r="Y30" s="1549"/>
      <c r="Z30" s="1549"/>
      <c r="AA30" s="1549"/>
      <c r="AB30" s="1549"/>
      <c r="AC30" s="1549"/>
      <c r="AD30" s="1549"/>
      <c r="AE30" s="1549"/>
      <c r="AF30" s="1549"/>
      <c r="AG30" s="1549"/>
      <c r="AH30" s="1549"/>
    </row>
    <row r="31" spans="1:34" ht="12.75" customHeight="1" x14ac:dyDescent="0.2">
      <c r="A31" s="1549"/>
      <c r="B31" s="1549"/>
      <c r="C31" s="1549"/>
      <c r="D31" s="1549"/>
      <c r="E31" s="1549"/>
      <c r="F31" s="1549"/>
      <c r="G31" s="1549"/>
      <c r="H31" s="1549"/>
      <c r="I31" s="1549"/>
      <c r="J31" s="1549"/>
      <c r="K31" s="1549"/>
      <c r="L31" s="1549"/>
      <c r="M31" s="1549"/>
      <c r="N31" s="1549"/>
      <c r="O31" s="1549"/>
      <c r="P31" s="1549"/>
      <c r="Q31" s="1549"/>
      <c r="R31" s="1549"/>
      <c r="S31" s="1549"/>
      <c r="T31" s="1549"/>
      <c r="U31" s="1549"/>
      <c r="V31" s="1549"/>
      <c r="W31" s="1549"/>
      <c r="X31" s="1549"/>
      <c r="Y31" s="1549"/>
      <c r="Z31" s="1549"/>
      <c r="AA31" s="1549"/>
      <c r="AB31" s="1549"/>
      <c r="AC31" s="1549"/>
      <c r="AD31" s="1549"/>
      <c r="AE31" s="1549"/>
      <c r="AF31" s="1549"/>
      <c r="AG31" s="1549"/>
      <c r="AH31" s="1549"/>
    </row>
    <row r="32" spans="1:34" ht="12.75" customHeight="1" x14ac:dyDescent="0.2">
      <c r="A32" s="1549"/>
      <c r="B32" s="1549"/>
      <c r="C32" s="1549"/>
      <c r="D32" s="1549"/>
      <c r="E32" s="1549"/>
      <c r="F32" s="1549"/>
      <c r="G32" s="1549"/>
      <c r="H32" s="1549"/>
      <c r="I32" s="1549"/>
      <c r="J32" s="1549"/>
      <c r="K32" s="1549"/>
      <c r="L32" s="1549"/>
      <c r="M32" s="1549"/>
      <c r="N32" s="1549"/>
      <c r="O32" s="1549"/>
      <c r="P32" s="1549"/>
      <c r="Q32" s="1549"/>
      <c r="R32" s="1549"/>
      <c r="S32" s="1549"/>
      <c r="T32" s="1549"/>
      <c r="U32" s="1549"/>
      <c r="V32" s="1549"/>
      <c r="W32" s="1549"/>
      <c r="X32" s="1549"/>
      <c r="Y32" s="1549"/>
      <c r="Z32" s="1549"/>
      <c r="AA32" s="1549"/>
      <c r="AB32" s="1549"/>
      <c r="AC32" s="1549"/>
      <c r="AD32" s="1549"/>
      <c r="AE32" s="1549"/>
      <c r="AF32" s="1549"/>
      <c r="AG32" s="1549"/>
      <c r="AH32" s="1549"/>
    </row>
    <row r="33" spans="1:34" ht="12.75" customHeight="1" x14ac:dyDescent="0.2">
      <c r="A33" s="1549"/>
      <c r="B33" s="1549"/>
      <c r="C33" s="1549"/>
      <c r="D33" s="1549"/>
      <c r="E33" s="1549"/>
      <c r="F33" s="1549"/>
      <c r="G33" s="1549"/>
      <c r="H33" s="1549"/>
      <c r="I33" s="1549"/>
      <c r="J33" s="1549"/>
      <c r="K33" s="1549"/>
      <c r="L33" s="1549"/>
      <c r="M33" s="1549"/>
      <c r="N33" s="1549"/>
      <c r="O33" s="1549"/>
      <c r="P33" s="1549"/>
      <c r="Q33" s="1549"/>
      <c r="R33" s="1549"/>
      <c r="S33" s="1549"/>
      <c r="T33" s="1549"/>
      <c r="U33" s="1549"/>
      <c r="V33" s="1549"/>
      <c r="W33" s="1549"/>
      <c r="X33" s="1549"/>
      <c r="Y33" s="1549"/>
      <c r="Z33" s="1549"/>
      <c r="AA33" s="1549"/>
      <c r="AB33" s="1549"/>
      <c r="AC33" s="1549"/>
      <c r="AD33" s="1549"/>
      <c r="AE33" s="1549"/>
      <c r="AF33" s="1549"/>
      <c r="AG33" s="1549"/>
      <c r="AH33" s="1549"/>
    </row>
    <row r="34" spans="1:34" ht="12.75" customHeight="1" x14ac:dyDescent="0.2">
      <c r="A34" s="1549"/>
      <c r="B34" s="1549"/>
      <c r="C34" s="1549"/>
      <c r="D34" s="1549"/>
      <c r="E34" s="1549"/>
      <c r="F34" s="1549"/>
      <c r="G34" s="1549"/>
      <c r="H34" s="1549"/>
      <c r="I34" s="1549"/>
      <c r="J34" s="1549"/>
      <c r="K34" s="1549"/>
      <c r="L34" s="1549"/>
      <c r="M34" s="1549"/>
      <c r="N34" s="1549"/>
      <c r="O34" s="1549"/>
      <c r="P34" s="1549"/>
      <c r="Q34" s="1549"/>
      <c r="R34" s="1549"/>
      <c r="S34" s="1549"/>
      <c r="T34" s="1549"/>
      <c r="U34" s="1549"/>
      <c r="V34" s="1549"/>
      <c r="W34" s="1549"/>
      <c r="X34" s="1549"/>
      <c r="Y34" s="1549"/>
      <c r="Z34" s="1549"/>
      <c r="AA34" s="1549"/>
      <c r="AB34" s="1549"/>
      <c r="AC34" s="1549"/>
      <c r="AD34" s="1549"/>
      <c r="AE34" s="1549"/>
      <c r="AF34" s="1549"/>
      <c r="AG34" s="1549"/>
      <c r="AH34" s="1549"/>
    </row>
    <row r="35" spans="1:34" ht="12.75" customHeight="1" x14ac:dyDescent="0.2">
      <c r="A35" s="1549"/>
      <c r="B35" s="1549"/>
      <c r="C35" s="1549"/>
      <c r="D35" s="1549"/>
      <c r="E35" s="1549"/>
      <c r="F35" s="1549"/>
      <c r="G35" s="1549"/>
      <c r="H35" s="1549"/>
      <c r="I35" s="1549"/>
      <c r="J35" s="1549"/>
      <c r="K35" s="1549"/>
      <c r="L35" s="1549"/>
      <c r="M35" s="1549"/>
      <c r="N35" s="1549"/>
      <c r="O35" s="1549"/>
      <c r="P35" s="1549"/>
      <c r="Q35" s="1549"/>
      <c r="R35" s="1549"/>
      <c r="S35" s="1549"/>
      <c r="T35" s="1549"/>
      <c r="U35" s="1549"/>
      <c r="V35" s="1549"/>
      <c r="W35" s="1549"/>
      <c r="X35" s="1549"/>
      <c r="Y35" s="1549"/>
      <c r="Z35" s="1549"/>
      <c r="AA35" s="1549"/>
      <c r="AB35" s="1549"/>
      <c r="AC35" s="1549"/>
      <c r="AD35" s="1549"/>
      <c r="AE35" s="1549"/>
      <c r="AF35" s="1549"/>
      <c r="AG35" s="1549"/>
      <c r="AH35" s="1549"/>
    </row>
    <row r="36" spans="1:34" ht="12.75" customHeight="1" x14ac:dyDescent="0.2">
      <c r="A36" s="1549"/>
      <c r="B36" s="1549"/>
      <c r="C36" s="1549"/>
      <c r="D36" s="1549"/>
      <c r="E36" s="1549"/>
      <c r="F36" s="1549"/>
      <c r="G36" s="1549"/>
      <c r="H36" s="1549"/>
      <c r="I36" s="1549"/>
      <c r="J36" s="1549"/>
      <c r="K36" s="1549"/>
      <c r="L36" s="1549"/>
      <c r="M36" s="1549"/>
      <c r="N36" s="1549"/>
      <c r="O36" s="1549"/>
      <c r="P36" s="1549"/>
      <c r="Q36" s="1549"/>
      <c r="R36" s="1549"/>
      <c r="S36" s="1549"/>
      <c r="T36" s="1549"/>
      <c r="U36" s="1549"/>
      <c r="V36" s="1549"/>
      <c r="W36" s="1549"/>
      <c r="X36" s="1549"/>
      <c r="Y36" s="1549"/>
      <c r="Z36" s="1549"/>
      <c r="AA36" s="1549"/>
      <c r="AB36" s="1549"/>
      <c r="AC36" s="1549"/>
      <c r="AD36" s="1549"/>
      <c r="AE36" s="1549"/>
      <c r="AF36" s="1549"/>
      <c r="AG36" s="1549"/>
      <c r="AH36" s="1549"/>
    </row>
    <row r="37" spans="1:34" ht="12.75" customHeight="1" x14ac:dyDescent="0.2">
      <c r="A37" s="1549"/>
      <c r="B37" s="1549"/>
      <c r="C37" s="1549"/>
      <c r="D37" s="1549"/>
      <c r="E37" s="1549"/>
      <c r="F37" s="1549"/>
      <c r="G37" s="1549"/>
      <c r="H37" s="1549"/>
      <c r="I37" s="1549"/>
      <c r="J37" s="1549"/>
      <c r="K37" s="1549"/>
      <c r="L37" s="1549"/>
      <c r="M37" s="1549"/>
      <c r="N37" s="1549"/>
      <c r="O37" s="1549"/>
      <c r="P37" s="1549"/>
      <c r="Q37" s="1549"/>
      <c r="R37" s="1549"/>
      <c r="S37" s="1549"/>
      <c r="T37" s="1549"/>
      <c r="U37" s="1549"/>
      <c r="V37" s="1549"/>
      <c r="W37" s="1549"/>
      <c r="X37" s="1549"/>
      <c r="Y37" s="1549"/>
      <c r="Z37" s="1549"/>
      <c r="AA37" s="1549"/>
      <c r="AB37" s="1549"/>
      <c r="AC37" s="1549"/>
      <c r="AD37" s="1549"/>
      <c r="AE37" s="1549"/>
      <c r="AF37" s="1549"/>
      <c r="AG37" s="1549"/>
      <c r="AH37" s="1549"/>
    </row>
    <row r="38" spans="1:34" ht="12.75" customHeight="1" x14ac:dyDescent="0.2">
      <c r="A38" s="1549"/>
      <c r="B38" s="1549"/>
      <c r="C38" s="1549"/>
      <c r="D38" s="1549"/>
      <c r="E38" s="1549"/>
      <c r="F38" s="1549"/>
      <c r="G38" s="1549"/>
      <c r="H38" s="1549"/>
      <c r="I38" s="1549"/>
      <c r="J38" s="1549"/>
      <c r="K38" s="1549"/>
      <c r="L38" s="1549"/>
      <c r="M38" s="1549"/>
      <c r="N38" s="1549"/>
      <c r="O38" s="1549"/>
      <c r="P38" s="1549"/>
      <c r="Q38" s="1549"/>
      <c r="R38" s="1549"/>
      <c r="S38" s="1549"/>
      <c r="T38" s="1549"/>
      <c r="U38" s="1549"/>
      <c r="V38" s="1549"/>
      <c r="W38" s="1549"/>
      <c r="X38" s="1549"/>
      <c r="Y38" s="1549"/>
      <c r="Z38" s="1549"/>
      <c r="AA38" s="1549"/>
      <c r="AB38" s="1549"/>
      <c r="AC38" s="1549"/>
      <c r="AD38" s="1549"/>
      <c r="AE38" s="1549"/>
      <c r="AF38" s="1549"/>
      <c r="AG38" s="1549"/>
      <c r="AH38" s="1549"/>
    </row>
    <row r="39" spans="1:34" ht="12.75" customHeight="1" x14ac:dyDescent="0.2">
      <c r="A39" s="1549"/>
      <c r="B39" s="1549"/>
      <c r="C39" s="1549"/>
      <c r="D39" s="1549"/>
      <c r="E39" s="1549"/>
      <c r="F39" s="1549"/>
      <c r="G39" s="1549"/>
      <c r="H39" s="1549"/>
      <c r="I39" s="1549"/>
      <c r="J39" s="1549"/>
      <c r="K39" s="1549"/>
      <c r="L39" s="1549"/>
      <c r="M39" s="1549"/>
      <c r="N39" s="1549"/>
      <c r="O39" s="1549"/>
      <c r="P39" s="1549"/>
      <c r="Q39" s="1549"/>
      <c r="R39" s="1549"/>
      <c r="S39" s="1549"/>
      <c r="T39" s="1549"/>
      <c r="U39" s="1549"/>
      <c r="V39" s="1549"/>
      <c r="W39" s="1549"/>
      <c r="X39" s="1549"/>
      <c r="Y39" s="1549"/>
      <c r="Z39" s="1549"/>
      <c r="AA39" s="1549"/>
      <c r="AB39" s="1549"/>
      <c r="AC39" s="1549"/>
      <c r="AD39" s="1549"/>
      <c r="AE39" s="1549"/>
      <c r="AF39" s="1549"/>
      <c r="AG39" s="1549"/>
      <c r="AH39" s="1549"/>
    </row>
    <row r="40" spans="1:34" ht="12.75" customHeight="1" x14ac:dyDescent="0.2">
      <c r="A40" s="1549"/>
      <c r="B40" s="1549"/>
      <c r="C40" s="1549"/>
      <c r="D40" s="1549"/>
      <c r="E40" s="1549"/>
      <c r="F40" s="1549"/>
      <c r="G40" s="1549"/>
      <c r="H40" s="1549"/>
      <c r="I40" s="1549"/>
      <c r="J40" s="1549"/>
      <c r="K40" s="1549"/>
      <c r="L40" s="1549"/>
      <c r="M40" s="1549"/>
      <c r="N40" s="1549"/>
      <c r="O40" s="1549"/>
      <c r="P40" s="1549"/>
      <c r="Q40" s="1549"/>
      <c r="R40" s="1549"/>
      <c r="S40" s="1549"/>
      <c r="T40" s="1549"/>
      <c r="U40" s="1549"/>
      <c r="V40" s="1549"/>
      <c r="W40" s="1549"/>
      <c r="X40" s="1549"/>
      <c r="Y40" s="1549"/>
      <c r="Z40" s="1549"/>
      <c r="AA40" s="1549"/>
      <c r="AB40" s="1549"/>
      <c r="AC40" s="1549"/>
      <c r="AD40" s="1549"/>
      <c r="AE40" s="1549"/>
      <c r="AF40" s="1549"/>
      <c r="AG40" s="1549"/>
      <c r="AH40" s="1549"/>
    </row>
    <row r="41" spans="1:34" ht="12.75" customHeight="1" x14ac:dyDescent="0.2">
      <c r="A41" s="1549"/>
      <c r="B41" s="1549"/>
      <c r="C41" s="1549"/>
      <c r="D41" s="1549"/>
      <c r="E41" s="1549"/>
      <c r="F41" s="1549"/>
      <c r="G41" s="1549"/>
      <c r="H41" s="1549"/>
      <c r="I41" s="1549"/>
      <c r="J41" s="1549"/>
      <c r="K41" s="1549"/>
      <c r="L41" s="1549"/>
      <c r="M41" s="1549"/>
      <c r="N41" s="1549"/>
      <c r="O41" s="1549"/>
      <c r="P41" s="1549"/>
      <c r="Q41" s="1549"/>
      <c r="R41" s="1549"/>
      <c r="S41" s="1549"/>
      <c r="T41" s="1549"/>
      <c r="U41" s="1549"/>
      <c r="V41" s="1549"/>
      <c r="W41" s="1549"/>
      <c r="X41" s="1549"/>
      <c r="Y41" s="1549"/>
      <c r="Z41" s="1549"/>
      <c r="AA41" s="1549"/>
      <c r="AB41" s="1549"/>
      <c r="AC41" s="1549"/>
      <c r="AD41" s="1549"/>
      <c r="AE41" s="1549"/>
      <c r="AF41" s="1549"/>
      <c r="AG41" s="1549"/>
      <c r="AH41" s="1549"/>
    </row>
    <row r="42" spans="1:34" ht="12.75" customHeight="1" x14ac:dyDescent="0.2">
      <c r="A42" s="1549"/>
      <c r="B42" s="1549"/>
      <c r="C42" s="1549"/>
      <c r="D42" s="1549"/>
      <c r="E42" s="1549"/>
      <c r="F42" s="1549"/>
      <c r="G42" s="1549"/>
      <c r="H42" s="1549"/>
      <c r="I42" s="1549"/>
      <c r="J42" s="1549"/>
      <c r="K42" s="1549"/>
      <c r="L42" s="1549"/>
      <c r="M42" s="1549"/>
      <c r="N42" s="1549"/>
      <c r="O42" s="1549"/>
      <c r="P42" s="1549"/>
      <c r="Q42" s="1549"/>
      <c r="R42" s="1549"/>
      <c r="S42" s="1549"/>
      <c r="T42" s="1549"/>
      <c r="U42" s="1549"/>
      <c r="V42" s="1549"/>
      <c r="W42" s="1549"/>
      <c r="X42" s="1549"/>
      <c r="Y42" s="1549"/>
      <c r="Z42" s="1549"/>
      <c r="AA42" s="1549"/>
      <c r="AB42" s="1549"/>
      <c r="AC42" s="1549"/>
      <c r="AD42" s="1549"/>
      <c r="AE42" s="1549"/>
      <c r="AF42" s="1549"/>
      <c r="AG42" s="1549"/>
      <c r="AH42" s="1549"/>
    </row>
    <row r="43" spans="1:34" ht="12.75" customHeight="1" x14ac:dyDescent="0.2">
      <c r="A43" s="1549"/>
      <c r="B43" s="1549"/>
      <c r="C43" s="1549"/>
      <c r="D43" s="1549"/>
      <c r="E43" s="1549"/>
      <c r="F43" s="1549"/>
      <c r="G43" s="1549"/>
      <c r="H43" s="1549"/>
      <c r="I43" s="1549"/>
      <c r="J43" s="1549"/>
      <c r="K43" s="1549"/>
      <c r="L43" s="1549"/>
      <c r="M43" s="1549"/>
      <c r="N43" s="1549"/>
      <c r="O43" s="1549"/>
      <c r="P43" s="1549"/>
      <c r="Q43" s="1549"/>
      <c r="R43" s="1549"/>
      <c r="S43" s="1549"/>
      <c r="T43" s="1549"/>
      <c r="U43" s="1549"/>
      <c r="V43" s="1549"/>
      <c r="W43" s="1549"/>
      <c r="X43" s="1549"/>
      <c r="Y43" s="1549"/>
      <c r="Z43" s="1549"/>
      <c r="AA43" s="1549"/>
      <c r="AB43" s="1549"/>
      <c r="AC43" s="1549"/>
      <c r="AD43" s="1549"/>
      <c r="AE43" s="1549"/>
      <c r="AF43" s="1549"/>
      <c r="AG43" s="1549"/>
      <c r="AH43" s="1549"/>
    </row>
    <row r="44" spans="1:34" ht="12.75" customHeight="1" x14ac:dyDescent="0.2">
      <c r="A44" s="1549"/>
      <c r="B44" s="1549"/>
      <c r="C44" s="1549"/>
      <c r="D44" s="1549"/>
      <c r="E44" s="1549"/>
      <c r="F44" s="1549"/>
      <c r="G44" s="1549"/>
      <c r="H44" s="1549"/>
      <c r="I44" s="1549"/>
      <c r="J44" s="1549"/>
      <c r="K44" s="1549"/>
      <c r="L44" s="1549"/>
      <c r="M44" s="1549"/>
      <c r="N44" s="1549"/>
      <c r="O44" s="1549"/>
      <c r="P44" s="1549"/>
      <c r="Q44" s="1549"/>
      <c r="R44" s="1549"/>
      <c r="S44" s="1549"/>
      <c r="T44" s="1549"/>
      <c r="U44" s="1549"/>
      <c r="V44" s="1549"/>
      <c r="W44" s="1549"/>
      <c r="X44" s="1549"/>
      <c r="Y44" s="1549"/>
      <c r="Z44" s="1549"/>
      <c r="AA44" s="1549"/>
      <c r="AB44" s="1549"/>
      <c r="AC44" s="1549"/>
      <c r="AD44" s="1549"/>
      <c r="AE44" s="1549"/>
      <c r="AF44" s="1549"/>
      <c r="AG44" s="1549"/>
      <c r="AH44" s="1549"/>
    </row>
    <row r="45" spans="1:34" ht="12.75" customHeight="1" x14ac:dyDescent="0.2">
      <c r="A45" s="1549"/>
      <c r="B45" s="1549"/>
      <c r="C45" s="1549"/>
      <c r="D45" s="1549"/>
      <c r="E45" s="1549"/>
      <c r="F45" s="1549"/>
      <c r="G45" s="1549"/>
      <c r="H45" s="1549"/>
      <c r="I45" s="1549"/>
      <c r="J45" s="1549"/>
      <c r="K45" s="1549"/>
      <c r="L45" s="1549"/>
      <c r="M45" s="1549"/>
      <c r="N45" s="1549"/>
      <c r="O45" s="1549"/>
      <c r="P45" s="1549"/>
      <c r="Q45" s="1549"/>
      <c r="R45" s="1549"/>
      <c r="S45" s="1549"/>
      <c r="T45" s="1549"/>
      <c r="U45" s="1549"/>
      <c r="V45" s="1549"/>
      <c r="W45" s="1549"/>
      <c r="X45" s="1549"/>
      <c r="Y45" s="1549"/>
      <c r="Z45" s="1549"/>
      <c r="AA45" s="1549"/>
      <c r="AB45" s="1549"/>
      <c r="AC45" s="1549"/>
      <c r="AD45" s="1549"/>
      <c r="AE45" s="1549"/>
      <c r="AF45" s="1549"/>
      <c r="AG45" s="1549"/>
      <c r="AH45" s="1549"/>
    </row>
    <row r="46" spans="1:34" ht="12.75" customHeight="1" x14ac:dyDescent="0.2">
      <c r="A46" s="1549"/>
      <c r="B46" s="1549"/>
      <c r="C46" s="1549"/>
      <c r="D46" s="1549"/>
      <c r="E46" s="1549"/>
      <c r="F46" s="1549"/>
      <c r="G46" s="1549"/>
      <c r="H46" s="1549"/>
      <c r="I46" s="1549"/>
      <c r="J46" s="1549"/>
      <c r="K46" s="1549"/>
      <c r="L46" s="1549"/>
      <c r="M46" s="1549"/>
      <c r="N46" s="1549"/>
      <c r="O46" s="1549"/>
      <c r="P46" s="1549"/>
      <c r="Q46" s="1549"/>
      <c r="R46" s="1549"/>
      <c r="S46" s="1549"/>
      <c r="T46" s="1549"/>
      <c r="U46" s="1549"/>
      <c r="V46" s="1549"/>
      <c r="W46" s="1549"/>
      <c r="X46" s="1549"/>
      <c r="Y46" s="1549"/>
      <c r="Z46" s="1549"/>
      <c r="AA46" s="1549"/>
      <c r="AB46" s="1549"/>
      <c r="AC46" s="1549"/>
      <c r="AD46" s="1549"/>
      <c r="AE46" s="1549"/>
      <c r="AF46" s="1549"/>
      <c r="AG46" s="1549"/>
      <c r="AH46" s="1549"/>
    </row>
    <row r="47" spans="1:34" ht="12.75" customHeight="1" x14ac:dyDescent="0.2">
      <c r="A47" s="1549"/>
      <c r="B47" s="1549"/>
      <c r="C47" s="1549"/>
      <c r="D47" s="1549"/>
      <c r="E47" s="1549"/>
      <c r="F47" s="1549"/>
      <c r="G47" s="1549"/>
      <c r="H47" s="1549"/>
      <c r="I47" s="1549"/>
      <c r="J47" s="1549"/>
      <c r="K47" s="1549"/>
      <c r="L47" s="1549"/>
      <c r="M47" s="1549"/>
      <c r="N47" s="1549"/>
      <c r="O47" s="1549"/>
      <c r="P47" s="1549"/>
      <c r="Q47" s="1549"/>
      <c r="R47" s="1549"/>
      <c r="S47" s="1549"/>
      <c r="T47" s="1549"/>
      <c r="U47" s="1549"/>
      <c r="V47" s="1549"/>
      <c r="W47" s="1549"/>
      <c r="X47" s="1549"/>
      <c r="Y47" s="1549"/>
      <c r="Z47" s="1549"/>
      <c r="AA47" s="1549"/>
      <c r="AB47" s="1549"/>
      <c r="AC47" s="1549"/>
      <c r="AD47" s="1549"/>
      <c r="AE47" s="1549"/>
      <c r="AF47" s="1549"/>
      <c r="AG47" s="1549"/>
      <c r="AH47" s="1549"/>
    </row>
    <row r="48" spans="1:34" ht="12.75" customHeight="1" x14ac:dyDescent="0.2">
      <c r="A48" s="1549"/>
      <c r="B48" s="1549"/>
      <c r="C48" s="1549"/>
      <c r="D48" s="1549"/>
      <c r="E48" s="1549"/>
      <c r="F48" s="1549"/>
      <c r="G48" s="1549"/>
      <c r="H48" s="1549"/>
      <c r="I48" s="1549"/>
      <c r="J48" s="1549"/>
      <c r="K48" s="1549"/>
      <c r="L48" s="1549"/>
      <c r="M48" s="1549"/>
      <c r="N48" s="1549"/>
      <c r="O48" s="1549"/>
      <c r="P48" s="1549"/>
      <c r="Q48" s="1549"/>
      <c r="R48" s="1549"/>
      <c r="S48" s="1549"/>
      <c r="T48" s="1549"/>
      <c r="U48" s="1549"/>
      <c r="V48" s="1549"/>
      <c r="W48" s="1549"/>
      <c r="X48" s="1549"/>
      <c r="Y48" s="1549"/>
      <c r="Z48" s="1549"/>
      <c r="AA48" s="1549"/>
      <c r="AB48" s="1549"/>
      <c r="AC48" s="1549"/>
      <c r="AD48" s="1549"/>
      <c r="AE48" s="1549"/>
      <c r="AF48" s="1549"/>
      <c r="AG48" s="1549"/>
      <c r="AH48" s="1549"/>
    </row>
    <row r="49" spans="1:34" ht="12.75" customHeight="1" x14ac:dyDescent="0.2">
      <c r="A49" s="1549"/>
      <c r="B49" s="1549"/>
      <c r="C49" s="1549"/>
      <c r="D49" s="1549"/>
      <c r="E49" s="1549"/>
      <c r="F49" s="1549"/>
      <c r="G49" s="1549"/>
      <c r="H49" s="1549"/>
      <c r="I49" s="1549"/>
      <c r="J49" s="1549"/>
      <c r="K49" s="1549"/>
      <c r="L49" s="1549"/>
      <c r="M49" s="1549"/>
      <c r="N49" s="1549"/>
      <c r="O49" s="1549"/>
      <c r="P49" s="1549"/>
      <c r="Q49" s="1549"/>
      <c r="R49" s="1549"/>
      <c r="S49" s="1549"/>
      <c r="T49" s="1549"/>
      <c r="U49" s="1549"/>
      <c r="V49" s="1549"/>
      <c r="W49" s="1549"/>
      <c r="X49" s="1549"/>
      <c r="Y49" s="1549"/>
      <c r="Z49" s="1549"/>
      <c r="AA49" s="1549"/>
      <c r="AB49" s="1549"/>
      <c r="AC49" s="1549"/>
      <c r="AD49" s="1549"/>
      <c r="AE49" s="1549"/>
      <c r="AF49" s="1549"/>
      <c r="AG49" s="1549"/>
      <c r="AH49" s="1549"/>
    </row>
    <row r="50" spans="1:34" ht="12.75" customHeight="1" x14ac:dyDescent="0.2">
      <c r="A50" s="1549"/>
      <c r="B50" s="1549"/>
      <c r="C50" s="1549"/>
      <c r="D50" s="1549"/>
      <c r="E50" s="1549"/>
      <c r="F50" s="1549"/>
      <c r="G50" s="1549"/>
      <c r="H50" s="1549"/>
      <c r="I50" s="1549"/>
      <c r="J50" s="1549"/>
      <c r="K50" s="1549"/>
      <c r="L50" s="1549"/>
      <c r="M50" s="1549"/>
      <c r="N50" s="1549"/>
      <c r="O50" s="1549"/>
      <c r="P50" s="1549"/>
      <c r="Q50" s="1549"/>
      <c r="R50" s="1549"/>
      <c r="S50" s="1549"/>
      <c r="T50" s="1549"/>
      <c r="U50" s="1549"/>
      <c r="V50" s="1549"/>
      <c r="W50" s="1549"/>
      <c r="X50" s="1549"/>
      <c r="Y50" s="1549"/>
      <c r="Z50" s="1549"/>
      <c r="AA50" s="1549"/>
      <c r="AB50" s="1549"/>
      <c r="AC50" s="1549"/>
      <c r="AD50" s="1549"/>
      <c r="AE50" s="1549"/>
      <c r="AF50" s="1549"/>
      <c r="AG50" s="1549"/>
      <c r="AH50" s="1549"/>
    </row>
    <row r="51" spans="1:34" ht="12.75" customHeight="1" x14ac:dyDescent="0.2">
      <c r="A51" s="1549"/>
      <c r="B51" s="1549"/>
      <c r="C51" s="1549"/>
      <c r="D51" s="1549"/>
      <c r="E51" s="1549"/>
      <c r="F51" s="1549"/>
      <c r="G51" s="1549"/>
      <c r="H51" s="1549"/>
      <c r="I51" s="1549"/>
      <c r="J51" s="1549"/>
      <c r="K51" s="1549"/>
      <c r="L51" s="1549"/>
      <c r="M51" s="1549"/>
      <c r="N51" s="1549"/>
      <c r="O51" s="1549"/>
      <c r="P51" s="1549"/>
      <c r="Q51" s="1549"/>
      <c r="R51" s="1549"/>
      <c r="S51" s="1549"/>
      <c r="T51" s="1549"/>
      <c r="U51" s="1549"/>
      <c r="V51" s="1549"/>
      <c r="W51" s="1549"/>
      <c r="X51" s="1549"/>
      <c r="Y51" s="1549"/>
      <c r="Z51" s="1549"/>
      <c r="AA51" s="1549"/>
      <c r="AB51" s="1549"/>
      <c r="AC51" s="1549"/>
      <c r="AD51" s="1549"/>
      <c r="AE51" s="1549"/>
      <c r="AF51" s="1549"/>
      <c r="AG51" s="1549"/>
      <c r="AH51" s="1549"/>
    </row>
    <row r="52" spans="1:34" ht="12.75" customHeight="1" x14ac:dyDescent="0.2">
      <c r="A52" s="1549"/>
      <c r="B52" s="1549"/>
      <c r="C52" s="1549"/>
      <c r="D52" s="1549"/>
      <c r="E52" s="1549"/>
      <c r="F52" s="1549"/>
      <c r="G52" s="1549"/>
      <c r="H52" s="1549"/>
      <c r="I52" s="1549"/>
      <c r="J52" s="1549"/>
      <c r="K52" s="1549"/>
      <c r="L52" s="1549"/>
      <c r="M52" s="1549"/>
      <c r="N52" s="1549"/>
      <c r="O52" s="1549"/>
      <c r="P52" s="1549"/>
      <c r="Q52" s="1549"/>
      <c r="R52" s="1549"/>
      <c r="S52" s="1549"/>
      <c r="T52" s="1549"/>
      <c r="U52" s="1549"/>
      <c r="V52" s="1549"/>
      <c r="W52" s="1549"/>
      <c r="X52" s="1549"/>
      <c r="Y52" s="1549"/>
      <c r="Z52" s="1549"/>
      <c r="AA52" s="1549"/>
      <c r="AB52" s="1549"/>
      <c r="AC52" s="1549"/>
      <c r="AD52" s="1549"/>
      <c r="AE52" s="1549"/>
      <c r="AF52" s="1549"/>
      <c r="AG52" s="1549"/>
      <c r="AH52" s="1549"/>
    </row>
    <row r="53" spans="1:34" ht="12.75" customHeight="1" x14ac:dyDescent="0.2">
      <c r="A53" s="1549"/>
      <c r="B53" s="1549"/>
      <c r="C53" s="1549"/>
      <c r="D53" s="1549"/>
      <c r="E53" s="1549"/>
      <c r="F53" s="1549"/>
      <c r="G53" s="1549"/>
      <c r="H53" s="1549"/>
      <c r="I53" s="1549"/>
      <c r="J53" s="1549"/>
      <c r="K53" s="1549"/>
      <c r="L53" s="1549"/>
      <c r="M53" s="1549"/>
      <c r="N53" s="1549"/>
      <c r="O53" s="1549"/>
      <c r="P53" s="1549"/>
      <c r="Q53" s="1549"/>
      <c r="R53" s="1549"/>
      <c r="S53" s="1549"/>
      <c r="T53" s="1549"/>
      <c r="U53" s="1549"/>
      <c r="V53" s="1549"/>
      <c r="W53" s="1549"/>
      <c r="X53" s="1549"/>
      <c r="Y53" s="1549"/>
      <c r="Z53" s="1549"/>
      <c r="AA53" s="1549"/>
      <c r="AB53" s="1549"/>
      <c r="AC53" s="1549"/>
      <c r="AD53" s="1549"/>
      <c r="AE53" s="1549"/>
      <c r="AF53" s="1549"/>
      <c r="AG53" s="1549"/>
      <c r="AH53" s="1549"/>
    </row>
    <row r="54" spans="1:34" ht="12.75" customHeight="1" x14ac:dyDescent="0.2">
      <c r="A54" s="1549"/>
      <c r="B54" s="1549"/>
      <c r="C54" s="1549"/>
      <c r="D54" s="1549"/>
      <c r="E54" s="1549"/>
      <c r="F54" s="1549"/>
      <c r="G54" s="1549"/>
      <c r="H54" s="1549"/>
      <c r="I54" s="1549"/>
      <c r="J54" s="1549"/>
      <c r="K54" s="1549"/>
      <c r="L54" s="1549"/>
      <c r="M54" s="1549"/>
      <c r="N54" s="1549"/>
      <c r="O54" s="1549"/>
      <c r="P54" s="1549"/>
      <c r="Q54" s="1549"/>
      <c r="R54" s="1549"/>
      <c r="S54" s="1549"/>
      <c r="T54" s="1549"/>
      <c r="U54" s="1549"/>
      <c r="V54" s="1549"/>
      <c r="W54" s="1549"/>
      <c r="X54" s="1549"/>
      <c r="Y54" s="1549"/>
      <c r="Z54" s="1549"/>
      <c r="AA54" s="1549"/>
      <c r="AB54" s="1549"/>
      <c r="AC54" s="1549"/>
      <c r="AD54" s="1549"/>
      <c r="AE54" s="1549"/>
      <c r="AF54" s="1549"/>
      <c r="AG54" s="1549"/>
      <c r="AH54" s="1549"/>
    </row>
    <row r="55" spans="1:34" ht="12.75" customHeight="1" x14ac:dyDescent="0.2">
      <c r="A55" s="1549"/>
      <c r="B55" s="1549"/>
      <c r="C55" s="1549"/>
      <c r="D55" s="1549"/>
      <c r="E55" s="1549"/>
      <c r="F55" s="1549"/>
      <c r="G55" s="1549"/>
      <c r="H55" s="1549"/>
      <c r="I55" s="1549"/>
      <c r="J55" s="1549"/>
      <c r="K55" s="1549"/>
      <c r="L55" s="1549"/>
      <c r="M55" s="1549"/>
      <c r="N55" s="1549"/>
      <c r="O55" s="1549"/>
      <c r="P55" s="1549"/>
      <c r="Q55" s="1549"/>
      <c r="R55" s="1549"/>
      <c r="S55" s="1549"/>
      <c r="T55" s="1549"/>
      <c r="U55" s="1549"/>
      <c r="V55" s="1549"/>
      <c r="W55" s="1549"/>
      <c r="X55" s="1549"/>
      <c r="Y55" s="1549"/>
      <c r="Z55" s="1549"/>
      <c r="AA55" s="1549"/>
      <c r="AB55" s="1549"/>
      <c r="AC55" s="1549"/>
      <c r="AD55" s="1549"/>
      <c r="AE55" s="1549"/>
      <c r="AF55" s="1549"/>
      <c r="AG55" s="1549"/>
      <c r="AH55" s="1549"/>
    </row>
    <row r="56" spans="1:34" ht="12.75" customHeight="1" x14ac:dyDescent="0.2">
      <c r="A56" s="1549"/>
      <c r="B56" s="1549"/>
      <c r="C56" s="1549"/>
      <c r="D56" s="1549"/>
      <c r="E56" s="1549"/>
      <c r="F56" s="1549"/>
      <c r="G56" s="1549"/>
      <c r="H56" s="1549"/>
      <c r="I56" s="1549"/>
      <c r="J56" s="1549"/>
      <c r="K56" s="1549"/>
      <c r="L56" s="1549"/>
      <c r="M56" s="1549"/>
      <c r="N56" s="1549"/>
      <c r="O56" s="1549"/>
      <c r="P56" s="1549"/>
      <c r="Q56" s="1549"/>
      <c r="R56" s="1549"/>
      <c r="S56" s="1549"/>
      <c r="T56" s="1549"/>
      <c r="U56" s="1549"/>
      <c r="V56" s="1549"/>
      <c r="W56" s="1549"/>
      <c r="X56" s="1549"/>
      <c r="Y56" s="1549"/>
      <c r="Z56" s="1549"/>
      <c r="AA56" s="1549"/>
      <c r="AB56" s="1549"/>
      <c r="AC56" s="1549"/>
      <c r="AD56" s="1549"/>
      <c r="AE56" s="1549"/>
      <c r="AF56" s="1549"/>
      <c r="AG56" s="1549"/>
      <c r="AH56" s="1549"/>
    </row>
    <row r="57" spans="1:34" ht="12.75" customHeight="1" x14ac:dyDescent="0.2">
      <c r="A57" s="1549"/>
      <c r="B57" s="1549"/>
      <c r="C57" s="1549"/>
      <c r="D57" s="1549"/>
      <c r="E57" s="1549"/>
      <c r="F57" s="1549"/>
      <c r="G57" s="1549"/>
      <c r="H57" s="1549"/>
      <c r="I57" s="1549"/>
      <c r="J57" s="1549"/>
      <c r="K57" s="1549"/>
      <c r="L57" s="1549"/>
      <c r="M57" s="1549"/>
      <c r="N57" s="1549"/>
      <c r="O57" s="1549"/>
      <c r="P57" s="1549"/>
      <c r="Q57" s="1549"/>
      <c r="R57" s="1549"/>
      <c r="S57" s="1549"/>
      <c r="T57" s="1549"/>
      <c r="U57" s="1549"/>
      <c r="V57" s="1549"/>
      <c r="W57" s="1549"/>
      <c r="X57" s="1549"/>
      <c r="Y57" s="1549"/>
      <c r="Z57" s="1549"/>
      <c r="AA57" s="1549"/>
      <c r="AB57" s="1549"/>
      <c r="AC57" s="1549"/>
      <c r="AD57" s="1549"/>
      <c r="AE57" s="1549"/>
      <c r="AF57" s="1549"/>
      <c r="AG57" s="1549"/>
      <c r="AH57" s="1549"/>
    </row>
    <row r="58" spans="1:34" ht="12.75" customHeight="1" x14ac:dyDescent="0.2">
      <c r="A58" s="1549"/>
      <c r="B58" s="1549"/>
      <c r="C58" s="1549"/>
      <c r="D58" s="1549"/>
      <c r="E58" s="1549"/>
      <c r="F58" s="1549"/>
      <c r="G58" s="1549"/>
      <c r="H58" s="1549"/>
      <c r="I58" s="1549"/>
      <c r="J58" s="1549"/>
      <c r="K58" s="1549"/>
      <c r="L58" s="1549"/>
      <c r="M58" s="1549"/>
      <c r="N58" s="1549"/>
      <c r="O58" s="1549"/>
      <c r="P58" s="1549"/>
      <c r="Q58" s="1549"/>
      <c r="R58" s="1549"/>
      <c r="S58" s="1549"/>
      <c r="T58" s="1549"/>
      <c r="U58" s="1549"/>
      <c r="V58" s="1549"/>
      <c r="W58" s="1549"/>
      <c r="X58" s="1549"/>
      <c r="Y58" s="1549"/>
      <c r="Z58" s="1549"/>
      <c r="AA58" s="1549"/>
      <c r="AB58" s="1549"/>
      <c r="AC58" s="1549"/>
      <c r="AD58" s="1549"/>
      <c r="AE58" s="1549"/>
      <c r="AF58" s="1549"/>
      <c r="AG58" s="1549"/>
      <c r="AH58" s="1549"/>
    </row>
    <row r="59" spans="1:34" ht="12.75" customHeight="1" x14ac:dyDescent="0.2">
      <c r="A59" s="1549"/>
      <c r="B59" s="1549"/>
      <c r="C59" s="1549"/>
      <c r="D59" s="1549"/>
      <c r="E59" s="1549"/>
      <c r="F59" s="1549"/>
      <c r="G59" s="1549"/>
      <c r="H59" s="1549"/>
      <c r="I59" s="1549"/>
      <c r="J59" s="1549"/>
      <c r="K59" s="1549"/>
      <c r="L59" s="1549"/>
      <c r="M59" s="1549"/>
      <c r="N59" s="1549"/>
      <c r="O59" s="1549"/>
      <c r="P59" s="1549"/>
      <c r="Q59" s="1549"/>
      <c r="R59" s="1549"/>
      <c r="S59" s="1549"/>
      <c r="T59" s="1549"/>
      <c r="U59" s="1549"/>
      <c r="V59" s="1549"/>
      <c r="W59" s="1549"/>
      <c r="X59" s="1549"/>
      <c r="Y59" s="1549"/>
      <c r="Z59" s="1549"/>
      <c r="AA59" s="1549"/>
      <c r="AB59" s="1549"/>
      <c r="AC59" s="1549"/>
      <c r="AD59" s="1549"/>
      <c r="AE59" s="1549"/>
      <c r="AF59" s="1549"/>
      <c r="AG59" s="1549"/>
      <c r="AH59" s="1549"/>
    </row>
    <row r="60" spans="1:34" ht="12.75" customHeight="1" x14ac:dyDescent="0.2">
      <c r="A60" s="1549"/>
      <c r="B60" s="1549"/>
      <c r="C60" s="1549"/>
      <c r="D60" s="1549"/>
      <c r="E60" s="1549"/>
      <c r="F60" s="1549"/>
      <c r="G60" s="1549"/>
      <c r="H60" s="1549"/>
      <c r="I60" s="1549"/>
      <c r="J60" s="1549"/>
      <c r="K60" s="1549"/>
      <c r="L60" s="1549"/>
      <c r="M60" s="1549"/>
      <c r="N60" s="1549"/>
      <c r="O60" s="1549"/>
      <c r="P60" s="1549"/>
      <c r="Q60" s="1549"/>
      <c r="R60" s="1549"/>
      <c r="S60" s="1549"/>
      <c r="T60" s="1549"/>
      <c r="U60" s="1549"/>
      <c r="V60" s="1549"/>
      <c r="W60" s="1549"/>
      <c r="X60" s="1549"/>
      <c r="Y60" s="1549"/>
      <c r="Z60" s="1549"/>
      <c r="AA60" s="1549"/>
      <c r="AB60" s="1549"/>
      <c r="AC60" s="1549"/>
      <c r="AD60" s="1549"/>
      <c r="AE60" s="1549"/>
      <c r="AF60" s="1549"/>
      <c r="AG60" s="1549"/>
      <c r="AH60" s="1549"/>
    </row>
    <row r="61" spans="1:34" ht="12.75" customHeight="1" x14ac:dyDescent="0.2">
      <c r="A61" s="1549"/>
      <c r="B61" s="1549"/>
      <c r="C61" s="1549"/>
      <c r="D61" s="1549"/>
      <c r="E61" s="1549"/>
      <c r="F61" s="1549"/>
      <c r="G61" s="1549"/>
      <c r="H61" s="1549"/>
      <c r="I61" s="1549"/>
      <c r="J61" s="1549"/>
      <c r="K61" s="1549"/>
      <c r="L61" s="1549"/>
      <c r="M61" s="1549"/>
      <c r="N61" s="1549"/>
      <c r="O61" s="1549"/>
      <c r="P61" s="1549"/>
      <c r="Q61" s="1549"/>
      <c r="R61" s="1549"/>
      <c r="S61" s="1549"/>
      <c r="T61" s="1549"/>
      <c r="U61" s="1549"/>
      <c r="V61" s="1549"/>
      <c r="W61" s="1549"/>
      <c r="X61" s="1549"/>
      <c r="Y61" s="1549"/>
      <c r="Z61" s="1549"/>
      <c r="AA61" s="1549"/>
      <c r="AB61" s="1549"/>
      <c r="AC61" s="1549"/>
      <c r="AD61" s="1549"/>
      <c r="AE61" s="1549"/>
      <c r="AF61" s="1549"/>
      <c r="AG61" s="1549"/>
      <c r="AH61" s="1549"/>
    </row>
    <row r="62" spans="1:34" ht="12.75" customHeight="1" x14ac:dyDescent="0.2">
      <c r="A62" s="1549"/>
      <c r="B62" s="1549"/>
      <c r="C62" s="1549"/>
      <c r="D62" s="1549"/>
      <c r="E62" s="1549"/>
      <c r="F62" s="1549"/>
      <c r="G62" s="1549"/>
      <c r="H62" s="1549"/>
      <c r="I62" s="1549"/>
      <c r="J62" s="1549"/>
      <c r="K62" s="1549"/>
      <c r="L62" s="1549"/>
      <c r="M62" s="1549"/>
      <c r="N62" s="1549"/>
      <c r="O62" s="1549"/>
      <c r="P62" s="1549"/>
      <c r="Q62" s="1549"/>
      <c r="R62" s="1549"/>
      <c r="S62" s="1549"/>
      <c r="T62" s="1549"/>
      <c r="U62" s="1549"/>
      <c r="V62" s="1549"/>
      <c r="W62" s="1549"/>
      <c r="X62" s="1549"/>
      <c r="Y62" s="1549"/>
      <c r="Z62" s="1549"/>
      <c r="AA62" s="1549"/>
      <c r="AB62" s="1549"/>
      <c r="AC62" s="1549"/>
      <c r="AD62" s="1549"/>
      <c r="AE62" s="1549"/>
      <c r="AF62" s="1549"/>
      <c r="AG62" s="1549"/>
      <c r="AH62" s="1549"/>
    </row>
    <row r="63" spans="1:34" ht="12.75" customHeight="1" x14ac:dyDescent="0.2">
      <c r="A63" s="1549"/>
      <c r="B63" s="1549"/>
      <c r="C63" s="1549"/>
      <c r="D63" s="1549"/>
      <c r="E63" s="1549"/>
      <c r="F63" s="1549"/>
      <c r="G63" s="1549"/>
      <c r="H63" s="1549"/>
      <c r="I63" s="1549"/>
      <c r="J63" s="1549"/>
      <c r="K63" s="1549"/>
      <c r="L63" s="1549"/>
      <c r="M63" s="1549"/>
      <c r="N63" s="1549"/>
      <c r="O63" s="1549"/>
      <c r="P63" s="1549"/>
      <c r="Q63" s="1549"/>
      <c r="R63" s="1549"/>
      <c r="S63" s="1549"/>
      <c r="T63" s="1549"/>
      <c r="U63" s="1549"/>
      <c r="V63" s="1549"/>
      <c r="W63" s="1549"/>
      <c r="X63" s="1549"/>
      <c r="Y63" s="1549"/>
      <c r="Z63" s="1549"/>
      <c r="AA63" s="1549"/>
      <c r="AB63" s="1549"/>
      <c r="AC63" s="1549"/>
      <c r="AD63" s="1549"/>
      <c r="AE63" s="1549"/>
      <c r="AF63" s="1549"/>
      <c r="AG63" s="1549"/>
      <c r="AH63" s="1549"/>
    </row>
    <row r="64" spans="1:34" ht="12.75" customHeight="1" x14ac:dyDescent="0.2">
      <c r="A64" s="1549"/>
      <c r="B64" s="1549"/>
      <c r="C64" s="1549"/>
      <c r="D64" s="1549"/>
      <c r="E64" s="1549"/>
      <c r="F64" s="1549"/>
      <c r="G64" s="1549"/>
      <c r="H64" s="1549"/>
      <c r="I64" s="1549"/>
      <c r="J64" s="1549"/>
      <c r="K64" s="1549"/>
      <c r="L64" s="1549"/>
      <c r="M64" s="1549"/>
      <c r="N64" s="1549"/>
      <c r="O64" s="1549"/>
      <c r="P64" s="1549"/>
      <c r="Q64" s="1549"/>
      <c r="R64" s="1549"/>
      <c r="S64" s="1549"/>
      <c r="T64" s="1549"/>
      <c r="U64" s="1549"/>
      <c r="V64" s="1549"/>
      <c r="W64" s="1549"/>
      <c r="X64" s="1549"/>
      <c r="Y64" s="1549"/>
      <c r="Z64" s="1549"/>
      <c r="AA64" s="1549"/>
      <c r="AB64" s="1549"/>
      <c r="AC64" s="1549"/>
      <c r="AD64" s="1549"/>
      <c r="AE64" s="1549"/>
      <c r="AF64" s="1549"/>
      <c r="AG64" s="1549"/>
      <c r="AH64" s="1549"/>
    </row>
    <row r="65" spans="1:34" ht="12.75" customHeight="1" x14ac:dyDescent="0.2">
      <c r="A65" s="1549"/>
      <c r="B65" s="1549"/>
      <c r="C65" s="1549"/>
      <c r="D65" s="1549"/>
      <c r="E65" s="1549"/>
      <c r="F65" s="1549"/>
      <c r="G65" s="1549"/>
      <c r="H65" s="1549"/>
      <c r="I65" s="1549"/>
      <c r="J65" s="1549"/>
      <c r="K65" s="1549"/>
      <c r="L65" s="1549"/>
      <c r="M65" s="1549"/>
      <c r="N65" s="1549"/>
      <c r="O65" s="1549"/>
      <c r="P65" s="1549"/>
      <c r="Q65" s="1549"/>
      <c r="R65" s="1549"/>
      <c r="S65" s="1549"/>
      <c r="T65" s="1549"/>
      <c r="U65" s="1549"/>
      <c r="V65" s="1549"/>
      <c r="W65" s="1549"/>
      <c r="X65" s="1549"/>
      <c r="Y65" s="1549"/>
      <c r="Z65" s="1549"/>
      <c r="AA65" s="1549"/>
      <c r="AB65" s="1549"/>
      <c r="AC65" s="1549"/>
      <c r="AD65" s="1549"/>
      <c r="AE65" s="1549"/>
      <c r="AF65" s="1549"/>
      <c r="AG65" s="1549"/>
      <c r="AH65" s="1549"/>
    </row>
    <row r="66" spans="1:34" ht="12.75" customHeight="1" x14ac:dyDescent="0.2">
      <c r="A66" s="1549"/>
      <c r="B66" s="1549"/>
      <c r="C66" s="1549"/>
      <c r="D66" s="1549"/>
      <c r="E66" s="1549"/>
      <c r="F66" s="1549"/>
      <c r="G66" s="1549"/>
      <c r="H66" s="1549"/>
      <c r="I66" s="1549"/>
      <c r="J66" s="1549"/>
      <c r="K66" s="1549"/>
      <c r="L66" s="1549"/>
      <c r="M66" s="1549"/>
      <c r="N66" s="1549"/>
      <c r="O66" s="1549"/>
      <c r="P66" s="1549"/>
      <c r="Q66" s="1549"/>
      <c r="R66" s="1549"/>
      <c r="S66" s="1549"/>
      <c r="T66" s="1549"/>
      <c r="U66" s="1549"/>
      <c r="V66" s="1549"/>
      <c r="W66" s="1549"/>
      <c r="X66" s="1549"/>
      <c r="Y66" s="1549"/>
      <c r="Z66" s="1549"/>
      <c r="AA66" s="1549"/>
      <c r="AB66" s="1549"/>
      <c r="AC66" s="1549"/>
      <c r="AD66" s="1549"/>
      <c r="AE66" s="1549"/>
      <c r="AF66" s="1549"/>
      <c r="AG66" s="1549"/>
      <c r="AH66" s="1549"/>
    </row>
    <row r="67" spans="1:34" ht="12.75" customHeight="1" x14ac:dyDescent="0.2">
      <c r="A67" s="1549"/>
      <c r="B67" s="1549"/>
      <c r="C67" s="1549"/>
      <c r="D67" s="1549"/>
      <c r="E67" s="1549"/>
      <c r="F67" s="1549"/>
      <c r="G67" s="1549"/>
      <c r="H67" s="1549"/>
      <c r="I67" s="1549"/>
      <c r="J67" s="1549"/>
      <c r="K67" s="1549"/>
      <c r="L67" s="1549"/>
      <c r="M67" s="1549"/>
      <c r="N67" s="1549"/>
      <c r="O67" s="1549"/>
      <c r="P67" s="1549"/>
      <c r="Q67" s="1549"/>
      <c r="R67" s="1549"/>
      <c r="S67" s="1549"/>
      <c r="T67" s="1549"/>
      <c r="U67" s="1549"/>
      <c r="V67" s="1549"/>
      <c r="W67" s="1549"/>
      <c r="X67" s="1549"/>
      <c r="Y67" s="1549"/>
      <c r="Z67" s="1549"/>
      <c r="AA67" s="1549"/>
      <c r="AB67" s="1549"/>
      <c r="AC67" s="1549"/>
      <c r="AD67" s="1549"/>
      <c r="AE67" s="1549"/>
      <c r="AF67" s="1549"/>
      <c r="AG67" s="1549"/>
      <c r="AH67" s="1549"/>
    </row>
    <row r="68" spans="1:34" ht="12.75" customHeight="1" x14ac:dyDescent="0.2">
      <c r="A68" s="1549"/>
      <c r="B68" s="1549"/>
      <c r="C68" s="1549"/>
      <c r="D68" s="1549"/>
      <c r="E68" s="1549"/>
      <c r="F68" s="1549"/>
      <c r="G68" s="1549"/>
      <c r="H68" s="1549"/>
      <c r="I68" s="1549"/>
      <c r="J68" s="1549"/>
      <c r="K68" s="1549"/>
      <c r="L68" s="1549"/>
      <c r="M68" s="1549"/>
      <c r="N68" s="1549"/>
      <c r="O68" s="1549"/>
      <c r="P68" s="1549"/>
      <c r="Q68" s="1549"/>
      <c r="R68" s="1549"/>
      <c r="S68" s="1549"/>
      <c r="T68" s="1549"/>
      <c r="U68" s="1549"/>
      <c r="V68" s="1549"/>
      <c r="W68" s="1549"/>
      <c r="X68" s="1549"/>
      <c r="Y68" s="1549"/>
      <c r="Z68" s="1549"/>
      <c r="AA68" s="1549"/>
      <c r="AB68" s="1549"/>
      <c r="AC68" s="1549"/>
      <c r="AD68" s="1549"/>
      <c r="AE68" s="1549"/>
      <c r="AF68" s="1549"/>
      <c r="AG68" s="1549"/>
      <c r="AH68" s="1549"/>
    </row>
    <row r="69" spans="1:34" ht="12.75" customHeight="1" x14ac:dyDescent="0.2">
      <c r="A69" s="1549"/>
      <c r="B69" s="1549"/>
      <c r="C69" s="1549"/>
      <c r="D69" s="1549"/>
      <c r="E69" s="1549"/>
      <c r="F69" s="1549"/>
      <c r="G69" s="1549"/>
      <c r="H69" s="1549"/>
      <c r="I69" s="1549"/>
      <c r="J69" s="1549"/>
      <c r="K69" s="1549"/>
      <c r="L69" s="1549"/>
      <c r="M69" s="1549"/>
      <c r="N69" s="1549"/>
      <c r="O69" s="1549"/>
      <c r="P69" s="1549"/>
      <c r="Q69" s="1549"/>
      <c r="R69" s="1549"/>
      <c r="S69" s="1549"/>
      <c r="T69" s="1549"/>
      <c r="U69" s="1549"/>
      <c r="V69" s="1549"/>
      <c r="W69" s="1549"/>
      <c r="X69" s="1549"/>
      <c r="Y69" s="1549"/>
      <c r="Z69" s="1549"/>
      <c r="AA69" s="1549"/>
      <c r="AB69" s="1549"/>
      <c r="AC69" s="1549"/>
      <c r="AD69" s="1549"/>
      <c r="AE69" s="1549"/>
      <c r="AF69" s="1549"/>
      <c r="AG69" s="1549"/>
      <c r="AH69" s="1549"/>
    </row>
    <row r="70" spans="1:34" ht="12.75" customHeight="1" x14ac:dyDescent="0.2">
      <c r="A70" s="1549"/>
      <c r="B70" s="1549"/>
      <c r="C70" s="1549"/>
      <c r="D70" s="1549"/>
      <c r="E70" s="1549"/>
      <c r="F70" s="1549"/>
      <c r="G70" s="1549"/>
      <c r="H70" s="1549"/>
      <c r="I70" s="1549"/>
      <c r="J70" s="1549"/>
      <c r="K70" s="1549"/>
      <c r="L70" s="1549"/>
      <c r="M70" s="1549"/>
      <c r="N70" s="1549"/>
      <c r="O70" s="1549"/>
      <c r="P70" s="1549"/>
      <c r="Q70" s="1549"/>
      <c r="R70" s="1549"/>
      <c r="S70" s="1549"/>
      <c r="T70" s="1549"/>
      <c r="U70" s="1549"/>
      <c r="V70" s="1549"/>
      <c r="W70" s="1549"/>
      <c r="X70" s="1549"/>
      <c r="Y70" s="1549"/>
      <c r="Z70" s="1549"/>
      <c r="AA70" s="1549"/>
      <c r="AB70" s="1549"/>
      <c r="AC70" s="1549"/>
      <c r="AD70" s="1549"/>
      <c r="AE70" s="1549"/>
      <c r="AF70" s="1549"/>
      <c r="AG70" s="1549"/>
      <c r="AH70" s="1549"/>
    </row>
    <row r="71" spans="1:34" ht="12.75" customHeight="1" x14ac:dyDescent="0.2">
      <c r="A71" s="1549"/>
      <c r="B71" s="1549"/>
      <c r="C71" s="1549"/>
      <c r="D71" s="1549"/>
      <c r="E71" s="1549"/>
      <c r="F71" s="1549"/>
      <c r="G71" s="1549"/>
      <c r="H71" s="1549"/>
      <c r="I71" s="1549"/>
      <c r="J71" s="1549"/>
      <c r="K71" s="1549"/>
      <c r="L71" s="1549"/>
      <c r="M71" s="1549"/>
      <c r="N71" s="1549"/>
      <c r="O71" s="1549"/>
      <c r="P71" s="1549"/>
      <c r="Q71" s="1549"/>
      <c r="R71" s="1549"/>
      <c r="S71" s="1549"/>
      <c r="T71" s="1549"/>
      <c r="U71" s="1549"/>
      <c r="V71" s="1549"/>
      <c r="W71" s="1549"/>
      <c r="X71" s="1549"/>
      <c r="Y71" s="1549"/>
      <c r="Z71" s="1549"/>
      <c r="AA71" s="1549"/>
      <c r="AB71" s="1549"/>
      <c r="AC71" s="1549"/>
      <c r="AD71" s="1549"/>
      <c r="AE71" s="1549"/>
      <c r="AF71" s="1549"/>
      <c r="AG71" s="1549"/>
      <c r="AH71" s="1549"/>
    </row>
    <row r="72" spans="1:34" ht="12.75" customHeight="1" x14ac:dyDescent="0.2">
      <c r="A72" s="1549"/>
      <c r="B72" s="1549"/>
      <c r="C72" s="1549"/>
      <c r="D72" s="1549"/>
      <c r="E72" s="1549"/>
      <c r="F72" s="1549"/>
      <c r="G72" s="1549"/>
      <c r="H72" s="1549"/>
      <c r="I72" s="1549"/>
      <c r="J72" s="1549"/>
      <c r="K72" s="1549"/>
      <c r="L72" s="1549"/>
      <c r="M72" s="1549"/>
      <c r="N72" s="1549"/>
      <c r="O72" s="1549"/>
      <c r="P72" s="1549"/>
      <c r="Q72" s="1549"/>
      <c r="R72" s="1549"/>
      <c r="S72" s="1549"/>
      <c r="T72" s="1549"/>
      <c r="U72" s="1549"/>
      <c r="V72" s="1549"/>
      <c r="W72" s="1549"/>
      <c r="X72" s="1549"/>
      <c r="Y72" s="1549"/>
      <c r="Z72" s="1549"/>
      <c r="AA72" s="1549"/>
      <c r="AB72" s="1549"/>
      <c r="AC72" s="1549"/>
      <c r="AD72" s="1549"/>
      <c r="AE72" s="1549"/>
      <c r="AF72" s="1549"/>
      <c r="AG72" s="1549"/>
      <c r="AH72" s="1549"/>
    </row>
    <row r="73" spans="1:34" ht="12.75" customHeight="1" x14ac:dyDescent="0.2">
      <c r="A73" s="1549"/>
      <c r="B73" s="1549"/>
      <c r="C73" s="1549"/>
      <c r="D73" s="1549"/>
      <c r="E73" s="1549"/>
      <c r="F73" s="1549"/>
      <c r="G73" s="1549"/>
      <c r="H73" s="1549"/>
      <c r="I73" s="1549"/>
      <c r="J73" s="1549"/>
      <c r="K73" s="1549"/>
      <c r="L73" s="1549"/>
      <c r="M73" s="1549"/>
      <c r="N73" s="1549"/>
      <c r="O73" s="1549"/>
      <c r="P73" s="1549"/>
      <c r="Q73" s="1549"/>
      <c r="R73" s="1549"/>
      <c r="S73" s="1549"/>
      <c r="T73" s="1549"/>
      <c r="U73" s="1549"/>
      <c r="V73" s="1549"/>
      <c r="W73" s="1549"/>
      <c r="X73" s="1549"/>
      <c r="Y73" s="1549"/>
      <c r="Z73" s="1549"/>
      <c r="AA73" s="1549"/>
      <c r="AB73" s="1549"/>
      <c r="AC73" s="1549"/>
      <c r="AD73" s="1549"/>
      <c r="AE73" s="1549"/>
      <c r="AF73" s="1549"/>
      <c r="AG73" s="1549"/>
      <c r="AH73" s="1549"/>
    </row>
    <row r="74" spans="1:34" ht="12.75" customHeight="1" x14ac:dyDescent="0.2">
      <c r="A74" s="1549"/>
      <c r="B74" s="1549"/>
      <c r="C74" s="1549"/>
      <c r="D74" s="1549"/>
      <c r="E74" s="1549"/>
      <c r="F74" s="1549"/>
      <c r="G74" s="1549"/>
      <c r="H74" s="1549"/>
      <c r="I74" s="1549"/>
      <c r="J74" s="1549"/>
      <c r="K74" s="1549"/>
      <c r="L74" s="1549"/>
      <c r="M74" s="1549"/>
      <c r="N74" s="1549"/>
      <c r="O74" s="1549"/>
      <c r="P74" s="1549"/>
      <c r="Q74" s="1549"/>
      <c r="R74" s="1549"/>
      <c r="S74" s="1549"/>
      <c r="T74" s="1549"/>
      <c r="U74" s="1549"/>
      <c r="V74" s="1549"/>
      <c r="W74" s="1549"/>
      <c r="X74" s="1549"/>
      <c r="Y74" s="1549"/>
      <c r="Z74" s="1549"/>
      <c r="AA74" s="1549"/>
      <c r="AB74" s="1549"/>
      <c r="AC74" s="1549"/>
      <c r="AD74" s="1549"/>
      <c r="AE74" s="1549"/>
      <c r="AF74" s="1549"/>
      <c r="AG74" s="1549"/>
      <c r="AH74" s="1549"/>
    </row>
    <row r="75" spans="1:34" ht="12.75" customHeight="1" x14ac:dyDescent="0.2">
      <c r="A75" s="1549"/>
      <c r="B75" s="1549"/>
      <c r="C75" s="1549"/>
      <c r="D75" s="1549"/>
      <c r="E75" s="1549"/>
      <c r="F75" s="1549"/>
      <c r="G75" s="1549"/>
      <c r="H75" s="1549"/>
      <c r="I75" s="1549"/>
      <c r="J75" s="1549"/>
      <c r="K75" s="1549"/>
      <c r="L75" s="1549"/>
      <c r="M75" s="1549"/>
      <c r="N75" s="1549"/>
      <c r="O75" s="1549"/>
      <c r="P75" s="1549"/>
      <c r="Q75" s="1549"/>
      <c r="R75" s="1549"/>
      <c r="S75" s="1549"/>
      <c r="T75" s="1549"/>
      <c r="U75" s="1549"/>
      <c r="V75" s="1549"/>
      <c r="W75" s="1549"/>
      <c r="X75" s="1549"/>
      <c r="Y75" s="1549"/>
      <c r="Z75" s="1549"/>
      <c r="AA75" s="1549"/>
      <c r="AB75" s="1549"/>
      <c r="AC75" s="1549"/>
      <c r="AD75" s="1549"/>
      <c r="AE75" s="1549"/>
      <c r="AF75" s="1549"/>
      <c r="AG75" s="1549"/>
      <c r="AH75" s="1549"/>
    </row>
    <row r="76" spans="1:34" ht="12.75" customHeight="1" x14ac:dyDescent="0.2">
      <c r="A76" s="1549"/>
      <c r="B76" s="1549"/>
      <c r="C76" s="1549"/>
      <c r="D76" s="1549"/>
      <c r="E76" s="1549"/>
      <c r="F76" s="1549"/>
      <c r="G76" s="1549"/>
      <c r="H76" s="1549"/>
      <c r="I76" s="1549"/>
      <c r="J76" s="1549"/>
      <c r="K76" s="1549"/>
      <c r="L76" s="1549"/>
      <c r="M76" s="1549"/>
      <c r="N76" s="1549"/>
      <c r="O76" s="1549"/>
      <c r="P76" s="1549"/>
      <c r="Q76" s="1549"/>
      <c r="R76" s="1549"/>
      <c r="S76" s="1549"/>
      <c r="T76" s="1549"/>
      <c r="U76" s="1549"/>
      <c r="V76" s="1549"/>
      <c r="W76" s="1549"/>
      <c r="X76" s="1549"/>
      <c r="Y76" s="1549"/>
      <c r="Z76" s="1549"/>
      <c r="AA76" s="1549"/>
      <c r="AB76" s="1549"/>
      <c r="AC76" s="1549"/>
      <c r="AD76" s="1549"/>
      <c r="AE76" s="1549"/>
      <c r="AF76" s="1549"/>
      <c r="AG76" s="1549"/>
      <c r="AH76" s="1549"/>
    </row>
    <row r="77" spans="1:34" ht="12.75" customHeight="1" x14ac:dyDescent="0.2">
      <c r="A77" s="1549"/>
      <c r="B77" s="1549"/>
      <c r="C77" s="1549"/>
      <c r="D77" s="1549"/>
      <c r="E77" s="1549"/>
      <c r="F77" s="1549"/>
      <c r="G77" s="1549"/>
      <c r="H77" s="1549"/>
      <c r="I77" s="1549"/>
      <c r="J77" s="1549"/>
      <c r="K77" s="1549"/>
      <c r="L77" s="1549"/>
      <c r="M77" s="1549"/>
      <c r="N77" s="1549"/>
      <c r="O77" s="1549"/>
      <c r="P77" s="1549"/>
      <c r="Q77" s="1549"/>
      <c r="R77" s="1549"/>
      <c r="S77" s="1549"/>
      <c r="T77" s="1549"/>
      <c r="U77" s="1549"/>
      <c r="V77" s="1549"/>
      <c r="W77" s="1549"/>
      <c r="X77" s="1549"/>
      <c r="Y77" s="1549"/>
      <c r="Z77" s="1549"/>
      <c r="AA77" s="1549"/>
      <c r="AB77" s="1549"/>
      <c r="AC77" s="1549"/>
      <c r="AD77" s="1549"/>
      <c r="AE77" s="1549"/>
      <c r="AF77" s="1549"/>
      <c r="AG77" s="1549"/>
      <c r="AH77" s="1549"/>
    </row>
    <row r="78" spans="1:34" ht="12.75" customHeight="1" x14ac:dyDescent="0.2">
      <c r="A78" s="1549"/>
      <c r="B78" s="1549"/>
      <c r="C78" s="1549"/>
      <c r="D78" s="1549"/>
      <c r="E78" s="1549"/>
      <c r="F78" s="1549"/>
      <c r="G78" s="1549"/>
      <c r="H78" s="1549"/>
      <c r="I78" s="1549"/>
      <c r="J78" s="1549"/>
      <c r="K78" s="1549"/>
      <c r="L78" s="1549"/>
      <c r="M78" s="1549"/>
      <c r="N78" s="1549"/>
      <c r="O78" s="1549"/>
      <c r="P78" s="1549"/>
      <c r="Q78" s="1549"/>
      <c r="R78" s="1549"/>
      <c r="S78" s="1549"/>
      <c r="T78" s="1549"/>
      <c r="U78" s="1549"/>
      <c r="V78" s="1549"/>
      <c r="W78" s="1549"/>
      <c r="X78" s="1549"/>
      <c r="Y78" s="1549"/>
      <c r="Z78" s="1549"/>
      <c r="AA78" s="1549"/>
      <c r="AB78" s="1549"/>
      <c r="AC78" s="1549"/>
      <c r="AD78" s="1549"/>
      <c r="AE78" s="1549"/>
      <c r="AF78" s="1549"/>
      <c r="AG78" s="1549"/>
      <c r="AH78" s="1549"/>
    </row>
    <row r="79" spans="1:34" ht="12.75" customHeight="1" x14ac:dyDescent="0.2">
      <c r="A79" s="1549"/>
      <c r="B79" s="1549"/>
      <c r="C79" s="1549"/>
      <c r="D79" s="1549"/>
      <c r="E79" s="1549"/>
      <c r="F79" s="1549"/>
      <c r="G79" s="1549"/>
      <c r="H79" s="1549"/>
      <c r="I79" s="1549"/>
      <c r="J79" s="1549"/>
      <c r="K79" s="1549"/>
      <c r="L79" s="1549"/>
      <c r="M79" s="1549"/>
      <c r="N79" s="1549"/>
      <c r="O79" s="1549"/>
      <c r="P79" s="1549"/>
      <c r="Q79" s="1549"/>
      <c r="R79" s="1549"/>
      <c r="S79" s="1549"/>
      <c r="T79" s="1549"/>
      <c r="U79" s="1549"/>
      <c r="V79" s="1549"/>
      <c r="W79" s="1549"/>
      <c r="X79" s="1549"/>
      <c r="Y79" s="1549"/>
      <c r="Z79" s="1549"/>
      <c r="AA79" s="1549"/>
      <c r="AB79" s="1549"/>
      <c r="AC79" s="1549"/>
      <c r="AD79" s="1549"/>
      <c r="AE79" s="1549"/>
      <c r="AF79" s="1549"/>
      <c r="AG79" s="1549"/>
      <c r="AH79" s="1549"/>
    </row>
    <row r="80" spans="1:34" ht="12.75" customHeight="1" x14ac:dyDescent="0.2">
      <c r="A80" s="1549"/>
      <c r="B80" s="1549"/>
      <c r="C80" s="1549"/>
      <c r="D80" s="1549"/>
      <c r="E80" s="1549"/>
      <c r="F80" s="1549"/>
      <c r="G80" s="1549"/>
      <c r="H80" s="1549"/>
      <c r="I80" s="1549"/>
      <c r="J80" s="1549"/>
      <c r="K80" s="1549"/>
      <c r="L80" s="1549"/>
      <c r="M80" s="1549"/>
      <c r="N80" s="1549"/>
      <c r="O80" s="1549"/>
      <c r="P80" s="1549"/>
      <c r="Q80" s="1549"/>
      <c r="R80" s="1549"/>
      <c r="S80" s="1549"/>
      <c r="T80" s="1549"/>
      <c r="U80" s="1549"/>
      <c r="V80" s="1549"/>
      <c r="W80" s="1549"/>
      <c r="X80" s="1549"/>
      <c r="Y80" s="1549"/>
      <c r="Z80" s="1549"/>
      <c r="AA80" s="1549"/>
      <c r="AB80" s="1549"/>
      <c r="AC80" s="1549"/>
      <c r="AD80" s="1549"/>
      <c r="AE80" s="1549"/>
      <c r="AF80" s="1549"/>
      <c r="AG80" s="1549"/>
      <c r="AH80" s="1549"/>
    </row>
    <row r="81" spans="1:34" ht="12.75" customHeight="1" x14ac:dyDescent="0.2">
      <c r="A81" s="1549"/>
      <c r="B81" s="1549"/>
      <c r="C81" s="1549"/>
      <c r="D81" s="1549"/>
      <c r="E81" s="1549"/>
      <c r="F81" s="1549"/>
      <c r="G81" s="1549"/>
      <c r="H81" s="1549"/>
      <c r="I81" s="1549"/>
      <c r="J81" s="1549"/>
      <c r="K81" s="1549"/>
      <c r="L81" s="1549"/>
      <c r="M81" s="1549"/>
      <c r="N81" s="1549"/>
      <c r="O81" s="1549"/>
      <c r="P81" s="1549"/>
      <c r="Q81" s="1549"/>
      <c r="R81" s="1549"/>
      <c r="S81" s="1549"/>
      <c r="T81" s="1549"/>
      <c r="U81" s="1549"/>
      <c r="V81" s="1549"/>
      <c r="W81" s="1549"/>
      <c r="X81" s="1549"/>
      <c r="Y81" s="1549"/>
      <c r="Z81" s="1549"/>
      <c r="AA81" s="1549"/>
      <c r="AB81" s="1549"/>
      <c r="AC81" s="1549"/>
      <c r="AD81" s="1549"/>
      <c r="AE81" s="1549"/>
      <c r="AF81" s="1549"/>
      <c r="AG81" s="1549"/>
      <c r="AH81" s="1549"/>
    </row>
    <row r="82" spans="1:34" ht="12.75" customHeight="1" x14ac:dyDescent="0.2">
      <c r="A82" s="1549"/>
      <c r="B82" s="1549"/>
      <c r="C82" s="1549"/>
      <c r="D82" s="1549"/>
      <c r="E82" s="1549"/>
      <c r="F82" s="1549"/>
      <c r="G82" s="1549"/>
      <c r="H82" s="1549"/>
      <c r="I82" s="1549"/>
      <c r="J82" s="1549"/>
      <c r="K82" s="1549"/>
      <c r="L82" s="1549"/>
      <c r="M82" s="1549"/>
      <c r="N82" s="1549"/>
      <c r="O82" s="1549"/>
      <c r="P82" s="1549"/>
      <c r="Q82" s="1549"/>
      <c r="R82" s="1549"/>
      <c r="S82" s="1549"/>
      <c r="T82" s="1549"/>
      <c r="U82" s="1549"/>
      <c r="V82" s="1549"/>
      <c r="W82" s="1549"/>
      <c r="X82" s="1549"/>
      <c r="Y82" s="1549"/>
      <c r="Z82" s="1549"/>
      <c r="AA82" s="1549"/>
      <c r="AB82" s="1549"/>
      <c r="AC82" s="1549"/>
      <c r="AD82" s="1549"/>
      <c r="AE82" s="1549"/>
      <c r="AF82" s="1549"/>
      <c r="AG82" s="1549"/>
      <c r="AH82" s="1549"/>
    </row>
    <row r="83" spans="1:34" ht="12.75" customHeight="1" x14ac:dyDescent="0.2">
      <c r="A83" s="1549"/>
      <c r="B83" s="1549"/>
      <c r="C83" s="1549"/>
      <c r="D83" s="1549"/>
      <c r="E83" s="1549"/>
      <c r="F83" s="1549"/>
      <c r="G83" s="1549"/>
      <c r="H83" s="1549"/>
      <c r="I83" s="1549"/>
      <c r="J83" s="1549"/>
      <c r="K83" s="1549"/>
      <c r="L83" s="1549"/>
      <c r="M83" s="1549"/>
      <c r="N83" s="1549"/>
      <c r="O83" s="1549"/>
      <c r="P83" s="1549"/>
      <c r="Q83" s="1549"/>
      <c r="R83" s="1549"/>
      <c r="S83" s="1549"/>
      <c r="T83" s="1549"/>
      <c r="U83" s="1549"/>
      <c r="V83" s="1549"/>
      <c r="W83" s="1549"/>
      <c r="X83" s="1549"/>
      <c r="Y83" s="1549"/>
      <c r="Z83" s="1549"/>
      <c r="AA83" s="1549"/>
      <c r="AB83" s="1549"/>
      <c r="AC83" s="1549"/>
      <c r="AD83" s="1549"/>
      <c r="AE83" s="1549"/>
      <c r="AF83" s="1549"/>
      <c r="AG83" s="1549"/>
      <c r="AH83" s="1549"/>
    </row>
    <row r="84" spans="1:34" ht="12.75" customHeight="1" x14ac:dyDescent="0.2">
      <c r="A84" s="1549"/>
      <c r="B84" s="1549"/>
      <c r="C84" s="1549"/>
      <c r="D84" s="1549"/>
      <c r="E84" s="1549"/>
      <c r="F84" s="1549"/>
      <c r="G84" s="1549"/>
      <c r="H84" s="1549"/>
      <c r="I84" s="1549"/>
      <c r="J84" s="1549"/>
      <c r="K84" s="1549"/>
      <c r="L84" s="1549"/>
      <c r="M84" s="1549"/>
      <c r="N84" s="1549"/>
      <c r="O84" s="1549"/>
      <c r="P84" s="1549"/>
      <c r="Q84" s="1549"/>
      <c r="R84" s="1549"/>
      <c r="S84" s="1549"/>
      <c r="T84" s="1549"/>
      <c r="U84" s="1549"/>
      <c r="V84" s="1549"/>
      <c r="W84" s="1549"/>
      <c r="X84" s="1549"/>
      <c r="Y84" s="1549"/>
      <c r="Z84" s="1549"/>
      <c r="AA84" s="1549"/>
      <c r="AB84" s="1549"/>
      <c r="AC84" s="1549"/>
      <c r="AD84" s="1549"/>
      <c r="AE84" s="1549"/>
      <c r="AF84" s="1549"/>
      <c r="AG84" s="1549"/>
      <c r="AH84" s="1549"/>
    </row>
    <row r="85" spans="1:34" ht="12.75" customHeight="1" x14ac:dyDescent="0.2">
      <c r="A85" s="1549"/>
      <c r="B85" s="1549"/>
      <c r="C85" s="1549"/>
      <c r="D85" s="1549"/>
      <c r="E85" s="1549"/>
      <c r="F85" s="1549"/>
      <c r="G85" s="1549"/>
      <c r="H85" s="1549"/>
      <c r="I85" s="1549"/>
      <c r="J85" s="1549"/>
      <c r="K85" s="1549"/>
      <c r="L85" s="1549"/>
      <c r="M85" s="1549"/>
      <c r="N85" s="1549"/>
      <c r="O85" s="1549"/>
      <c r="P85" s="1549"/>
      <c r="Q85" s="1549"/>
      <c r="R85" s="1549"/>
      <c r="S85" s="1549"/>
      <c r="T85" s="1549"/>
      <c r="U85" s="1549"/>
      <c r="V85" s="1549"/>
      <c r="W85" s="1549"/>
      <c r="X85" s="1549"/>
      <c r="Y85" s="1549"/>
      <c r="Z85" s="1549"/>
      <c r="AA85" s="1549"/>
      <c r="AB85" s="1549"/>
      <c r="AC85" s="1549"/>
      <c r="AD85" s="1549"/>
      <c r="AE85" s="1549"/>
      <c r="AF85" s="1549"/>
      <c r="AG85" s="1549"/>
      <c r="AH85" s="1549"/>
    </row>
    <row r="86" spans="1:34" ht="12.75" customHeight="1" x14ac:dyDescent="0.2">
      <c r="A86" s="1549"/>
      <c r="B86" s="1549"/>
      <c r="C86" s="1549"/>
      <c r="D86" s="1549"/>
      <c r="E86" s="1549"/>
      <c r="F86" s="1549"/>
      <c r="G86" s="1549"/>
      <c r="H86" s="1549"/>
      <c r="I86" s="1549"/>
      <c r="J86" s="1549"/>
      <c r="K86" s="1549"/>
      <c r="L86" s="1549"/>
      <c r="M86" s="1549"/>
      <c r="N86" s="1549"/>
      <c r="O86" s="1549"/>
      <c r="P86" s="1549"/>
      <c r="Q86" s="1549"/>
      <c r="R86" s="1549"/>
      <c r="S86" s="1549"/>
      <c r="T86" s="1549"/>
      <c r="U86" s="1549"/>
      <c r="V86" s="1549"/>
      <c r="W86" s="1549"/>
      <c r="X86" s="1549"/>
      <c r="Y86" s="1549"/>
      <c r="Z86" s="1549"/>
      <c r="AA86" s="1549"/>
      <c r="AB86" s="1549"/>
      <c r="AC86" s="1549"/>
      <c r="AD86" s="1549"/>
      <c r="AE86" s="1549"/>
      <c r="AF86" s="1549"/>
      <c r="AG86" s="1549"/>
      <c r="AH86" s="1549"/>
    </row>
    <row r="87" spans="1:34" ht="12.75" customHeight="1" x14ac:dyDescent="0.2">
      <c r="A87" s="1549"/>
      <c r="B87" s="1549"/>
      <c r="C87" s="1549"/>
      <c r="D87" s="1549"/>
      <c r="E87" s="1549"/>
      <c r="F87" s="1549"/>
      <c r="G87" s="1549"/>
      <c r="H87" s="1549"/>
      <c r="I87" s="1549"/>
      <c r="J87" s="1549"/>
      <c r="K87" s="1549"/>
      <c r="L87" s="1549"/>
      <c r="M87" s="1549"/>
      <c r="N87" s="1549"/>
      <c r="O87" s="1549"/>
      <c r="P87" s="1549"/>
      <c r="Q87" s="1549"/>
      <c r="R87" s="1549"/>
      <c r="S87" s="1549"/>
      <c r="T87" s="1549"/>
      <c r="U87" s="1549"/>
      <c r="V87" s="1549"/>
      <c r="W87" s="1549"/>
      <c r="X87" s="1549"/>
      <c r="Y87" s="1549"/>
      <c r="Z87" s="1549"/>
      <c r="AA87" s="1549"/>
      <c r="AB87" s="1549"/>
      <c r="AC87" s="1549"/>
      <c r="AD87" s="1549"/>
      <c r="AE87" s="1549"/>
      <c r="AF87" s="1549"/>
      <c r="AG87" s="1549"/>
      <c r="AH87" s="1549"/>
    </row>
    <row r="88" spans="1:34" ht="12.75" customHeight="1" x14ac:dyDescent="0.2">
      <c r="A88" s="1549"/>
      <c r="B88" s="1549"/>
      <c r="C88" s="1549"/>
      <c r="D88" s="1549"/>
      <c r="E88" s="1549"/>
      <c r="F88" s="1549"/>
      <c r="G88" s="1549"/>
      <c r="H88" s="1549"/>
      <c r="I88" s="1549"/>
      <c r="J88" s="1549"/>
      <c r="K88" s="1549"/>
      <c r="L88" s="1549"/>
      <c r="M88" s="1549"/>
      <c r="N88" s="1549"/>
      <c r="O88" s="1549"/>
      <c r="P88" s="1549"/>
      <c r="Q88" s="1549"/>
      <c r="R88" s="1549"/>
      <c r="S88" s="1549"/>
      <c r="T88" s="1549"/>
      <c r="U88" s="1549"/>
      <c r="V88" s="1549"/>
      <c r="W88" s="1549"/>
      <c r="X88" s="1549"/>
      <c r="Y88" s="1549"/>
      <c r="Z88" s="1549"/>
      <c r="AA88" s="1549"/>
      <c r="AB88" s="1549"/>
      <c r="AC88" s="1549"/>
      <c r="AD88" s="1549"/>
      <c r="AE88" s="1549"/>
      <c r="AF88" s="1549"/>
      <c r="AG88" s="1549"/>
      <c r="AH88" s="1549"/>
    </row>
    <row r="89" spans="1:34" ht="12.75" customHeight="1" x14ac:dyDescent="0.2">
      <c r="A89" s="1549"/>
      <c r="B89" s="1549"/>
      <c r="C89" s="1549"/>
      <c r="D89" s="1549"/>
      <c r="E89" s="1549"/>
      <c r="F89" s="1549"/>
      <c r="G89" s="1549"/>
      <c r="H89" s="1549"/>
      <c r="I89" s="1549"/>
      <c r="J89" s="1549"/>
      <c r="K89" s="1549"/>
      <c r="L89" s="1549"/>
      <c r="M89" s="1549"/>
      <c r="N89" s="1549"/>
      <c r="O89" s="1549"/>
      <c r="P89" s="1549"/>
      <c r="Q89" s="1549"/>
      <c r="R89" s="1549"/>
      <c r="S89" s="1549"/>
      <c r="T89" s="1549"/>
      <c r="U89" s="1549"/>
      <c r="V89" s="1549"/>
      <c r="W89" s="1549"/>
      <c r="X89" s="1549"/>
      <c r="Y89" s="1549"/>
      <c r="Z89" s="1549"/>
      <c r="AA89" s="1549"/>
      <c r="AB89" s="1549"/>
      <c r="AC89" s="1549"/>
      <c r="AD89" s="1549"/>
      <c r="AE89" s="1549"/>
      <c r="AF89" s="1549"/>
      <c r="AG89" s="1549"/>
      <c r="AH89" s="1549"/>
    </row>
    <row r="90" spans="1:34" ht="12.75" customHeight="1" x14ac:dyDescent="0.2">
      <c r="A90" s="1549"/>
      <c r="B90" s="1549"/>
      <c r="C90" s="1549"/>
      <c r="D90" s="1549"/>
      <c r="E90" s="1549"/>
      <c r="F90" s="1549"/>
      <c r="G90" s="1549"/>
      <c r="H90" s="1549"/>
      <c r="I90" s="1549"/>
      <c r="J90" s="1549"/>
      <c r="K90" s="1549"/>
      <c r="L90" s="1549"/>
      <c r="M90" s="1549"/>
      <c r="N90" s="1549"/>
      <c r="O90" s="1549"/>
      <c r="P90" s="1549"/>
      <c r="Q90" s="1549"/>
      <c r="R90" s="1549"/>
      <c r="S90" s="1549"/>
      <c r="T90" s="1549"/>
      <c r="U90" s="1549"/>
      <c r="V90" s="1549"/>
      <c r="W90" s="1549"/>
      <c r="X90" s="1549"/>
      <c r="Y90" s="1549"/>
      <c r="Z90" s="1549"/>
      <c r="AA90" s="1549"/>
      <c r="AB90" s="1549"/>
      <c r="AC90" s="1549"/>
      <c r="AD90" s="1549"/>
      <c r="AE90" s="1549"/>
      <c r="AF90" s="1549"/>
      <c r="AG90" s="1549"/>
      <c r="AH90" s="1549"/>
    </row>
    <row r="91" spans="1:34" ht="12.75" customHeight="1" x14ac:dyDescent="0.2">
      <c r="A91" s="1549"/>
      <c r="B91" s="1549"/>
      <c r="C91" s="1549"/>
      <c r="D91" s="1549"/>
      <c r="E91" s="1549"/>
      <c r="F91" s="1549"/>
      <c r="G91" s="1549"/>
      <c r="H91" s="1549"/>
      <c r="I91" s="1549"/>
      <c r="J91" s="1549"/>
      <c r="K91" s="1549"/>
      <c r="L91" s="1549"/>
      <c r="M91" s="1549"/>
      <c r="N91" s="1549"/>
      <c r="O91" s="1549"/>
      <c r="P91" s="1549"/>
      <c r="Q91" s="1549"/>
      <c r="R91" s="1549"/>
      <c r="S91" s="1549"/>
      <c r="T91" s="1549"/>
      <c r="U91" s="1549"/>
      <c r="V91" s="1549"/>
      <c r="W91" s="1549"/>
      <c r="X91" s="1549"/>
      <c r="Y91" s="1549"/>
      <c r="Z91" s="1549"/>
      <c r="AA91" s="1549"/>
      <c r="AB91" s="1549"/>
      <c r="AC91" s="1549"/>
      <c r="AD91" s="1549"/>
      <c r="AE91" s="1549"/>
      <c r="AF91" s="1549"/>
      <c r="AG91" s="1549"/>
      <c r="AH91" s="1549"/>
    </row>
    <row r="92" spans="1:34" ht="12.75" customHeight="1" x14ac:dyDescent="0.2">
      <c r="A92" s="1549"/>
      <c r="B92" s="1549"/>
      <c r="C92" s="1549"/>
      <c r="D92" s="1549"/>
      <c r="E92" s="1549"/>
      <c r="F92" s="1549"/>
      <c r="G92" s="1549"/>
      <c r="H92" s="1549"/>
      <c r="I92" s="1549"/>
      <c r="J92" s="1549"/>
      <c r="K92" s="1549"/>
      <c r="L92" s="1549"/>
      <c r="M92" s="1549"/>
      <c r="N92" s="1549"/>
      <c r="O92" s="1549"/>
      <c r="P92" s="1549"/>
      <c r="Q92" s="1549"/>
      <c r="R92" s="1549"/>
      <c r="S92" s="1549"/>
      <c r="T92" s="1549"/>
      <c r="U92" s="1549"/>
      <c r="V92" s="1549"/>
      <c r="W92" s="1549"/>
      <c r="X92" s="1549"/>
      <c r="Y92" s="1549"/>
      <c r="Z92" s="1549"/>
      <c r="AA92" s="1549"/>
      <c r="AB92" s="1549"/>
      <c r="AC92" s="1549"/>
      <c r="AD92" s="1549"/>
      <c r="AE92" s="1549"/>
      <c r="AF92" s="1549"/>
      <c r="AG92" s="1549"/>
      <c r="AH92" s="1549"/>
    </row>
    <row r="93" spans="1:34" ht="12.75" customHeight="1" x14ac:dyDescent="0.2">
      <c r="A93" s="1549"/>
      <c r="B93" s="1549"/>
      <c r="C93" s="1549"/>
      <c r="D93" s="1549"/>
      <c r="E93" s="1549"/>
      <c r="F93" s="1549"/>
      <c r="G93" s="1549"/>
      <c r="H93" s="1549"/>
      <c r="I93" s="1549"/>
      <c r="J93" s="1549"/>
      <c r="K93" s="1549"/>
      <c r="L93" s="1549"/>
      <c r="M93" s="1549"/>
      <c r="N93" s="1549"/>
      <c r="O93" s="1549"/>
      <c r="P93" s="1549"/>
      <c r="Q93" s="1549"/>
      <c r="R93" s="1549"/>
      <c r="S93" s="1549"/>
      <c r="T93" s="1549"/>
      <c r="U93" s="1549"/>
      <c r="V93" s="1549"/>
      <c r="W93" s="1549"/>
      <c r="X93" s="1549"/>
      <c r="Y93" s="1549"/>
      <c r="Z93" s="1549"/>
      <c r="AA93" s="1549"/>
      <c r="AB93" s="1549"/>
      <c r="AC93" s="1549"/>
      <c r="AD93" s="1549"/>
      <c r="AE93" s="1549"/>
      <c r="AF93" s="1549"/>
      <c r="AG93" s="1549"/>
      <c r="AH93" s="1549"/>
    </row>
    <row r="94" spans="1:34" ht="12.75" customHeight="1" x14ac:dyDescent="0.2">
      <c r="A94" s="1549"/>
      <c r="B94" s="1549"/>
      <c r="C94" s="1549"/>
      <c r="D94" s="1549"/>
      <c r="E94" s="1549"/>
      <c r="F94" s="1549"/>
      <c r="G94" s="1549"/>
      <c r="H94" s="1549"/>
      <c r="I94" s="1549"/>
      <c r="J94" s="1549"/>
      <c r="K94" s="1549"/>
      <c r="L94" s="1549"/>
      <c r="M94" s="1549"/>
      <c r="N94" s="1549"/>
      <c r="O94" s="1549"/>
      <c r="P94" s="1549"/>
      <c r="Q94" s="1549"/>
      <c r="R94" s="1549"/>
      <c r="S94" s="1549"/>
      <c r="T94" s="1549"/>
      <c r="U94" s="1549"/>
      <c r="V94" s="1549"/>
      <c r="W94" s="1549"/>
      <c r="X94" s="1549"/>
      <c r="Y94" s="1549"/>
      <c r="Z94" s="1549"/>
      <c r="AA94" s="1549"/>
      <c r="AB94" s="1549"/>
      <c r="AC94" s="1549"/>
      <c r="AD94" s="1549"/>
      <c r="AE94" s="1549"/>
      <c r="AF94" s="1549"/>
      <c r="AG94" s="1549"/>
      <c r="AH94" s="1549"/>
    </row>
    <row r="95" spans="1:34" ht="12.75" customHeight="1" x14ac:dyDescent="0.2">
      <c r="A95" s="1549"/>
      <c r="B95" s="1549"/>
      <c r="C95" s="1549"/>
      <c r="D95" s="1549"/>
      <c r="E95" s="1549"/>
      <c r="F95" s="1549"/>
      <c r="G95" s="1549"/>
      <c r="H95" s="1549"/>
      <c r="I95" s="1549"/>
      <c r="J95" s="1549"/>
      <c r="K95" s="1549"/>
      <c r="L95" s="1549"/>
      <c r="M95" s="1549"/>
      <c r="N95" s="1549"/>
      <c r="O95" s="1549"/>
      <c r="P95" s="1549"/>
      <c r="Q95" s="1549"/>
      <c r="R95" s="1549"/>
      <c r="S95" s="1549"/>
      <c r="T95" s="1549"/>
      <c r="U95" s="1549"/>
      <c r="V95" s="1549"/>
      <c r="W95" s="1549"/>
      <c r="X95" s="1549"/>
      <c r="Y95" s="1549"/>
      <c r="Z95" s="1549"/>
      <c r="AA95" s="1549"/>
      <c r="AB95" s="1549"/>
      <c r="AC95" s="1549"/>
      <c r="AD95" s="1549"/>
      <c r="AE95" s="1549"/>
      <c r="AF95" s="1549"/>
      <c r="AG95" s="1549"/>
      <c r="AH95" s="1549"/>
    </row>
    <row r="96" spans="1:34" ht="12.75" customHeight="1" x14ac:dyDescent="0.2">
      <c r="A96" s="1549"/>
      <c r="B96" s="1549"/>
      <c r="C96" s="1549"/>
      <c r="D96" s="1549"/>
      <c r="E96" s="1549"/>
      <c r="F96" s="1549"/>
      <c r="G96" s="1549"/>
      <c r="H96" s="1549"/>
      <c r="I96" s="1549"/>
      <c r="J96" s="1549"/>
      <c r="K96" s="1549"/>
      <c r="L96" s="1549"/>
      <c r="M96" s="1549"/>
      <c r="N96" s="1549"/>
      <c r="O96" s="1549"/>
      <c r="P96" s="1549"/>
      <c r="Q96" s="1549"/>
      <c r="R96" s="1549"/>
      <c r="S96" s="1549"/>
      <c r="T96" s="1549"/>
      <c r="U96" s="1549"/>
      <c r="V96" s="1549"/>
      <c r="W96" s="1549"/>
      <c r="X96" s="1549"/>
      <c r="Y96" s="1549"/>
      <c r="Z96" s="1549"/>
      <c r="AA96" s="1549"/>
      <c r="AB96" s="1549"/>
      <c r="AC96" s="1549"/>
      <c r="AD96" s="1549"/>
      <c r="AE96" s="1549"/>
      <c r="AF96" s="1549"/>
      <c r="AG96" s="1549"/>
      <c r="AH96" s="1549"/>
    </row>
    <row r="97" spans="1:34" ht="12.75" customHeight="1" x14ac:dyDescent="0.2">
      <c r="A97" s="1549"/>
      <c r="B97" s="1549"/>
      <c r="C97" s="1549"/>
      <c r="D97" s="1549"/>
      <c r="E97" s="1549"/>
      <c r="F97" s="1549"/>
      <c r="G97" s="1549"/>
      <c r="H97" s="1549"/>
      <c r="I97" s="1549"/>
      <c r="J97" s="1549"/>
      <c r="K97" s="1549"/>
      <c r="L97" s="1549"/>
      <c r="M97" s="1549"/>
      <c r="N97" s="1549"/>
      <c r="O97" s="1549"/>
      <c r="P97" s="1549"/>
      <c r="Q97" s="1549"/>
      <c r="R97" s="1549"/>
      <c r="S97" s="1549"/>
      <c r="T97" s="1549"/>
      <c r="U97" s="1549"/>
      <c r="V97" s="1549"/>
      <c r="W97" s="1549"/>
      <c r="X97" s="1549"/>
      <c r="Y97" s="1549"/>
      <c r="Z97" s="1549"/>
      <c r="AA97" s="1549"/>
      <c r="AB97" s="1549"/>
      <c r="AC97" s="1549"/>
      <c r="AD97" s="1549"/>
      <c r="AE97" s="1549"/>
      <c r="AF97" s="1549"/>
      <c r="AG97" s="1549"/>
      <c r="AH97" s="1549"/>
    </row>
    <row r="98" spans="1:34" ht="12.75" customHeight="1" x14ac:dyDescent="0.2">
      <c r="A98" s="1549"/>
      <c r="B98" s="1549"/>
      <c r="C98" s="1549"/>
      <c r="D98" s="1549"/>
      <c r="E98" s="1549"/>
      <c r="F98" s="1549"/>
      <c r="G98" s="1549"/>
      <c r="H98" s="1549"/>
      <c r="I98" s="1549"/>
      <c r="J98" s="1549"/>
      <c r="K98" s="1549"/>
      <c r="L98" s="1549"/>
      <c r="M98" s="1549"/>
      <c r="N98" s="1549"/>
      <c r="O98" s="1549"/>
      <c r="P98" s="1549"/>
      <c r="Q98" s="1549"/>
      <c r="R98" s="1549"/>
      <c r="S98" s="1549"/>
      <c r="T98" s="1549"/>
      <c r="U98" s="1549"/>
      <c r="V98" s="1549"/>
      <c r="W98" s="1549"/>
      <c r="X98" s="1549"/>
      <c r="Y98" s="1549"/>
      <c r="Z98" s="1549"/>
      <c r="AA98" s="1549"/>
      <c r="AB98" s="1549"/>
      <c r="AC98" s="1549"/>
      <c r="AD98" s="1549"/>
      <c r="AE98" s="1549"/>
      <c r="AF98" s="1549"/>
      <c r="AG98" s="1549"/>
      <c r="AH98" s="1549"/>
    </row>
    <row r="99" spans="1:34" ht="12.75" customHeight="1" x14ac:dyDescent="0.2">
      <c r="A99" s="1549"/>
      <c r="B99" s="1549"/>
      <c r="C99" s="1549"/>
      <c r="D99" s="1549"/>
      <c r="E99" s="1549"/>
      <c r="F99" s="1549"/>
      <c r="G99" s="1549"/>
      <c r="H99" s="1549"/>
      <c r="I99" s="1549"/>
      <c r="J99" s="1549"/>
      <c r="K99" s="1549"/>
      <c r="L99" s="1549"/>
      <c r="M99" s="1549"/>
      <c r="N99" s="1549"/>
      <c r="O99" s="1549"/>
      <c r="P99" s="1549"/>
      <c r="Q99" s="1549"/>
      <c r="R99" s="1549"/>
      <c r="S99" s="1549"/>
      <c r="T99" s="1549"/>
      <c r="U99" s="1549"/>
      <c r="V99" s="1549"/>
      <c r="W99" s="1549"/>
      <c r="X99" s="1549"/>
      <c r="Y99" s="1549"/>
      <c r="Z99" s="1549"/>
      <c r="AA99" s="1549"/>
      <c r="AB99" s="1549"/>
      <c r="AC99" s="1549"/>
      <c r="AD99" s="1549"/>
      <c r="AE99" s="1549"/>
      <c r="AF99" s="1549"/>
      <c r="AG99" s="1549"/>
      <c r="AH99" s="1549"/>
    </row>
    <row r="100" spans="1:34" ht="12.75" customHeight="1" x14ac:dyDescent="0.2">
      <c r="A100" s="1549"/>
      <c r="B100" s="1549"/>
      <c r="C100" s="1549"/>
      <c r="D100" s="1549"/>
      <c r="E100" s="1549"/>
      <c r="F100" s="1549"/>
      <c r="G100" s="1549"/>
      <c r="H100" s="1549"/>
      <c r="I100" s="1549"/>
      <c r="J100" s="1549"/>
      <c r="K100" s="1549"/>
      <c r="L100" s="1549"/>
      <c r="M100" s="1549"/>
      <c r="N100" s="1549"/>
      <c r="O100" s="1549"/>
      <c r="P100" s="1549"/>
      <c r="Q100" s="1549"/>
      <c r="R100" s="1549"/>
      <c r="S100" s="1549"/>
      <c r="T100" s="1549"/>
      <c r="U100" s="1549"/>
      <c r="V100" s="1549"/>
      <c r="W100" s="1549"/>
      <c r="X100" s="1549"/>
      <c r="Y100" s="1549"/>
      <c r="Z100" s="1549"/>
      <c r="AA100" s="1549"/>
      <c r="AB100" s="1549"/>
      <c r="AC100" s="1549"/>
      <c r="AD100" s="1549"/>
      <c r="AE100" s="1549"/>
      <c r="AF100" s="1549"/>
      <c r="AG100" s="1549"/>
      <c r="AH100" s="1549"/>
    </row>
    <row r="101" spans="1:34" ht="12.75" customHeight="1" x14ac:dyDescent="0.2">
      <c r="A101" s="1549"/>
      <c r="B101" s="1549"/>
      <c r="C101" s="1549"/>
      <c r="D101" s="1549"/>
      <c r="E101" s="1549"/>
      <c r="F101" s="1549"/>
      <c r="G101" s="1549"/>
      <c r="H101" s="1549"/>
      <c r="I101" s="1549"/>
      <c r="J101" s="1549"/>
      <c r="K101" s="1549"/>
      <c r="L101" s="1549"/>
      <c r="M101" s="1549"/>
      <c r="N101" s="1549"/>
      <c r="O101" s="1549"/>
      <c r="P101" s="1549"/>
      <c r="Q101" s="1549"/>
      <c r="R101" s="1549"/>
      <c r="S101" s="1549"/>
      <c r="T101" s="1549"/>
      <c r="U101" s="1549"/>
      <c r="V101" s="1549"/>
      <c r="W101" s="1549"/>
      <c r="X101" s="1549"/>
      <c r="Y101" s="1549"/>
      <c r="Z101" s="1549"/>
      <c r="AA101" s="1549"/>
      <c r="AB101" s="1549"/>
      <c r="AC101" s="1549"/>
      <c r="AD101" s="1549"/>
      <c r="AE101" s="1549"/>
      <c r="AF101" s="1549"/>
      <c r="AG101" s="1549"/>
      <c r="AH101" s="1549"/>
    </row>
    <row r="102" spans="1:34" ht="12.75" customHeight="1" x14ac:dyDescent="0.2">
      <c r="A102" s="1549"/>
      <c r="B102" s="1549"/>
      <c r="C102" s="1549"/>
      <c r="D102" s="1549"/>
      <c r="E102" s="1549"/>
      <c r="F102" s="1549"/>
      <c r="G102" s="1549"/>
      <c r="H102" s="1549"/>
      <c r="I102" s="1549"/>
      <c r="J102" s="1549"/>
      <c r="K102" s="1549"/>
      <c r="L102" s="1549"/>
      <c r="M102" s="1549"/>
      <c r="N102" s="1549"/>
      <c r="O102" s="1549"/>
      <c r="P102" s="1549"/>
      <c r="Q102" s="1549"/>
      <c r="R102" s="1549"/>
      <c r="S102" s="1549"/>
      <c r="T102" s="1549"/>
      <c r="U102" s="1549"/>
      <c r="V102" s="1549"/>
      <c r="W102" s="1549"/>
      <c r="X102" s="1549"/>
      <c r="Y102" s="1549"/>
      <c r="Z102" s="1549"/>
      <c r="AA102" s="1549"/>
      <c r="AB102" s="1549"/>
      <c r="AC102" s="1549"/>
      <c r="AD102" s="1549"/>
      <c r="AE102" s="1549"/>
      <c r="AF102" s="1549"/>
      <c r="AG102" s="1549"/>
      <c r="AH102" s="1549"/>
    </row>
    <row r="103" spans="1:34" ht="12.75" customHeight="1" x14ac:dyDescent="0.2">
      <c r="A103" s="1549"/>
      <c r="B103" s="1549"/>
      <c r="C103" s="1549"/>
      <c r="D103" s="1549"/>
      <c r="E103" s="1549"/>
      <c r="F103" s="1549"/>
      <c r="G103" s="1549"/>
      <c r="H103" s="1549"/>
      <c r="I103" s="1549"/>
      <c r="J103" s="1549"/>
      <c r="K103" s="1549"/>
      <c r="L103" s="1549"/>
      <c r="M103" s="1549"/>
      <c r="N103" s="1549"/>
      <c r="O103" s="1549"/>
      <c r="P103" s="1549"/>
      <c r="Q103" s="1549"/>
      <c r="R103" s="1549"/>
      <c r="S103" s="1549"/>
      <c r="T103" s="1549"/>
      <c r="U103" s="1549"/>
      <c r="V103" s="1549"/>
      <c r="W103" s="1549"/>
      <c r="X103" s="1549"/>
      <c r="Y103" s="1549"/>
      <c r="Z103" s="1549"/>
      <c r="AA103" s="1549"/>
      <c r="AB103" s="1549"/>
      <c r="AC103" s="1549"/>
      <c r="AD103" s="1549"/>
      <c r="AE103" s="1549"/>
      <c r="AF103" s="1549"/>
      <c r="AG103" s="1549"/>
      <c r="AH103" s="1549"/>
    </row>
    <row r="104" spans="1:34" ht="12.75" customHeight="1" x14ac:dyDescent="0.2">
      <c r="A104" s="1549"/>
      <c r="B104" s="1549"/>
      <c r="C104" s="1549"/>
      <c r="D104" s="1549"/>
      <c r="E104" s="1549"/>
      <c r="F104" s="1549"/>
      <c r="G104" s="1549"/>
      <c r="H104" s="1549"/>
      <c r="I104" s="1549"/>
      <c r="J104" s="1549"/>
      <c r="K104" s="1549"/>
      <c r="L104" s="1549"/>
      <c r="M104" s="1549"/>
      <c r="N104" s="1549"/>
      <c r="O104" s="1549"/>
      <c r="P104" s="1549"/>
      <c r="Q104" s="1549"/>
      <c r="R104" s="1549"/>
      <c r="S104" s="1549"/>
      <c r="T104" s="1549"/>
      <c r="U104" s="1549"/>
      <c r="V104" s="1549"/>
      <c r="W104" s="1549"/>
      <c r="X104" s="1549"/>
      <c r="Y104" s="1549"/>
      <c r="Z104" s="1549"/>
      <c r="AA104" s="1549"/>
      <c r="AB104" s="1549"/>
      <c r="AC104" s="1549"/>
      <c r="AD104" s="1549"/>
      <c r="AE104" s="1549"/>
      <c r="AF104" s="1549"/>
      <c r="AG104" s="1549"/>
      <c r="AH104" s="1549"/>
    </row>
    <row r="105" spans="1:34" ht="12.75" customHeight="1" x14ac:dyDescent="0.2">
      <c r="A105" s="1549"/>
      <c r="B105" s="1549"/>
      <c r="C105" s="1549"/>
      <c r="D105" s="1549"/>
      <c r="E105" s="1549"/>
      <c r="F105" s="1549"/>
      <c r="G105" s="1549"/>
      <c r="H105" s="1549"/>
      <c r="I105" s="1549"/>
      <c r="J105" s="1549"/>
      <c r="K105" s="1549"/>
      <c r="L105" s="1549"/>
      <c r="M105" s="1549"/>
      <c r="N105" s="1549"/>
      <c r="O105" s="1549"/>
      <c r="P105" s="1549"/>
      <c r="Q105" s="1549"/>
      <c r="R105" s="1549"/>
      <c r="S105" s="1549"/>
      <c r="T105" s="1549"/>
      <c r="U105" s="1549"/>
      <c r="V105" s="1549"/>
      <c r="W105" s="1549"/>
      <c r="X105" s="1549"/>
      <c r="Y105" s="1549"/>
      <c r="Z105" s="1549"/>
      <c r="AA105" s="1549"/>
      <c r="AB105" s="1549"/>
      <c r="AC105" s="1549"/>
      <c r="AD105" s="1549"/>
      <c r="AE105" s="1549"/>
      <c r="AF105" s="1549"/>
      <c r="AG105" s="1549"/>
      <c r="AH105" s="1549"/>
    </row>
    <row r="106" spans="1:34" ht="12.75" customHeight="1" x14ac:dyDescent="0.2">
      <c r="A106" s="1549"/>
      <c r="B106" s="1549"/>
      <c r="C106" s="1549"/>
      <c r="D106" s="1549"/>
      <c r="E106" s="1549"/>
      <c r="F106" s="1549"/>
      <c r="G106" s="1549"/>
      <c r="H106" s="1549"/>
      <c r="I106" s="1549"/>
      <c r="J106" s="1549"/>
      <c r="K106" s="1549"/>
      <c r="L106" s="1549"/>
      <c r="M106" s="1549"/>
      <c r="N106" s="1549"/>
      <c r="O106" s="1549"/>
      <c r="P106" s="1549"/>
      <c r="Q106" s="1549"/>
      <c r="R106" s="1549"/>
      <c r="S106" s="1549"/>
      <c r="T106" s="1549"/>
      <c r="U106" s="1549"/>
      <c r="V106" s="1549"/>
      <c r="W106" s="1549"/>
      <c r="X106" s="1549"/>
      <c r="Y106" s="1549"/>
      <c r="Z106" s="1549"/>
      <c r="AA106" s="1549"/>
      <c r="AB106" s="1549"/>
      <c r="AC106" s="1549"/>
      <c r="AD106" s="1549"/>
      <c r="AE106" s="1549"/>
      <c r="AF106" s="1549"/>
      <c r="AG106" s="1549"/>
      <c r="AH106" s="1549"/>
    </row>
    <row r="107" spans="1:34" ht="12.75" customHeight="1" x14ac:dyDescent="0.2">
      <c r="A107" s="1549"/>
      <c r="B107" s="1549"/>
      <c r="C107" s="1549"/>
      <c r="D107" s="1549"/>
      <c r="E107" s="1549"/>
      <c r="F107" s="1549"/>
      <c r="G107" s="1549"/>
      <c r="H107" s="1549"/>
      <c r="I107" s="1549"/>
      <c r="J107" s="1549"/>
      <c r="K107" s="1549"/>
      <c r="L107" s="1549"/>
      <c r="M107" s="1549"/>
      <c r="N107" s="1549"/>
      <c r="O107" s="1549"/>
      <c r="P107" s="1549"/>
      <c r="Q107" s="1549"/>
      <c r="R107" s="1549"/>
      <c r="S107" s="1549"/>
      <c r="T107" s="1549"/>
      <c r="U107" s="1549"/>
      <c r="V107" s="1549"/>
      <c r="W107" s="1549"/>
      <c r="X107" s="1549"/>
      <c r="Y107" s="1549"/>
      <c r="Z107" s="1549"/>
      <c r="AA107" s="1549"/>
      <c r="AB107" s="1549"/>
      <c r="AC107" s="1549"/>
      <c r="AD107" s="1549"/>
      <c r="AE107" s="1549"/>
      <c r="AF107" s="1549"/>
      <c r="AG107" s="1549"/>
      <c r="AH107" s="1549"/>
    </row>
    <row r="108" spans="1:34" ht="12.75" customHeight="1" x14ac:dyDescent="0.2">
      <c r="A108" s="1549"/>
      <c r="B108" s="1549"/>
      <c r="C108" s="1549"/>
      <c r="D108" s="1549"/>
      <c r="E108" s="1549"/>
      <c r="F108" s="1549"/>
      <c r="G108" s="1549"/>
      <c r="H108" s="1549"/>
      <c r="I108" s="1549"/>
      <c r="J108" s="1549"/>
      <c r="K108" s="1549"/>
      <c r="L108" s="1549"/>
      <c r="M108" s="1549"/>
      <c r="N108" s="1549"/>
      <c r="O108" s="1549"/>
      <c r="P108" s="1549"/>
      <c r="Q108" s="1549"/>
      <c r="R108" s="1549"/>
      <c r="S108" s="1549"/>
      <c r="T108" s="1549"/>
      <c r="U108" s="1549"/>
      <c r="V108" s="1549"/>
      <c r="W108" s="1549"/>
      <c r="X108" s="1549"/>
      <c r="Y108" s="1549"/>
      <c r="Z108" s="1549"/>
      <c r="AA108" s="1549"/>
      <c r="AB108" s="1549"/>
      <c r="AC108" s="1549"/>
      <c r="AD108" s="1549"/>
      <c r="AE108" s="1549"/>
      <c r="AF108" s="1549"/>
      <c r="AG108" s="1549"/>
      <c r="AH108" s="1549"/>
    </row>
    <row r="109" spans="1:34" ht="12.75" customHeight="1" x14ac:dyDescent="0.2">
      <c r="A109" s="1549"/>
      <c r="B109" s="1549"/>
      <c r="C109" s="1549"/>
      <c r="D109" s="1549"/>
      <c r="E109" s="1549"/>
      <c r="F109" s="1549"/>
      <c r="G109" s="1549"/>
      <c r="H109" s="1549"/>
      <c r="I109" s="1549"/>
      <c r="J109" s="1549"/>
      <c r="K109" s="1549"/>
      <c r="L109" s="1549"/>
      <c r="M109" s="1549"/>
      <c r="N109" s="1549"/>
      <c r="O109" s="1549"/>
      <c r="P109" s="1549"/>
      <c r="Q109" s="1549"/>
      <c r="R109" s="1549"/>
      <c r="S109" s="1549"/>
      <c r="T109" s="1549"/>
      <c r="U109" s="1549"/>
      <c r="V109" s="1549"/>
      <c r="W109" s="1549"/>
      <c r="X109" s="1549"/>
      <c r="Y109" s="1549"/>
      <c r="Z109" s="1549"/>
      <c r="AA109" s="1549"/>
      <c r="AB109" s="1549"/>
      <c r="AC109" s="1549"/>
      <c r="AD109" s="1549"/>
      <c r="AE109" s="1549"/>
      <c r="AF109" s="1549"/>
      <c r="AG109" s="1549"/>
      <c r="AH109" s="1549"/>
    </row>
    <row r="110" spans="1:34" ht="12.75" customHeight="1" x14ac:dyDescent="0.2">
      <c r="A110" s="1549"/>
      <c r="B110" s="1549"/>
      <c r="C110" s="1549"/>
      <c r="D110" s="1549"/>
      <c r="E110" s="1549"/>
      <c r="F110" s="1549"/>
      <c r="G110" s="1549"/>
      <c r="H110" s="1549"/>
      <c r="I110" s="1549"/>
      <c r="J110" s="1549"/>
      <c r="K110" s="1549"/>
      <c r="L110" s="1549"/>
      <c r="M110" s="1549"/>
      <c r="N110" s="1549"/>
      <c r="O110" s="1549"/>
      <c r="P110" s="1549"/>
      <c r="Q110" s="1549"/>
      <c r="R110" s="1549"/>
      <c r="S110" s="1549"/>
      <c r="T110" s="1549"/>
      <c r="U110" s="1549"/>
      <c r="V110" s="1549"/>
      <c r="W110" s="1549"/>
      <c r="X110" s="1549"/>
      <c r="Y110" s="1549"/>
      <c r="Z110" s="1549"/>
      <c r="AA110" s="1549"/>
      <c r="AB110" s="1549"/>
      <c r="AC110" s="1549"/>
      <c r="AD110" s="1549"/>
      <c r="AE110" s="1549"/>
      <c r="AF110" s="1549"/>
      <c r="AG110" s="1549"/>
      <c r="AH110" s="1549"/>
    </row>
    <row r="111" spans="1:34" ht="12.75" customHeight="1" x14ac:dyDescent="0.2">
      <c r="A111" s="1549"/>
      <c r="B111" s="1549"/>
      <c r="C111" s="1549"/>
      <c r="D111" s="1549"/>
      <c r="E111" s="1549"/>
      <c r="F111" s="1549"/>
      <c r="G111" s="1549"/>
      <c r="H111" s="1549"/>
      <c r="I111" s="1549"/>
      <c r="J111" s="1549"/>
      <c r="K111" s="1549"/>
      <c r="L111" s="1549"/>
      <c r="M111" s="1549"/>
      <c r="N111" s="1549"/>
      <c r="O111" s="1549"/>
      <c r="P111" s="1549"/>
      <c r="Q111" s="1549"/>
      <c r="R111" s="1549"/>
      <c r="S111" s="1549"/>
      <c r="T111" s="1549"/>
      <c r="U111" s="1549"/>
      <c r="V111" s="1549"/>
      <c r="W111" s="1549"/>
      <c r="X111" s="1549"/>
      <c r="Y111" s="1549"/>
      <c r="Z111" s="1549"/>
      <c r="AA111" s="1549"/>
      <c r="AB111" s="1549"/>
      <c r="AC111" s="1549"/>
      <c r="AD111" s="1549"/>
      <c r="AE111" s="1549"/>
      <c r="AF111" s="1549"/>
      <c r="AG111" s="1549"/>
      <c r="AH111" s="1549"/>
    </row>
    <row r="112" spans="1:34" ht="12.75" customHeight="1" x14ac:dyDescent="0.2">
      <c r="A112" s="1549"/>
      <c r="B112" s="1549"/>
      <c r="C112" s="1549"/>
      <c r="D112" s="1549"/>
      <c r="E112" s="1549"/>
      <c r="F112" s="1549"/>
      <c r="G112" s="1549"/>
      <c r="H112" s="1549"/>
      <c r="I112" s="1549"/>
      <c r="J112" s="1549"/>
      <c r="K112" s="1549"/>
      <c r="L112" s="1549"/>
      <c r="M112" s="1549"/>
      <c r="N112" s="1549"/>
      <c r="O112" s="1549"/>
      <c r="P112" s="1549"/>
      <c r="Q112" s="1549"/>
      <c r="R112" s="1549"/>
      <c r="S112" s="1549"/>
      <c r="T112" s="1549"/>
      <c r="U112" s="1549"/>
      <c r="V112" s="1549"/>
      <c r="W112" s="1549"/>
      <c r="X112" s="1549"/>
      <c r="Y112" s="1549"/>
      <c r="Z112" s="1549"/>
      <c r="AA112" s="1549"/>
      <c r="AB112" s="1549"/>
      <c r="AC112" s="1549"/>
      <c r="AD112" s="1549"/>
      <c r="AE112" s="1549"/>
      <c r="AF112" s="1549"/>
      <c r="AG112" s="1549"/>
      <c r="AH112" s="1549"/>
    </row>
    <row r="113" spans="1:34" ht="12.75" customHeight="1" x14ac:dyDescent="0.2">
      <c r="A113" s="1549"/>
      <c r="B113" s="1549"/>
      <c r="C113" s="1549"/>
      <c r="D113" s="1549"/>
      <c r="E113" s="1549"/>
      <c r="F113" s="1549"/>
      <c r="G113" s="1549"/>
      <c r="H113" s="1549"/>
      <c r="I113" s="1549"/>
      <c r="J113" s="1549"/>
      <c r="K113" s="1549"/>
      <c r="L113" s="1549"/>
      <c r="M113" s="1549"/>
      <c r="N113" s="1549"/>
      <c r="O113" s="1549"/>
      <c r="P113" s="1549"/>
      <c r="Q113" s="1549"/>
      <c r="R113" s="1549"/>
      <c r="S113" s="1549"/>
      <c r="T113" s="1549"/>
      <c r="U113" s="1549"/>
      <c r="V113" s="1549"/>
      <c r="W113" s="1549"/>
      <c r="X113" s="1549"/>
      <c r="Y113" s="1549"/>
      <c r="Z113" s="1549"/>
      <c r="AA113" s="1549"/>
      <c r="AB113" s="1549"/>
      <c r="AC113" s="1549"/>
      <c r="AD113" s="1549"/>
      <c r="AE113" s="1549"/>
      <c r="AF113" s="1549"/>
      <c r="AG113" s="1549"/>
      <c r="AH113" s="1549"/>
    </row>
    <row r="114" spans="1:34" ht="12.75" customHeight="1" x14ac:dyDescent="0.2">
      <c r="A114" s="1549"/>
      <c r="B114" s="1549"/>
      <c r="C114" s="1549"/>
      <c r="D114" s="1549"/>
      <c r="E114" s="1549"/>
      <c r="F114" s="1549"/>
      <c r="G114" s="1549"/>
      <c r="H114" s="1549"/>
      <c r="I114" s="1549"/>
      <c r="J114" s="1549"/>
      <c r="K114" s="1549"/>
      <c r="L114" s="1549"/>
      <c r="M114" s="1549"/>
      <c r="N114" s="1549"/>
      <c r="O114" s="1549"/>
      <c r="P114" s="1549"/>
      <c r="Q114" s="1549"/>
      <c r="R114" s="1549"/>
      <c r="S114" s="1549"/>
      <c r="T114" s="1549"/>
      <c r="U114" s="1549"/>
      <c r="V114" s="1549"/>
      <c r="W114" s="1549"/>
      <c r="X114" s="1549"/>
      <c r="Y114" s="1549"/>
      <c r="Z114" s="1549"/>
      <c r="AA114" s="1549"/>
      <c r="AB114" s="1549"/>
      <c r="AC114" s="1549"/>
      <c r="AD114" s="1549"/>
      <c r="AE114" s="1549"/>
      <c r="AF114" s="1549"/>
      <c r="AG114" s="1549"/>
      <c r="AH114" s="1549"/>
    </row>
    <row r="115" spans="1:34" ht="12.75" customHeight="1" x14ac:dyDescent="0.2">
      <c r="A115" s="1549"/>
      <c r="B115" s="1549"/>
      <c r="C115" s="1549"/>
      <c r="D115" s="1549"/>
      <c r="E115" s="1549"/>
      <c r="F115" s="1549"/>
      <c r="G115" s="1549"/>
      <c r="H115" s="1549"/>
      <c r="I115" s="1549"/>
      <c r="J115" s="1549"/>
      <c r="K115" s="1549"/>
      <c r="L115" s="1549"/>
      <c r="M115" s="1549"/>
      <c r="N115" s="1549"/>
      <c r="O115" s="1549"/>
      <c r="P115" s="1549"/>
      <c r="Q115" s="1549"/>
      <c r="R115" s="1549"/>
      <c r="S115" s="1549"/>
      <c r="T115" s="1549"/>
      <c r="U115" s="1549"/>
      <c r="V115" s="1549"/>
      <c r="W115" s="1549"/>
      <c r="X115" s="1549"/>
      <c r="Y115" s="1549"/>
      <c r="Z115" s="1549"/>
      <c r="AA115" s="1549"/>
      <c r="AB115" s="1549"/>
      <c r="AC115" s="1549"/>
      <c r="AD115" s="1549"/>
      <c r="AE115" s="1549"/>
      <c r="AF115" s="1549"/>
      <c r="AG115" s="1549"/>
      <c r="AH115" s="1549"/>
    </row>
    <row r="116" spans="1:34" ht="12.75" customHeight="1" x14ac:dyDescent="0.2">
      <c r="A116" s="1549"/>
      <c r="B116" s="1549"/>
      <c r="C116" s="1549"/>
      <c r="D116" s="1549"/>
      <c r="E116" s="1549"/>
      <c r="F116" s="1549"/>
      <c r="G116" s="1549"/>
      <c r="H116" s="1549"/>
      <c r="I116" s="1549"/>
      <c r="J116" s="1549"/>
      <c r="K116" s="1549"/>
      <c r="L116" s="1549"/>
      <c r="M116" s="1549"/>
      <c r="N116" s="1549"/>
      <c r="O116" s="1549"/>
      <c r="P116" s="1549"/>
      <c r="Q116" s="1549"/>
      <c r="R116" s="1549"/>
      <c r="S116" s="1549"/>
      <c r="T116" s="1549"/>
      <c r="U116" s="1549"/>
      <c r="V116" s="1549"/>
      <c r="W116" s="1549"/>
      <c r="X116" s="1549"/>
      <c r="Y116" s="1549"/>
      <c r="Z116" s="1549"/>
      <c r="AA116" s="1549"/>
      <c r="AB116" s="1549"/>
      <c r="AC116" s="1549"/>
      <c r="AD116" s="1549"/>
      <c r="AE116" s="1549"/>
      <c r="AF116" s="1549"/>
      <c r="AG116" s="1549"/>
      <c r="AH116" s="1549"/>
    </row>
    <row r="117" spans="1:34" ht="12.75" customHeight="1" x14ac:dyDescent="0.2">
      <c r="A117" s="1549"/>
      <c r="B117" s="1549"/>
      <c r="C117" s="1549"/>
      <c r="D117" s="1549"/>
      <c r="E117" s="1549"/>
      <c r="F117" s="1549"/>
      <c r="G117" s="1549"/>
      <c r="H117" s="1549"/>
      <c r="I117" s="1549"/>
      <c r="J117" s="1549"/>
      <c r="K117" s="1549"/>
      <c r="L117" s="1549"/>
      <c r="M117" s="1549"/>
      <c r="N117" s="1549"/>
      <c r="O117" s="1549"/>
      <c r="P117" s="1549"/>
      <c r="Q117" s="1549"/>
      <c r="R117" s="1549"/>
      <c r="S117" s="1549"/>
      <c r="T117" s="1549"/>
      <c r="U117" s="1549"/>
      <c r="V117" s="1549"/>
      <c r="W117" s="1549"/>
      <c r="X117" s="1549"/>
      <c r="Y117" s="1549"/>
      <c r="Z117" s="1549"/>
      <c r="AA117" s="1549"/>
      <c r="AB117" s="1549"/>
      <c r="AC117" s="1549"/>
      <c r="AD117" s="1549"/>
      <c r="AE117" s="1549"/>
      <c r="AF117" s="1549"/>
      <c r="AG117" s="1549"/>
      <c r="AH117" s="1549"/>
    </row>
    <row r="118" spans="1:34" ht="12.75" customHeight="1" x14ac:dyDescent="0.2">
      <c r="A118" s="1549"/>
      <c r="B118" s="1549"/>
      <c r="C118" s="1549"/>
      <c r="D118" s="1549"/>
      <c r="E118" s="1549"/>
      <c r="F118" s="1549"/>
      <c r="G118" s="1549"/>
      <c r="H118" s="1549"/>
      <c r="I118" s="1549"/>
      <c r="J118" s="1549"/>
      <c r="K118" s="1549"/>
      <c r="L118" s="1549"/>
      <c r="M118" s="1549"/>
      <c r="N118" s="1549"/>
      <c r="O118" s="1549"/>
      <c r="P118" s="1549"/>
      <c r="Q118" s="1549"/>
      <c r="R118" s="1549"/>
      <c r="S118" s="1549"/>
      <c r="T118" s="1549"/>
      <c r="U118" s="1549"/>
      <c r="V118" s="1549"/>
      <c r="W118" s="1549"/>
      <c r="X118" s="1549"/>
      <c r="Y118" s="1549"/>
      <c r="Z118" s="1549"/>
      <c r="AA118" s="1549"/>
      <c r="AB118" s="1549"/>
      <c r="AC118" s="1549"/>
      <c r="AD118" s="1549"/>
      <c r="AE118" s="1549"/>
      <c r="AF118" s="1549"/>
      <c r="AG118" s="1549"/>
      <c r="AH118" s="1549"/>
    </row>
    <row r="119" spans="1:34" ht="12.75" customHeight="1" x14ac:dyDescent="0.2">
      <c r="A119" s="1549"/>
      <c r="B119" s="1549"/>
      <c r="C119" s="1549"/>
      <c r="D119" s="1549"/>
      <c r="E119" s="1549"/>
      <c r="F119" s="1549"/>
      <c r="G119" s="1549"/>
      <c r="H119" s="1549"/>
      <c r="I119" s="1549"/>
      <c r="J119" s="1549"/>
      <c r="K119" s="1549"/>
      <c r="L119" s="1549"/>
      <c r="M119" s="1549"/>
      <c r="N119" s="1549"/>
      <c r="O119" s="1549"/>
      <c r="P119" s="1549"/>
      <c r="Q119" s="1549"/>
      <c r="R119" s="1549"/>
      <c r="S119" s="1549"/>
      <c r="T119" s="1549"/>
      <c r="U119" s="1549"/>
      <c r="V119" s="1549"/>
      <c r="W119" s="1549"/>
      <c r="X119" s="1549"/>
      <c r="Y119" s="1549"/>
      <c r="Z119" s="1549"/>
      <c r="AA119" s="1549"/>
      <c r="AB119" s="1549"/>
      <c r="AC119" s="1549"/>
      <c r="AD119" s="1549"/>
      <c r="AE119" s="1549"/>
      <c r="AF119" s="1549"/>
      <c r="AG119" s="1549"/>
      <c r="AH119" s="1549"/>
    </row>
    <row r="120" spans="1:34" ht="12.75" customHeight="1" x14ac:dyDescent="0.2">
      <c r="A120" s="1549"/>
      <c r="B120" s="1549"/>
      <c r="C120" s="1549"/>
      <c r="D120" s="1549"/>
      <c r="E120" s="1549"/>
      <c r="F120" s="1549"/>
      <c r="G120" s="1549"/>
      <c r="H120" s="1549"/>
      <c r="I120" s="1549"/>
      <c r="J120" s="1549"/>
      <c r="K120" s="1549"/>
      <c r="L120" s="1549"/>
      <c r="M120" s="1549"/>
      <c r="N120" s="1549"/>
      <c r="O120" s="1549"/>
      <c r="P120" s="1549"/>
      <c r="Q120" s="1549"/>
      <c r="R120" s="1549"/>
      <c r="S120" s="1549"/>
      <c r="T120" s="1549"/>
      <c r="U120" s="1549"/>
      <c r="V120" s="1549"/>
      <c r="W120" s="1549"/>
      <c r="X120" s="1549"/>
      <c r="Y120" s="1549"/>
      <c r="Z120" s="1549"/>
      <c r="AA120" s="1549"/>
      <c r="AB120" s="1549"/>
      <c r="AC120" s="1549"/>
      <c r="AD120" s="1549"/>
      <c r="AE120" s="1549"/>
      <c r="AF120" s="1549"/>
      <c r="AG120" s="1549"/>
      <c r="AH120" s="1549"/>
    </row>
    <row r="121" spans="1:34" ht="12.75" customHeight="1" x14ac:dyDescent="0.2">
      <c r="A121" s="1549"/>
      <c r="B121" s="1549"/>
      <c r="C121" s="1549"/>
      <c r="D121" s="1549"/>
      <c r="E121" s="1549"/>
      <c r="F121" s="1549"/>
      <c r="G121" s="1549"/>
      <c r="H121" s="1549"/>
      <c r="I121" s="1549"/>
      <c r="J121" s="1549"/>
      <c r="K121" s="1549"/>
      <c r="L121" s="1549"/>
      <c r="M121" s="1549"/>
      <c r="N121" s="1549"/>
      <c r="O121" s="1549"/>
      <c r="P121" s="1549"/>
      <c r="Q121" s="1549"/>
      <c r="R121" s="1549"/>
      <c r="S121" s="1549"/>
      <c r="T121" s="1549"/>
      <c r="U121" s="1549"/>
      <c r="V121" s="1549"/>
      <c r="W121" s="1549"/>
      <c r="X121" s="1549"/>
      <c r="Y121" s="1549"/>
      <c r="Z121" s="1549"/>
      <c r="AA121" s="1549"/>
      <c r="AB121" s="1549"/>
      <c r="AC121" s="1549"/>
      <c r="AD121" s="1549"/>
      <c r="AE121" s="1549"/>
      <c r="AF121" s="1549"/>
      <c r="AG121" s="1549"/>
      <c r="AH121" s="1549"/>
    </row>
    <row r="122" spans="1:34" ht="12.75" customHeight="1" x14ac:dyDescent="0.2">
      <c r="A122" s="1549"/>
      <c r="B122" s="1549"/>
      <c r="C122" s="1549"/>
      <c r="D122" s="1549"/>
      <c r="E122" s="1549"/>
      <c r="F122" s="1549"/>
      <c r="G122" s="1549"/>
      <c r="H122" s="1549"/>
      <c r="I122" s="1549"/>
      <c r="J122" s="1549"/>
      <c r="K122" s="1549"/>
      <c r="L122" s="1549"/>
      <c r="M122" s="1549"/>
      <c r="N122" s="1549"/>
      <c r="O122" s="1549"/>
      <c r="P122" s="1549"/>
      <c r="Q122" s="1549"/>
      <c r="R122" s="1549"/>
      <c r="S122" s="1549"/>
      <c r="T122" s="1549"/>
      <c r="U122" s="1549"/>
      <c r="V122" s="1549"/>
      <c r="W122" s="1549"/>
      <c r="X122" s="1549"/>
      <c r="Y122" s="1549"/>
      <c r="Z122" s="1549"/>
      <c r="AA122" s="1549"/>
      <c r="AB122" s="1549"/>
      <c r="AC122" s="1549"/>
      <c r="AD122" s="1549"/>
      <c r="AE122" s="1549"/>
      <c r="AF122" s="1549"/>
      <c r="AG122" s="1549"/>
      <c r="AH122" s="1549"/>
    </row>
    <row r="123" spans="1:34" ht="12.75" customHeight="1" x14ac:dyDescent="0.2">
      <c r="A123" s="1549"/>
      <c r="B123" s="1549"/>
      <c r="C123" s="1549"/>
      <c r="D123" s="1549"/>
      <c r="E123" s="1549"/>
      <c r="F123" s="1549"/>
      <c r="G123" s="1549"/>
      <c r="H123" s="1549"/>
      <c r="I123" s="1549"/>
      <c r="J123" s="1549"/>
      <c r="K123" s="1549"/>
      <c r="L123" s="1549"/>
      <c r="M123" s="1549"/>
      <c r="N123" s="1549"/>
      <c r="O123" s="1549"/>
      <c r="P123" s="1549"/>
      <c r="Q123" s="1549"/>
      <c r="R123" s="1549"/>
      <c r="S123" s="1549"/>
      <c r="T123" s="1549"/>
      <c r="U123" s="1549"/>
      <c r="V123" s="1549"/>
      <c r="W123" s="1549"/>
      <c r="X123" s="1549"/>
      <c r="Y123" s="1549"/>
      <c r="Z123" s="1549"/>
      <c r="AA123" s="1549"/>
      <c r="AB123" s="1549"/>
      <c r="AC123" s="1549"/>
      <c r="AD123" s="1549"/>
      <c r="AE123" s="1549"/>
      <c r="AF123" s="1549"/>
      <c r="AG123" s="1549"/>
      <c r="AH123" s="1549"/>
    </row>
    <row r="124" spans="1:34" ht="12.75" customHeight="1" x14ac:dyDescent="0.2">
      <c r="A124" s="1549"/>
      <c r="B124" s="1549"/>
      <c r="C124" s="1549"/>
      <c r="D124" s="1549"/>
      <c r="E124" s="1549"/>
      <c r="F124" s="1549"/>
      <c r="G124" s="1549"/>
      <c r="H124" s="1549"/>
      <c r="I124" s="1549"/>
      <c r="J124" s="1549"/>
      <c r="K124" s="1549"/>
      <c r="L124" s="1549"/>
      <c r="M124" s="1549"/>
      <c r="N124" s="1549"/>
      <c r="O124" s="1549"/>
      <c r="P124" s="1549"/>
      <c r="Q124" s="1549"/>
      <c r="R124" s="1549"/>
      <c r="S124" s="1549"/>
      <c r="T124" s="1549"/>
      <c r="U124" s="1549"/>
      <c r="V124" s="1549"/>
      <c r="W124" s="1549"/>
      <c r="X124" s="1549"/>
      <c r="Y124" s="1549"/>
      <c r="Z124" s="1549"/>
      <c r="AA124" s="1549"/>
      <c r="AB124" s="1549"/>
      <c r="AC124" s="1549"/>
      <c r="AD124" s="1549"/>
      <c r="AE124" s="1549"/>
      <c r="AF124" s="1549"/>
      <c r="AG124" s="1549"/>
      <c r="AH124" s="1549"/>
    </row>
    <row r="125" spans="1:34" ht="12.75" customHeight="1" x14ac:dyDescent="0.2">
      <c r="A125" s="1549"/>
      <c r="B125" s="1549"/>
      <c r="C125" s="1549"/>
      <c r="D125" s="1549"/>
      <c r="E125" s="1549"/>
      <c r="F125" s="1549"/>
      <c r="G125" s="1549"/>
      <c r="H125" s="1549"/>
      <c r="I125" s="1549"/>
      <c r="J125" s="1549"/>
      <c r="K125" s="1549"/>
      <c r="L125" s="1549"/>
      <c r="M125" s="1549"/>
      <c r="N125" s="1549"/>
      <c r="O125" s="1549"/>
      <c r="P125" s="1549"/>
      <c r="Q125" s="1549"/>
      <c r="R125" s="1549"/>
      <c r="S125" s="1549"/>
      <c r="T125" s="1549"/>
      <c r="U125" s="1549"/>
      <c r="V125" s="1549"/>
      <c r="W125" s="1549"/>
      <c r="X125" s="1549"/>
      <c r="Y125" s="1549"/>
      <c r="Z125" s="1549"/>
      <c r="AA125" s="1549"/>
      <c r="AB125" s="1549"/>
      <c r="AC125" s="1549"/>
      <c r="AD125" s="1549"/>
      <c r="AE125" s="1549"/>
      <c r="AF125" s="1549"/>
      <c r="AG125" s="1549"/>
      <c r="AH125" s="1549"/>
    </row>
    <row r="126" spans="1:34" ht="12.75" customHeight="1" x14ac:dyDescent="0.2">
      <c r="A126" s="1549"/>
      <c r="B126" s="1549"/>
      <c r="C126" s="1549"/>
      <c r="D126" s="1549"/>
      <c r="E126" s="1549"/>
      <c r="F126" s="1549"/>
      <c r="G126" s="1549"/>
      <c r="H126" s="1549"/>
      <c r="I126" s="1549"/>
      <c r="J126" s="1549"/>
      <c r="K126" s="1549"/>
      <c r="L126" s="1549"/>
      <c r="M126" s="1549"/>
      <c r="N126" s="1549"/>
      <c r="O126" s="1549"/>
      <c r="P126" s="1549"/>
      <c r="Q126" s="1549"/>
      <c r="R126" s="1549"/>
      <c r="S126" s="1549"/>
      <c r="T126" s="1549"/>
      <c r="U126" s="1549"/>
      <c r="V126" s="1549"/>
      <c r="W126" s="1549"/>
      <c r="X126" s="1549"/>
      <c r="Y126" s="1549"/>
      <c r="Z126" s="1549"/>
      <c r="AA126" s="1549"/>
      <c r="AB126" s="1549"/>
      <c r="AC126" s="1549"/>
      <c r="AD126" s="1549"/>
      <c r="AE126" s="1549"/>
      <c r="AF126" s="1549"/>
      <c r="AG126" s="1549"/>
      <c r="AH126" s="1549"/>
    </row>
    <row r="127" spans="1:34" ht="12.75" customHeight="1" x14ac:dyDescent="0.2">
      <c r="A127" s="1549"/>
      <c r="B127" s="1549"/>
      <c r="C127" s="1549"/>
      <c r="D127" s="1549"/>
      <c r="E127" s="1549"/>
      <c r="F127" s="1549"/>
      <c r="G127" s="1549"/>
      <c r="H127" s="1549"/>
      <c r="I127" s="1549"/>
      <c r="J127" s="1549"/>
      <c r="K127" s="1549"/>
      <c r="L127" s="1549"/>
      <c r="M127" s="1549"/>
      <c r="N127" s="1549"/>
      <c r="O127" s="1549"/>
      <c r="P127" s="1549"/>
      <c r="Q127" s="1549"/>
      <c r="R127" s="1549"/>
      <c r="S127" s="1549"/>
      <c r="T127" s="1549"/>
      <c r="U127" s="1549"/>
      <c r="V127" s="1549"/>
      <c r="W127" s="1549"/>
      <c r="X127" s="1549"/>
      <c r="Y127" s="1549"/>
      <c r="Z127" s="1549"/>
      <c r="AA127" s="1549"/>
      <c r="AB127" s="1549"/>
      <c r="AC127" s="1549"/>
      <c r="AD127" s="1549"/>
      <c r="AE127" s="1549"/>
      <c r="AF127" s="1549"/>
      <c r="AG127" s="1549"/>
      <c r="AH127" s="1549"/>
    </row>
    <row r="128" spans="1:34" ht="12.75" customHeight="1" x14ac:dyDescent="0.2">
      <c r="A128" s="1549"/>
      <c r="B128" s="1549"/>
      <c r="C128" s="1549"/>
      <c r="D128" s="1549"/>
      <c r="E128" s="1549"/>
      <c r="F128" s="1549"/>
      <c r="G128" s="1549"/>
      <c r="H128" s="1549"/>
      <c r="I128" s="1549"/>
      <c r="J128" s="1549"/>
      <c r="K128" s="1549"/>
      <c r="L128" s="1549"/>
      <c r="M128" s="1549"/>
      <c r="N128" s="1549"/>
      <c r="O128" s="1549"/>
      <c r="P128" s="1549"/>
      <c r="Q128" s="1549"/>
      <c r="R128" s="1549"/>
      <c r="S128" s="1549"/>
      <c r="T128" s="1549"/>
      <c r="U128" s="1549"/>
      <c r="V128" s="1549"/>
      <c r="W128" s="1549"/>
      <c r="X128" s="1549"/>
      <c r="Y128" s="1549"/>
      <c r="Z128" s="1549"/>
      <c r="AA128" s="1549"/>
      <c r="AB128" s="1549"/>
      <c r="AC128" s="1549"/>
      <c r="AD128" s="1549"/>
      <c r="AE128" s="1549"/>
      <c r="AF128" s="1549"/>
      <c r="AG128" s="1549"/>
      <c r="AH128" s="1549"/>
    </row>
    <row r="129" spans="1:34" ht="12.75" customHeight="1" x14ac:dyDescent="0.2">
      <c r="A129" s="1549"/>
      <c r="B129" s="1549"/>
      <c r="C129" s="1549"/>
      <c r="D129" s="1549"/>
      <c r="E129" s="1549"/>
      <c r="F129" s="1549"/>
      <c r="G129" s="1549"/>
      <c r="H129" s="1549"/>
      <c r="I129" s="1549"/>
      <c r="J129" s="1549"/>
      <c r="K129" s="1549"/>
      <c r="L129" s="1549"/>
      <c r="M129" s="1549"/>
      <c r="N129" s="1549"/>
      <c r="O129" s="1549"/>
      <c r="P129" s="1549"/>
      <c r="Q129" s="1549"/>
      <c r="R129" s="1549"/>
      <c r="S129" s="1549"/>
      <c r="T129" s="1549"/>
      <c r="U129" s="1549"/>
      <c r="V129" s="1549"/>
      <c r="W129" s="1549"/>
      <c r="X129" s="1549"/>
      <c r="Y129" s="1549"/>
      <c r="Z129" s="1549"/>
      <c r="AA129" s="1549"/>
      <c r="AB129" s="1549"/>
      <c r="AC129" s="1549"/>
      <c r="AD129" s="1549"/>
      <c r="AE129" s="1549"/>
      <c r="AF129" s="1549"/>
      <c r="AG129" s="1549"/>
      <c r="AH129" s="1549"/>
    </row>
    <row r="130" spans="1:34" ht="12.75" customHeight="1" x14ac:dyDescent="0.2">
      <c r="A130" s="1549"/>
      <c r="B130" s="1549"/>
      <c r="C130" s="1549"/>
      <c r="D130" s="1549"/>
      <c r="E130" s="1549"/>
      <c r="F130" s="1549"/>
      <c r="G130" s="1549"/>
      <c r="H130" s="1549"/>
      <c r="I130" s="1549"/>
      <c r="J130" s="1549"/>
      <c r="K130" s="1549"/>
      <c r="L130" s="1549"/>
      <c r="M130" s="1549"/>
      <c r="N130" s="1549"/>
      <c r="O130" s="1549"/>
      <c r="P130" s="1549"/>
      <c r="Q130" s="1549"/>
      <c r="R130" s="1549"/>
      <c r="S130" s="1549"/>
      <c r="T130" s="1549"/>
      <c r="U130" s="1549"/>
      <c r="V130" s="1549"/>
      <c r="W130" s="1549"/>
      <c r="X130" s="1549"/>
      <c r="Y130" s="1549"/>
      <c r="Z130" s="1549"/>
      <c r="AA130" s="1549"/>
      <c r="AB130" s="1549"/>
      <c r="AC130" s="1549"/>
      <c r="AD130" s="1549"/>
      <c r="AE130" s="1549"/>
      <c r="AF130" s="1549"/>
      <c r="AG130" s="1549"/>
      <c r="AH130" s="1549"/>
    </row>
    <row r="131" spans="1:34" ht="12.75" customHeight="1" x14ac:dyDescent="0.2">
      <c r="A131" s="1549"/>
      <c r="B131" s="1549"/>
      <c r="C131" s="1549"/>
      <c r="D131" s="1549"/>
      <c r="E131" s="1549"/>
      <c r="F131" s="1549"/>
      <c r="G131" s="1549"/>
      <c r="H131" s="1549"/>
      <c r="I131" s="1549"/>
      <c r="J131" s="1549"/>
      <c r="K131" s="1549"/>
      <c r="L131" s="1549"/>
      <c r="M131" s="1549"/>
      <c r="N131" s="1549"/>
      <c r="O131" s="1549"/>
      <c r="P131" s="1549"/>
      <c r="Q131" s="1549"/>
      <c r="R131" s="1549"/>
      <c r="S131" s="1549"/>
      <c r="T131" s="1549"/>
      <c r="U131" s="1549"/>
      <c r="V131" s="1549"/>
      <c r="W131" s="1549"/>
      <c r="X131" s="1549"/>
      <c r="Y131" s="1549"/>
      <c r="Z131" s="1549"/>
      <c r="AA131" s="1549"/>
      <c r="AB131" s="1549"/>
      <c r="AC131" s="1549"/>
      <c r="AD131" s="1549"/>
      <c r="AE131" s="1549"/>
      <c r="AF131" s="1549"/>
      <c r="AG131" s="1549"/>
      <c r="AH131" s="1549"/>
    </row>
    <row r="132" spans="1:34" ht="12.75" customHeight="1" x14ac:dyDescent="0.2">
      <c r="A132" s="1549"/>
      <c r="B132" s="1549"/>
      <c r="C132" s="1549"/>
      <c r="D132" s="1549"/>
      <c r="E132" s="1549"/>
      <c r="F132" s="1549"/>
      <c r="G132" s="1549"/>
      <c r="H132" s="1549"/>
      <c r="I132" s="1549"/>
      <c r="J132" s="1549"/>
      <c r="K132" s="1549"/>
      <c r="L132" s="1549"/>
      <c r="M132" s="1549"/>
      <c r="N132" s="1549"/>
      <c r="O132" s="1549"/>
      <c r="P132" s="1549"/>
      <c r="Q132" s="1549"/>
      <c r="R132" s="1549"/>
      <c r="S132" s="1549"/>
      <c r="T132" s="1549"/>
      <c r="U132" s="1549"/>
      <c r="V132" s="1549"/>
      <c r="W132" s="1549"/>
      <c r="X132" s="1549"/>
      <c r="Y132" s="1549"/>
      <c r="Z132" s="1549"/>
      <c r="AA132" s="1549"/>
      <c r="AB132" s="1549"/>
      <c r="AC132" s="1549"/>
      <c r="AD132" s="1549"/>
      <c r="AE132" s="1549"/>
      <c r="AF132" s="1549"/>
      <c r="AG132" s="1549"/>
      <c r="AH132" s="1549"/>
    </row>
    <row r="133" spans="1:34" ht="12.75" customHeight="1" x14ac:dyDescent="0.2">
      <c r="A133" s="1549"/>
      <c r="B133" s="1549"/>
      <c r="C133" s="1549"/>
      <c r="D133" s="1549"/>
      <c r="E133" s="1549"/>
      <c r="F133" s="1549"/>
      <c r="G133" s="1549"/>
      <c r="H133" s="1549"/>
      <c r="I133" s="1549"/>
      <c r="J133" s="1549"/>
      <c r="K133" s="1549"/>
      <c r="L133" s="1549"/>
      <c r="M133" s="1549"/>
      <c r="N133" s="1549"/>
      <c r="O133" s="1549"/>
      <c r="P133" s="1549"/>
      <c r="Q133" s="1549"/>
      <c r="R133" s="1549"/>
      <c r="S133" s="1549"/>
      <c r="T133" s="1549"/>
      <c r="U133" s="1549"/>
      <c r="V133" s="1549"/>
      <c r="W133" s="1549"/>
      <c r="X133" s="1549"/>
      <c r="Y133" s="1549"/>
      <c r="Z133" s="1549"/>
      <c r="AA133" s="1549"/>
      <c r="AB133" s="1549"/>
      <c r="AC133" s="1549"/>
      <c r="AD133" s="1549"/>
      <c r="AE133" s="1549"/>
      <c r="AF133" s="1549"/>
      <c r="AG133" s="1549"/>
      <c r="AH133" s="1549"/>
    </row>
    <row r="134" spans="1:34" ht="12.75" customHeight="1" x14ac:dyDescent="0.2">
      <c r="A134" s="1549"/>
      <c r="B134" s="1549"/>
      <c r="C134" s="1549"/>
      <c r="D134" s="1549"/>
      <c r="E134" s="1549"/>
      <c r="F134" s="1549"/>
      <c r="G134" s="1549"/>
      <c r="H134" s="1549"/>
      <c r="I134" s="1549"/>
      <c r="J134" s="1549"/>
      <c r="K134" s="1549"/>
      <c r="L134" s="1549"/>
      <c r="M134" s="1549"/>
      <c r="N134" s="1549"/>
      <c r="O134" s="1549"/>
      <c r="P134" s="1549"/>
      <c r="Q134" s="1549"/>
      <c r="R134" s="1549"/>
      <c r="S134" s="1549"/>
      <c r="T134" s="1549"/>
      <c r="U134" s="1549"/>
      <c r="V134" s="1549"/>
      <c r="W134" s="1549"/>
      <c r="X134" s="1549"/>
      <c r="Y134" s="1549"/>
      <c r="Z134" s="1549"/>
      <c r="AA134" s="1549"/>
      <c r="AB134" s="1549"/>
      <c r="AC134" s="1549"/>
      <c r="AD134" s="1549"/>
      <c r="AE134" s="1549"/>
      <c r="AF134" s="1549"/>
      <c r="AG134" s="1549"/>
      <c r="AH134" s="1549"/>
    </row>
    <row r="135" spans="1:34" ht="12.75" customHeight="1" x14ac:dyDescent="0.2">
      <c r="A135" s="1549"/>
      <c r="B135" s="1549"/>
      <c r="C135" s="1549"/>
      <c r="D135" s="1549"/>
      <c r="E135" s="1549"/>
      <c r="F135" s="1549"/>
      <c r="G135" s="1549"/>
      <c r="H135" s="1549"/>
      <c r="I135" s="1549"/>
      <c r="J135" s="1549"/>
      <c r="K135" s="1549"/>
      <c r="L135" s="1549"/>
      <c r="M135" s="1549"/>
      <c r="N135" s="1549"/>
      <c r="O135" s="1549"/>
      <c r="P135" s="1549"/>
      <c r="Q135" s="1549"/>
      <c r="R135" s="1549"/>
      <c r="S135" s="1549"/>
      <c r="T135" s="1549"/>
      <c r="U135" s="1549"/>
      <c r="V135" s="1549"/>
      <c r="W135" s="1549"/>
      <c r="X135" s="1549"/>
      <c r="Y135" s="1549"/>
      <c r="Z135" s="1549"/>
      <c r="AA135" s="1549"/>
      <c r="AB135" s="1549"/>
      <c r="AC135" s="1549"/>
      <c r="AD135" s="1549"/>
      <c r="AE135" s="1549"/>
      <c r="AF135" s="1549"/>
      <c r="AG135" s="1549"/>
      <c r="AH135" s="1549"/>
    </row>
    <row r="136" spans="1:34" ht="12.75" customHeight="1" x14ac:dyDescent="0.2">
      <c r="A136" s="1549"/>
      <c r="B136" s="1549"/>
      <c r="C136" s="1549"/>
      <c r="D136" s="1549"/>
      <c r="E136" s="1549"/>
      <c r="F136" s="1549"/>
      <c r="G136" s="1549"/>
      <c r="H136" s="1549"/>
      <c r="I136" s="1549"/>
      <c r="J136" s="1549"/>
      <c r="K136" s="1549"/>
      <c r="L136" s="1549"/>
      <c r="M136" s="1549"/>
      <c r="N136" s="1549"/>
      <c r="O136" s="1549"/>
      <c r="P136" s="1549"/>
      <c r="Q136" s="1549"/>
      <c r="R136" s="1549"/>
      <c r="S136" s="1549"/>
      <c r="T136" s="1549"/>
      <c r="U136" s="1549"/>
      <c r="V136" s="1549"/>
      <c r="W136" s="1549"/>
      <c r="X136" s="1549"/>
      <c r="Y136" s="1549"/>
      <c r="Z136" s="1549"/>
      <c r="AA136" s="1549"/>
      <c r="AB136" s="1549"/>
      <c r="AC136" s="1549"/>
      <c r="AD136" s="1549"/>
      <c r="AE136" s="1549"/>
      <c r="AF136" s="1549"/>
      <c r="AG136" s="1549"/>
      <c r="AH136" s="1549"/>
    </row>
    <row r="137" spans="1:34" ht="12.75" customHeight="1" x14ac:dyDescent="0.2">
      <c r="A137" s="1549"/>
      <c r="B137" s="1549"/>
      <c r="C137" s="1549"/>
      <c r="D137" s="1549"/>
      <c r="E137" s="1549"/>
      <c r="F137" s="1549"/>
      <c r="G137" s="1549"/>
      <c r="H137" s="1549"/>
      <c r="I137" s="1549"/>
      <c r="J137" s="1549"/>
      <c r="K137" s="1549"/>
      <c r="L137" s="1549"/>
      <c r="M137" s="1549"/>
      <c r="N137" s="1549"/>
      <c r="O137" s="1549"/>
      <c r="P137" s="1549"/>
      <c r="Q137" s="1549"/>
      <c r="R137" s="1549"/>
      <c r="S137" s="1549"/>
      <c r="T137" s="1549"/>
      <c r="U137" s="1549"/>
      <c r="V137" s="1549"/>
      <c r="W137" s="1549"/>
      <c r="X137" s="1549"/>
      <c r="Y137" s="1549"/>
      <c r="Z137" s="1549"/>
      <c r="AA137" s="1549"/>
      <c r="AB137" s="1549"/>
      <c r="AC137" s="1549"/>
      <c r="AD137" s="1549"/>
      <c r="AE137" s="1549"/>
      <c r="AF137" s="1549"/>
      <c r="AG137" s="1549"/>
      <c r="AH137" s="1549"/>
    </row>
    <row r="138" spans="1:34" ht="12.75" customHeight="1" x14ac:dyDescent="0.2">
      <c r="A138" s="1549"/>
      <c r="B138" s="1549"/>
      <c r="C138" s="1549"/>
      <c r="D138" s="1549"/>
      <c r="E138" s="1549"/>
      <c r="F138" s="1549"/>
      <c r="G138" s="1549"/>
      <c r="H138" s="1549"/>
      <c r="I138" s="1549"/>
      <c r="J138" s="1549"/>
      <c r="K138" s="1549"/>
      <c r="L138" s="1549"/>
      <c r="M138" s="1549"/>
      <c r="N138" s="1549"/>
      <c r="O138" s="1549"/>
      <c r="P138" s="1549"/>
      <c r="Q138" s="1549"/>
      <c r="R138" s="1549"/>
      <c r="S138" s="1549"/>
      <c r="T138" s="1549"/>
      <c r="U138" s="1549"/>
      <c r="V138" s="1549"/>
      <c r="W138" s="1549"/>
      <c r="X138" s="1549"/>
      <c r="Y138" s="1549"/>
      <c r="Z138" s="1549"/>
      <c r="AA138" s="1549"/>
      <c r="AB138" s="1549"/>
      <c r="AC138" s="1549"/>
      <c r="AD138" s="1549"/>
      <c r="AE138" s="1549"/>
      <c r="AF138" s="1549"/>
      <c r="AG138" s="1549"/>
      <c r="AH138" s="1549"/>
    </row>
    <row r="139" spans="1:34" ht="12.75" customHeight="1" x14ac:dyDescent="0.2">
      <c r="A139" s="1549"/>
      <c r="B139" s="1549"/>
      <c r="C139" s="1549"/>
      <c r="D139" s="1549"/>
      <c r="E139" s="1549"/>
      <c r="F139" s="1549"/>
      <c r="G139" s="1549"/>
      <c r="H139" s="1549"/>
      <c r="I139" s="1549"/>
      <c r="J139" s="1549"/>
      <c r="K139" s="1549"/>
      <c r="L139" s="1549"/>
      <c r="M139" s="1549"/>
      <c r="N139" s="1549"/>
      <c r="O139" s="1549"/>
      <c r="P139" s="1549"/>
      <c r="Q139" s="1549"/>
      <c r="R139" s="1549"/>
      <c r="S139" s="1549"/>
      <c r="T139" s="1549"/>
      <c r="U139" s="1549"/>
      <c r="V139" s="1549"/>
      <c r="W139" s="1549"/>
      <c r="X139" s="1549"/>
      <c r="Y139" s="1549"/>
      <c r="Z139" s="1549"/>
      <c r="AA139" s="1549"/>
      <c r="AB139" s="1549"/>
      <c r="AC139" s="1549"/>
      <c r="AD139" s="1549"/>
      <c r="AE139" s="1549"/>
      <c r="AF139" s="1549"/>
      <c r="AG139" s="1549"/>
      <c r="AH139" s="1549"/>
    </row>
    <row r="140" spans="1:34" ht="12.75" customHeight="1" x14ac:dyDescent="0.2">
      <c r="A140" s="1549"/>
      <c r="B140" s="1549"/>
      <c r="C140" s="1549"/>
      <c r="D140" s="1549"/>
      <c r="E140" s="1549"/>
      <c r="F140" s="1549"/>
      <c r="G140" s="1549"/>
      <c r="H140" s="1549"/>
      <c r="I140" s="1549"/>
      <c r="J140" s="1549"/>
      <c r="K140" s="1549"/>
      <c r="L140" s="1549"/>
      <c r="M140" s="1549"/>
      <c r="N140" s="1549"/>
      <c r="O140" s="1549"/>
      <c r="P140" s="1549"/>
      <c r="Q140" s="1549"/>
      <c r="R140" s="1549"/>
      <c r="S140" s="1549"/>
      <c r="T140" s="1549"/>
      <c r="U140" s="1549"/>
      <c r="V140" s="1549"/>
      <c r="W140" s="1549"/>
      <c r="X140" s="1549"/>
      <c r="Y140" s="1549"/>
      <c r="Z140" s="1549"/>
      <c r="AA140" s="1549"/>
      <c r="AB140" s="1549"/>
      <c r="AC140" s="1549"/>
      <c r="AD140" s="1549"/>
      <c r="AE140" s="1549"/>
      <c r="AF140" s="1549"/>
      <c r="AG140" s="1549"/>
      <c r="AH140" s="1549"/>
    </row>
    <row r="141" spans="1:34" ht="12.75" customHeight="1" x14ac:dyDescent="0.2">
      <c r="A141" s="1549"/>
      <c r="B141" s="1549"/>
      <c r="C141" s="1549"/>
      <c r="D141" s="1549"/>
      <c r="E141" s="1549"/>
      <c r="F141" s="1549"/>
      <c r="G141" s="1549"/>
      <c r="H141" s="1549"/>
      <c r="I141" s="1549"/>
      <c r="J141" s="1549"/>
      <c r="K141" s="1549"/>
      <c r="L141" s="1549"/>
      <c r="M141" s="1549"/>
      <c r="N141" s="1549"/>
      <c r="O141" s="1549"/>
      <c r="P141" s="1549"/>
      <c r="Q141" s="1549"/>
      <c r="R141" s="1549"/>
      <c r="S141" s="1549"/>
      <c r="T141" s="1549"/>
      <c r="U141" s="1549"/>
      <c r="V141" s="1549"/>
      <c r="W141" s="1549"/>
      <c r="X141" s="1549"/>
      <c r="Y141" s="1549"/>
      <c r="Z141" s="1549"/>
      <c r="AA141" s="1549"/>
      <c r="AB141" s="1549"/>
      <c r="AC141" s="1549"/>
      <c r="AD141" s="1549"/>
      <c r="AE141" s="1549"/>
      <c r="AF141" s="1549"/>
      <c r="AG141" s="1549"/>
      <c r="AH141" s="1549"/>
    </row>
    <row r="142" spans="1:34" ht="12.75" customHeight="1" x14ac:dyDescent="0.2">
      <c r="A142" s="1549"/>
      <c r="B142" s="1549"/>
      <c r="C142" s="1549"/>
      <c r="D142" s="1549"/>
      <c r="E142" s="1549"/>
      <c r="F142" s="1549"/>
      <c r="G142" s="1549"/>
      <c r="H142" s="1549"/>
      <c r="I142" s="1549"/>
      <c r="J142" s="1549"/>
      <c r="K142" s="1549"/>
      <c r="L142" s="1549"/>
      <c r="M142" s="1549"/>
      <c r="N142" s="1549"/>
      <c r="O142" s="1549"/>
      <c r="P142" s="1549"/>
      <c r="Q142" s="1549"/>
      <c r="R142" s="1549"/>
      <c r="S142" s="1549"/>
      <c r="T142" s="1549"/>
      <c r="U142" s="1549"/>
      <c r="V142" s="1549"/>
      <c r="W142" s="1549"/>
      <c r="X142" s="1549"/>
      <c r="Y142" s="1549"/>
      <c r="Z142" s="1549"/>
      <c r="AA142" s="1549"/>
      <c r="AB142" s="1549"/>
      <c r="AC142" s="1549"/>
      <c r="AD142" s="1549"/>
      <c r="AE142" s="1549"/>
      <c r="AF142" s="1549"/>
      <c r="AG142" s="1549"/>
      <c r="AH142" s="1549"/>
    </row>
    <row r="143" spans="1:34" ht="12.75" customHeight="1" x14ac:dyDescent="0.2">
      <c r="A143" s="1549"/>
      <c r="B143" s="1549"/>
      <c r="C143" s="1549"/>
      <c r="D143" s="1549"/>
      <c r="E143" s="1549"/>
      <c r="F143" s="1549"/>
      <c r="G143" s="1549"/>
      <c r="H143" s="1549"/>
      <c r="I143" s="1549"/>
      <c r="J143" s="1549"/>
      <c r="K143" s="1549"/>
      <c r="L143" s="1549"/>
      <c r="M143" s="1549"/>
      <c r="N143" s="1549"/>
      <c r="O143" s="1549"/>
      <c r="P143" s="1549"/>
      <c r="Q143" s="1549"/>
      <c r="R143" s="1549"/>
      <c r="S143" s="1549"/>
      <c r="T143" s="1549"/>
      <c r="U143" s="1549"/>
      <c r="V143" s="1549"/>
      <c r="W143" s="1549"/>
      <c r="X143" s="1549"/>
      <c r="Y143" s="1549"/>
      <c r="Z143" s="1549"/>
      <c r="AA143" s="1549"/>
      <c r="AB143" s="1549"/>
      <c r="AC143" s="1549"/>
      <c r="AD143" s="1549"/>
      <c r="AE143" s="1549"/>
      <c r="AF143" s="1549"/>
      <c r="AG143" s="1549"/>
      <c r="AH143" s="1549"/>
    </row>
    <row r="144" spans="1:34" ht="12.75" customHeight="1" x14ac:dyDescent="0.2">
      <c r="A144" s="1549"/>
      <c r="B144" s="1549"/>
      <c r="C144" s="1549"/>
      <c r="D144" s="1549"/>
      <c r="E144" s="1549"/>
      <c r="F144" s="1549"/>
      <c r="G144" s="1549"/>
      <c r="H144" s="1549"/>
      <c r="I144" s="1549"/>
      <c r="J144" s="1549"/>
      <c r="K144" s="1549"/>
      <c r="L144" s="1549"/>
      <c r="M144" s="1549"/>
      <c r="N144" s="1549"/>
      <c r="O144" s="1549"/>
      <c r="P144" s="1549"/>
      <c r="Q144" s="1549"/>
      <c r="R144" s="1549"/>
      <c r="S144" s="1549"/>
      <c r="T144" s="1549"/>
      <c r="U144" s="1549"/>
      <c r="V144" s="1549"/>
      <c r="W144" s="1549"/>
      <c r="X144" s="1549"/>
      <c r="Y144" s="1549"/>
      <c r="Z144" s="1549"/>
      <c r="AA144" s="1549"/>
      <c r="AB144" s="1549"/>
      <c r="AC144" s="1549"/>
      <c r="AD144" s="1549"/>
      <c r="AE144" s="1549"/>
      <c r="AF144" s="1549"/>
      <c r="AG144" s="1549"/>
      <c r="AH144" s="1549"/>
    </row>
    <row r="145" spans="1:34" ht="12.75" customHeight="1" x14ac:dyDescent="0.2">
      <c r="A145" s="1549"/>
      <c r="B145" s="1549"/>
      <c r="C145" s="1549"/>
      <c r="D145" s="1549"/>
      <c r="E145" s="1549"/>
      <c r="F145" s="1549"/>
      <c r="G145" s="1549"/>
      <c r="H145" s="1549"/>
      <c r="I145" s="1549"/>
      <c r="J145" s="1549"/>
      <c r="K145" s="1549"/>
      <c r="L145" s="1549"/>
      <c r="M145" s="1549"/>
      <c r="N145" s="1549"/>
      <c r="O145" s="1549"/>
      <c r="P145" s="1549"/>
      <c r="Q145" s="1549"/>
      <c r="R145" s="1549"/>
      <c r="S145" s="1549"/>
      <c r="T145" s="1549"/>
      <c r="U145" s="1549"/>
      <c r="V145" s="1549"/>
      <c r="W145" s="1549"/>
      <c r="X145" s="1549"/>
      <c r="Y145" s="1549"/>
      <c r="Z145" s="1549"/>
      <c r="AA145" s="1549"/>
      <c r="AB145" s="1549"/>
      <c r="AC145" s="1549"/>
      <c r="AD145" s="1549"/>
      <c r="AE145" s="1549"/>
      <c r="AF145" s="1549"/>
      <c r="AG145" s="1549"/>
      <c r="AH145" s="1549"/>
    </row>
    <row r="146" spans="1:34" ht="12.75" customHeight="1" x14ac:dyDescent="0.2">
      <c r="A146" s="1549"/>
      <c r="B146" s="1549"/>
      <c r="C146" s="1549"/>
      <c r="D146" s="1549"/>
      <c r="E146" s="1549"/>
      <c r="F146" s="1549"/>
      <c r="G146" s="1549"/>
      <c r="H146" s="1549"/>
      <c r="I146" s="1549"/>
      <c r="J146" s="1549"/>
      <c r="K146" s="1549"/>
      <c r="L146" s="1549"/>
      <c r="M146" s="1549"/>
      <c r="N146" s="1549"/>
      <c r="O146" s="1549"/>
      <c r="P146" s="1549"/>
      <c r="Q146" s="1549"/>
      <c r="R146" s="1549"/>
      <c r="S146" s="1549"/>
      <c r="T146" s="1549"/>
      <c r="U146" s="1549"/>
      <c r="V146" s="1549"/>
      <c r="W146" s="1549"/>
      <c r="X146" s="1549"/>
      <c r="Y146" s="1549"/>
      <c r="Z146" s="1549"/>
      <c r="AA146" s="1549"/>
      <c r="AB146" s="1549"/>
      <c r="AC146" s="1549"/>
      <c r="AD146" s="1549"/>
      <c r="AE146" s="1549"/>
      <c r="AF146" s="1549"/>
      <c r="AG146" s="1549"/>
      <c r="AH146" s="1549"/>
    </row>
    <row r="147" spans="1:34" ht="12.75" customHeight="1" x14ac:dyDescent="0.2">
      <c r="A147" s="1549"/>
      <c r="B147" s="1549"/>
      <c r="C147" s="1549"/>
      <c r="D147" s="1549"/>
      <c r="E147" s="1549"/>
      <c r="F147" s="1549"/>
      <c r="G147" s="1549"/>
      <c r="H147" s="1549"/>
      <c r="I147" s="1549"/>
      <c r="J147" s="1549"/>
      <c r="K147" s="1549"/>
      <c r="L147" s="1549"/>
      <c r="M147" s="1549"/>
      <c r="N147" s="1549"/>
      <c r="O147" s="1549"/>
      <c r="P147" s="1549"/>
      <c r="Q147" s="1549"/>
      <c r="R147" s="1549"/>
      <c r="S147" s="1549"/>
      <c r="T147" s="1549"/>
      <c r="U147" s="1549"/>
      <c r="V147" s="1549"/>
      <c r="W147" s="1549"/>
      <c r="X147" s="1549"/>
      <c r="Y147" s="1549"/>
      <c r="Z147" s="1549"/>
      <c r="AA147" s="1549"/>
      <c r="AB147" s="1549"/>
      <c r="AC147" s="1549"/>
      <c r="AD147" s="1549"/>
      <c r="AE147" s="1549"/>
      <c r="AF147" s="1549"/>
      <c r="AG147" s="1549"/>
      <c r="AH147" s="1549"/>
    </row>
    <row r="148" spans="1:34" ht="12.75" customHeight="1" x14ac:dyDescent="0.2">
      <c r="A148" s="1549"/>
      <c r="B148" s="1549"/>
      <c r="C148" s="1549"/>
      <c r="D148" s="1549"/>
      <c r="E148" s="1549"/>
      <c r="F148" s="1549"/>
      <c r="G148" s="1549"/>
      <c r="H148" s="1549"/>
      <c r="I148" s="1549"/>
      <c r="J148" s="1549"/>
      <c r="K148" s="1549"/>
      <c r="L148" s="1549"/>
      <c r="M148" s="1549"/>
      <c r="N148" s="1549"/>
      <c r="O148" s="1549"/>
      <c r="P148" s="1549"/>
      <c r="Q148" s="1549"/>
      <c r="R148" s="1549"/>
      <c r="S148" s="1549"/>
      <c r="T148" s="1549"/>
      <c r="U148" s="1549"/>
      <c r="V148" s="1549"/>
      <c r="W148" s="1549"/>
      <c r="X148" s="1549"/>
      <c r="Y148" s="1549"/>
      <c r="Z148" s="1549"/>
      <c r="AA148" s="1549"/>
      <c r="AB148" s="1549"/>
      <c r="AC148" s="1549"/>
      <c r="AD148" s="1549"/>
      <c r="AE148" s="1549"/>
      <c r="AF148" s="1549"/>
      <c r="AG148" s="1549"/>
      <c r="AH148" s="1549"/>
    </row>
    <row r="149" spans="1:34" ht="12.75" customHeight="1" x14ac:dyDescent="0.2">
      <c r="A149" s="1549"/>
      <c r="B149" s="1549"/>
      <c r="C149" s="1549"/>
      <c r="D149" s="1549"/>
      <c r="E149" s="1549"/>
      <c r="F149" s="1549"/>
      <c r="G149" s="1549"/>
      <c r="H149" s="1549"/>
      <c r="I149" s="1549"/>
      <c r="J149" s="1549"/>
      <c r="K149" s="1549"/>
      <c r="L149" s="1549"/>
      <c r="M149" s="1549"/>
      <c r="N149" s="1549"/>
      <c r="O149" s="1549"/>
      <c r="P149" s="1549"/>
      <c r="Q149" s="1549"/>
      <c r="R149" s="1549"/>
      <c r="S149" s="1549"/>
      <c r="T149" s="1549"/>
      <c r="U149" s="1549"/>
      <c r="V149" s="1549"/>
      <c r="W149" s="1549"/>
      <c r="X149" s="1549"/>
      <c r="Y149" s="1549"/>
      <c r="Z149" s="1549"/>
      <c r="AA149" s="1549"/>
      <c r="AB149" s="1549"/>
      <c r="AC149" s="1549"/>
      <c r="AD149" s="1549"/>
      <c r="AE149" s="1549"/>
      <c r="AF149" s="1549"/>
      <c r="AG149" s="1549"/>
      <c r="AH149" s="1549"/>
    </row>
    <row r="150" spans="1:34" ht="12.75" customHeight="1" x14ac:dyDescent="0.2">
      <c r="A150" s="1549"/>
      <c r="B150" s="1549"/>
      <c r="C150" s="1549"/>
      <c r="D150" s="1549"/>
      <c r="E150" s="1549"/>
      <c r="F150" s="1549"/>
      <c r="G150" s="1549"/>
      <c r="H150" s="1549"/>
      <c r="I150" s="1549"/>
      <c r="J150" s="1549"/>
      <c r="K150" s="1549"/>
      <c r="L150" s="1549"/>
      <c r="M150" s="1549"/>
      <c r="N150" s="1549"/>
      <c r="O150" s="1549"/>
      <c r="P150" s="1549"/>
      <c r="Q150" s="1549"/>
      <c r="R150" s="1549"/>
      <c r="S150" s="1549"/>
      <c r="T150" s="1549"/>
      <c r="U150" s="1549"/>
      <c r="V150" s="1549"/>
      <c r="W150" s="1549"/>
      <c r="X150" s="1549"/>
      <c r="Y150" s="1549"/>
      <c r="Z150" s="1549"/>
      <c r="AA150" s="1549"/>
      <c r="AB150" s="1549"/>
      <c r="AC150" s="1549"/>
      <c r="AD150" s="1549"/>
      <c r="AE150" s="1549"/>
      <c r="AF150" s="1549"/>
      <c r="AG150" s="1549"/>
      <c r="AH150" s="1549"/>
    </row>
    <row r="151" spans="1:34" ht="12.75" customHeight="1" x14ac:dyDescent="0.2">
      <c r="A151" s="1549"/>
      <c r="B151" s="1549"/>
      <c r="C151" s="1549"/>
      <c r="D151" s="1549"/>
      <c r="E151" s="1549"/>
      <c r="F151" s="1549"/>
      <c r="G151" s="1549"/>
      <c r="H151" s="1549"/>
      <c r="I151" s="1549"/>
      <c r="J151" s="1549"/>
      <c r="K151" s="1549"/>
      <c r="L151" s="1549"/>
      <c r="M151" s="1549"/>
      <c r="N151" s="1549"/>
      <c r="O151" s="1549"/>
      <c r="P151" s="1549"/>
      <c r="Q151" s="1549"/>
      <c r="R151" s="1549"/>
      <c r="S151" s="1549"/>
      <c r="T151" s="1549"/>
      <c r="U151" s="1549"/>
      <c r="V151" s="1549"/>
      <c r="W151" s="1549"/>
      <c r="X151" s="1549"/>
      <c r="Y151" s="1549"/>
      <c r="Z151" s="1549"/>
      <c r="AA151" s="1549"/>
      <c r="AB151" s="1549"/>
      <c r="AC151" s="1549"/>
      <c r="AD151" s="1549"/>
      <c r="AE151" s="1549"/>
      <c r="AF151" s="1549"/>
      <c r="AG151" s="1549"/>
      <c r="AH151" s="1549"/>
    </row>
    <row r="152" spans="1:34" ht="12.75" customHeight="1" x14ac:dyDescent="0.2">
      <c r="A152" s="1549"/>
      <c r="B152" s="1549"/>
      <c r="C152" s="1549"/>
      <c r="D152" s="1549"/>
      <c r="E152" s="1549"/>
      <c r="F152" s="1549"/>
      <c r="G152" s="1549"/>
      <c r="H152" s="1549"/>
      <c r="I152" s="1549"/>
      <c r="J152" s="1549"/>
      <c r="K152" s="1549"/>
      <c r="L152" s="1549"/>
      <c r="M152" s="1549"/>
      <c r="N152" s="1549"/>
      <c r="O152" s="1549"/>
      <c r="P152" s="1549"/>
      <c r="Q152" s="1549"/>
      <c r="R152" s="1549"/>
      <c r="S152" s="1549"/>
      <c r="T152" s="1549"/>
      <c r="U152" s="1549"/>
      <c r="V152" s="1549"/>
      <c r="W152" s="1549"/>
      <c r="X152" s="1549"/>
      <c r="Y152" s="1549"/>
      <c r="Z152" s="1549"/>
      <c r="AA152" s="1549"/>
      <c r="AB152" s="1549"/>
      <c r="AC152" s="1549"/>
      <c r="AD152" s="1549"/>
      <c r="AE152" s="1549"/>
      <c r="AF152" s="1549"/>
      <c r="AG152" s="1549"/>
      <c r="AH152" s="1549"/>
    </row>
    <row r="153" spans="1:34" ht="12.75" customHeight="1" x14ac:dyDescent="0.2">
      <c r="A153" s="1549"/>
      <c r="B153" s="1549"/>
      <c r="C153" s="1549"/>
      <c r="D153" s="1549"/>
      <c r="E153" s="1549"/>
      <c r="F153" s="1549"/>
      <c r="G153" s="1549"/>
      <c r="H153" s="1549"/>
      <c r="I153" s="1549"/>
      <c r="J153" s="1549"/>
      <c r="K153" s="1549"/>
      <c r="L153" s="1549"/>
      <c r="M153" s="1549"/>
      <c r="N153" s="1549"/>
      <c r="O153" s="1549"/>
      <c r="P153" s="1549"/>
      <c r="Q153" s="1549"/>
      <c r="R153" s="1549"/>
      <c r="S153" s="1549"/>
      <c r="T153" s="1549"/>
      <c r="U153" s="1549"/>
      <c r="V153" s="1549"/>
      <c r="W153" s="1549"/>
      <c r="X153" s="1549"/>
      <c r="Y153" s="1549"/>
      <c r="Z153" s="1549"/>
      <c r="AA153" s="1549"/>
      <c r="AB153" s="1549"/>
      <c r="AC153" s="1549"/>
      <c r="AD153" s="1549"/>
      <c r="AE153" s="1549"/>
      <c r="AF153" s="1549"/>
      <c r="AG153" s="1549"/>
      <c r="AH153" s="1549"/>
    </row>
    <row r="154" spans="1:34" ht="12.75" customHeight="1" x14ac:dyDescent="0.2">
      <c r="A154" s="1549"/>
      <c r="B154" s="1549"/>
      <c r="C154" s="1549"/>
      <c r="D154" s="1549"/>
      <c r="E154" s="1549"/>
      <c r="F154" s="1549"/>
      <c r="G154" s="1549"/>
      <c r="H154" s="1549"/>
      <c r="I154" s="1549"/>
      <c r="J154" s="1549"/>
      <c r="K154" s="1549"/>
      <c r="L154" s="1549"/>
      <c r="M154" s="1549"/>
      <c r="N154" s="1549"/>
      <c r="O154" s="1549"/>
      <c r="P154" s="1549"/>
      <c r="Q154" s="1549"/>
      <c r="R154" s="1549"/>
      <c r="S154" s="1549"/>
      <c r="T154" s="1549"/>
      <c r="U154" s="1549"/>
      <c r="V154" s="1549"/>
      <c r="W154" s="1549"/>
      <c r="X154" s="1549"/>
      <c r="Y154" s="1549"/>
      <c r="Z154" s="1549"/>
      <c r="AA154" s="1549"/>
      <c r="AB154" s="1549"/>
      <c r="AC154" s="1549"/>
      <c r="AD154" s="1549"/>
      <c r="AE154" s="1549"/>
      <c r="AF154" s="1549"/>
      <c r="AG154" s="1549"/>
      <c r="AH154" s="1549"/>
    </row>
    <row r="155" spans="1:34" ht="12.75" customHeight="1" x14ac:dyDescent="0.2">
      <c r="A155" s="1549"/>
      <c r="B155" s="1549"/>
      <c r="C155" s="1549"/>
      <c r="D155" s="1549"/>
      <c r="E155" s="1549"/>
      <c r="F155" s="1549"/>
      <c r="G155" s="1549"/>
      <c r="H155" s="1549"/>
      <c r="I155" s="1549"/>
      <c r="J155" s="1549"/>
      <c r="K155" s="1549"/>
      <c r="L155" s="1549"/>
      <c r="M155" s="1549"/>
      <c r="N155" s="1549"/>
      <c r="O155" s="1549"/>
      <c r="P155" s="1549"/>
      <c r="Q155" s="1549"/>
      <c r="R155" s="1549"/>
      <c r="S155" s="1549"/>
      <c r="T155" s="1549"/>
      <c r="U155" s="1549"/>
      <c r="V155" s="1549"/>
      <c r="W155" s="1549"/>
      <c r="X155" s="1549"/>
      <c r="Y155" s="1549"/>
      <c r="Z155" s="1549"/>
      <c r="AA155" s="1549"/>
      <c r="AB155" s="1549"/>
      <c r="AC155" s="1549"/>
      <c r="AD155" s="1549"/>
      <c r="AE155" s="1549"/>
      <c r="AF155" s="1549"/>
      <c r="AG155" s="1549"/>
      <c r="AH155" s="1549"/>
    </row>
    <row r="156" spans="1:34" ht="12.75" customHeight="1" x14ac:dyDescent="0.2">
      <c r="A156" s="1549"/>
      <c r="B156" s="1549"/>
      <c r="C156" s="1549"/>
      <c r="D156" s="1549"/>
      <c r="E156" s="1549"/>
      <c r="F156" s="1549"/>
      <c r="G156" s="1549"/>
      <c r="H156" s="1549"/>
      <c r="I156" s="1549"/>
      <c r="J156" s="1549"/>
      <c r="K156" s="1549"/>
      <c r="L156" s="1549"/>
      <c r="M156" s="1549"/>
      <c r="N156" s="1549"/>
      <c r="O156" s="1549"/>
      <c r="P156" s="1549"/>
      <c r="Q156" s="1549"/>
      <c r="R156" s="1549"/>
      <c r="S156" s="1549"/>
      <c r="T156" s="1549"/>
      <c r="U156" s="1549"/>
      <c r="V156" s="1549"/>
      <c r="W156" s="1549"/>
      <c r="X156" s="1549"/>
      <c r="Y156" s="1549"/>
      <c r="Z156" s="1549"/>
      <c r="AA156" s="1549"/>
      <c r="AB156" s="1549"/>
      <c r="AC156" s="1549"/>
      <c r="AD156" s="1549"/>
      <c r="AE156" s="1549"/>
      <c r="AF156" s="1549"/>
      <c r="AG156" s="1549"/>
      <c r="AH156" s="1549"/>
    </row>
    <row r="157" spans="1:34" ht="12.75" customHeight="1" x14ac:dyDescent="0.2">
      <c r="A157" s="1549"/>
      <c r="B157" s="1549"/>
      <c r="C157" s="1549"/>
      <c r="D157" s="1549"/>
      <c r="E157" s="1549"/>
      <c r="F157" s="1549"/>
      <c r="G157" s="1549"/>
      <c r="H157" s="1549"/>
      <c r="I157" s="1549"/>
      <c r="J157" s="1549"/>
      <c r="K157" s="1549"/>
      <c r="L157" s="1549"/>
      <c r="M157" s="1549"/>
      <c r="N157" s="1549"/>
      <c r="O157" s="1549"/>
      <c r="P157" s="1549"/>
      <c r="Q157" s="1549"/>
      <c r="R157" s="1549"/>
      <c r="S157" s="1549"/>
      <c r="T157" s="1549"/>
      <c r="U157" s="1549"/>
      <c r="V157" s="1549"/>
      <c r="W157" s="1549"/>
      <c r="X157" s="1549"/>
      <c r="Y157" s="1549"/>
      <c r="Z157" s="1549"/>
      <c r="AA157" s="1549"/>
      <c r="AB157" s="1549"/>
      <c r="AC157" s="1549"/>
      <c r="AD157" s="1549"/>
      <c r="AE157" s="1549"/>
      <c r="AF157" s="1549"/>
      <c r="AG157" s="1549"/>
      <c r="AH157" s="1549"/>
    </row>
    <row r="158" spans="1:34" ht="12.75" customHeight="1" x14ac:dyDescent="0.2">
      <c r="A158" s="1549"/>
      <c r="B158" s="1549"/>
      <c r="C158" s="1549"/>
      <c r="D158" s="1549"/>
      <c r="E158" s="1549"/>
      <c r="F158" s="1549"/>
      <c r="G158" s="1549"/>
      <c r="H158" s="1549"/>
      <c r="I158" s="1549"/>
      <c r="J158" s="1549"/>
      <c r="K158" s="1549"/>
      <c r="L158" s="1549"/>
      <c r="M158" s="1549"/>
      <c r="N158" s="1549"/>
      <c r="O158" s="1549"/>
      <c r="P158" s="1549"/>
      <c r="Q158" s="1549"/>
      <c r="R158" s="1549"/>
      <c r="S158" s="1549"/>
      <c r="T158" s="1549"/>
      <c r="U158" s="1549"/>
      <c r="V158" s="1549"/>
      <c r="W158" s="1549"/>
      <c r="X158" s="1549"/>
      <c r="Y158" s="1549"/>
      <c r="Z158" s="1549"/>
      <c r="AA158" s="1549"/>
      <c r="AB158" s="1549"/>
      <c r="AC158" s="1549"/>
      <c r="AD158" s="1549"/>
      <c r="AE158" s="1549"/>
      <c r="AF158" s="1549"/>
      <c r="AG158" s="1549"/>
      <c r="AH158" s="1549"/>
    </row>
    <row r="159" spans="1:34" ht="12.75" customHeight="1" x14ac:dyDescent="0.2">
      <c r="A159" s="1549"/>
      <c r="B159" s="1549"/>
      <c r="C159" s="1549"/>
      <c r="D159" s="1549"/>
      <c r="E159" s="1549"/>
      <c r="F159" s="1549"/>
      <c r="G159" s="1549"/>
      <c r="H159" s="1549"/>
      <c r="I159" s="1549"/>
      <c r="J159" s="1549"/>
      <c r="K159" s="1549"/>
      <c r="L159" s="1549"/>
      <c r="M159" s="1549"/>
      <c r="N159" s="1549"/>
      <c r="O159" s="1549"/>
      <c r="P159" s="1549"/>
      <c r="Q159" s="1549"/>
      <c r="R159" s="1549"/>
      <c r="S159" s="1549"/>
      <c r="T159" s="1549"/>
      <c r="U159" s="1549"/>
      <c r="V159" s="1549"/>
      <c r="W159" s="1549"/>
      <c r="X159" s="1549"/>
      <c r="Y159" s="1549"/>
      <c r="Z159" s="1549"/>
      <c r="AA159" s="1549"/>
      <c r="AB159" s="1549"/>
      <c r="AC159" s="1549"/>
      <c r="AD159" s="1549"/>
      <c r="AE159" s="1549"/>
      <c r="AF159" s="1549"/>
      <c r="AG159" s="1549"/>
      <c r="AH159" s="1549"/>
    </row>
    <row r="160" spans="1:34" ht="12.75" customHeight="1" x14ac:dyDescent="0.2">
      <c r="A160" s="1549"/>
      <c r="B160" s="1549"/>
      <c r="C160" s="1549"/>
      <c r="D160" s="1549"/>
      <c r="E160" s="1549"/>
      <c r="F160" s="1549"/>
      <c r="G160" s="1549"/>
      <c r="H160" s="1549"/>
      <c r="I160" s="1549"/>
      <c r="J160" s="1549"/>
      <c r="K160" s="1549"/>
      <c r="L160" s="1549"/>
      <c r="M160" s="1549"/>
      <c r="N160" s="1549"/>
      <c r="O160" s="1549"/>
      <c r="P160" s="1549"/>
      <c r="Q160" s="1549"/>
      <c r="R160" s="1549"/>
      <c r="S160" s="1549"/>
      <c r="T160" s="1549"/>
      <c r="U160" s="1549"/>
      <c r="V160" s="1549"/>
      <c r="W160" s="1549"/>
      <c r="X160" s="1549"/>
      <c r="Y160" s="1549"/>
      <c r="Z160" s="1549"/>
      <c r="AA160" s="1549"/>
      <c r="AB160" s="1549"/>
      <c r="AC160" s="1549"/>
      <c r="AD160" s="1549"/>
      <c r="AE160" s="1549"/>
      <c r="AF160" s="1549"/>
      <c r="AG160" s="1549"/>
      <c r="AH160" s="1549"/>
    </row>
    <row r="161" spans="1:34" ht="12.75" customHeight="1" x14ac:dyDescent="0.2">
      <c r="A161" s="1549"/>
      <c r="B161" s="1549"/>
      <c r="C161" s="1549"/>
      <c r="D161" s="1549"/>
      <c r="E161" s="1549"/>
      <c r="F161" s="1549"/>
      <c r="G161" s="1549"/>
      <c r="H161" s="1549"/>
      <c r="I161" s="1549"/>
      <c r="J161" s="1549"/>
      <c r="K161" s="1549"/>
      <c r="L161" s="1549"/>
      <c r="M161" s="1549"/>
      <c r="N161" s="1549"/>
      <c r="O161" s="1549"/>
      <c r="P161" s="1549"/>
      <c r="Q161" s="1549"/>
      <c r="R161" s="1549"/>
      <c r="S161" s="1549"/>
      <c r="T161" s="1549"/>
      <c r="U161" s="1549"/>
      <c r="V161" s="1549"/>
      <c r="W161" s="1549"/>
      <c r="X161" s="1549"/>
      <c r="Y161" s="1549"/>
      <c r="Z161" s="1549"/>
      <c r="AA161" s="1549"/>
      <c r="AB161" s="1549"/>
      <c r="AC161" s="1549"/>
      <c r="AD161" s="1549"/>
      <c r="AE161" s="1549"/>
      <c r="AF161" s="1549"/>
      <c r="AG161" s="1549"/>
      <c r="AH161" s="1549"/>
    </row>
    <row r="162" spans="1:34" ht="12.75" customHeight="1" x14ac:dyDescent="0.2">
      <c r="A162" s="1549"/>
      <c r="B162" s="1549"/>
      <c r="C162" s="1549"/>
      <c r="D162" s="1549"/>
      <c r="E162" s="1549"/>
      <c r="F162" s="1549"/>
      <c r="G162" s="1549"/>
      <c r="H162" s="1549"/>
      <c r="I162" s="1549"/>
      <c r="J162" s="1549"/>
      <c r="K162" s="1549"/>
      <c r="L162" s="1549"/>
      <c r="M162" s="1549"/>
      <c r="N162" s="1549"/>
      <c r="O162" s="1549"/>
      <c r="P162" s="1549"/>
      <c r="Q162" s="1549"/>
      <c r="R162" s="1549"/>
      <c r="S162" s="1549"/>
      <c r="T162" s="1549"/>
      <c r="U162" s="1549"/>
      <c r="V162" s="1549"/>
      <c r="W162" s="1549"/>
      <c r="X162" s="1549"/>
      <c r="Y162" s="1549"/>
      <c r="Z162" s="1549"/>
      <c r="AA162" s="1549"/>
      <c r="AB162" s="1549"/>
      <c r="AC162" s="1549"/>
      <c r="AD162" s="1549"/>
      <c r="AE162" s="1549"/>
      <c r="AF162" s="1549"/>
      <c r="AG162" s="1549"/>
      <c r="AH162" s="1549"/>
    </row>
    <row r="163" spans="1:34" ht="12.75" customHeight="1" x14ac:dyDescent="0.2">
      <c r="A163" s="1549"/>
      <c r="B163" s="1549"/>
      <c r="C163" s="1549"/>
      <c r="D163" s="1549"/>
      <c r="E163" s="1549"/>
      <c r="F163" s="1549"/>
      <c r="G163" s="1549"/>
      <c r="H163" s="1549"/>
      <c r="I163" s="1549"/>
      <c r="J163" s="1549"/>
      <c r="K163" s="1549"/>
      <c r="L163" s="1549"/>
      <c r="M163" s="1549"/>
      <c r="N163" s="1549"/>
      <c r="O163" s="1549"/>
      <c r="P163" s="1549"/>
      <c r="Q163" s="1549"/>
      <c r="R163" s="1549"/>
      <c r="S163" s="1549"/>
      <c r="T163" s="1549"/>
      <c r="U163" s="1549"/>
      <c r="V163" s="1549"/>
      <c r="W163" s="1549"/>
      <c r="X163" s="1549"/>
      <c r="Y163" s="1549"/>
      <c r="Z163" s="1549"/>
      <c r="AA163" s="1549"/>
      <c r="AB163" s="1549"/>
      <c r="AC163" s="1549"/>
      <c r="AD163" s="1549"/>
      <c r="AE163" s="1549"/>
      <c r="AF163" s="1549"/>
      <c r="AG163" s="1549"/>
      <c r="AH163" s="1549"/>
    </row>
    <row r="164" spans="1:34" ht="12.75" customHeight="1" x14ac:dyDescent="0.2">
      <c r="A164" s="1549"/>
      <c r="B164" s="1549"/>
      <c r="C164" s="1549"/>
      <c r="D164" s="1549"/>
      <c r="E164" s="1549"/>
      <c r="F164" s="1549"/>
      <c r="G164" s="1549"/>
      <c r="H164" s="1549"/>
      <c r="I164" s="1549"/>
      <c r="J164" s="1549"/>
      <c r="K164" s="1549"/>
      <c r="L164" s="1549"/>
      <c r="M164" s="1549"/>
      <c r="N164" s="1549"/>
      <c r="O164" s="1549"/>
      <c r="P164" s="1549"/>
      <c r="Q164" s="1549"/>
      <c r="R164" s="1549"/>
      <c r="S164" s="1549"/>
      <c r="T164" s="1549"/>
      <c r="U164" s="1549"/>
      <c r="V164" s="1549"/>
      <c r="W164" s="1549"/>
      <c r="X164" s="1549"/>
      <c r="Y164" s="1549"/>
      <c r="Z164" s="1549"/>
      <c r="AA164" s="1549"/>
      <c r="AB164" s="1549"/>
      <c r="AC164" s="1549"/>
      <c r="AD164" s="1549"/>
      <c r="AE164" s="1549"/>
      <c r="AF164" s="1549"/>
      <c r="AG164" s="1549"/>
      <c r="AH164" s="1549"/>
    </row>
    <row r="165" spans="1:34" ht="12.75" customHeight="1" x14ac:dyDescent="0.2">
      <c r="A165" s="1549"/>
      <c r="B165" s="1549"/>
      <c r="C165" s="1549"/>
      <c r="D165" s="1549"/>
      <c r="E165" s="1549"/>
      <c r="F165" s="1549"/>
      <c r="G165" s="1549"/>
      <c r="H165" s="1549"/>
      <c r="I165" s="1549"/>
      <c r="J165" s="1549"/>
      <c r="K165" s="1549"/>
      <c r="L165" s="1549"/>
      <c r="M165" s="1549"/>
      <c r="N165" s="1549"/>
      <c r="O165" s="1549"/>
      <c r="P165" s="1549"/>
      <c r="Q165" s="1549"/>
      <c r="R165" s="1549"/>
      <c r="S165" s="1549"/>
      <c r="T165" s="1549"/>
      <c r="U165" s="1549"/>
      <c r="V165" s="1549"/>
      <c r="W165" s="1549"/>
      <c r="X165" s="1549"/>
      <c r="Y165" s="1549"/>
      <c r="Z165" s="1549"/>
      <c r="AA165" s="1549"/>
      <c r="AB165" s="1549"/>
      <c r="AC165" s="1549"/>
      <c r="AD165" s="1549"/>
      <c r="AE165" s="1549"/>
      <c r="AF165" s="1549"/>
      <c r="AG165" s="1549"/>
      <c r="AH165" s="1549"/>
    </row>
    <row r="166" spans="1:34" ht="12.75" customHeight="1" x14ac:dyDescent="0.2">
      <c r="A166" s="1549"/>
      <c r="B166" s="1549"/>
      <c r="C166" s="1549"/>
      <c r="D166" s="1549"/>
      <c r="E166" s="1549"/>
      <c r="F166" s="1549"/>
      <c r="G166" s="1549"/>
      <c r="H166" s="1549"/>
      <c r="I166" s="1549"/>
      <c r="J166" s="1549"/>
      <c r="K166" s="1549"/>
      <c r="L166" s="1549"/>
      <c r="M166" s="1549"/>
      <c r="N166" s="1549"/>
      <c r="O166" s="1549"/>
      <c r="P166" s="1549"/>
      <c r="Q166" s="1549"/>
      <c r="R166" s="1549"/>
      <c r="S166" s="1549"/>
      <c r="T166" s="1549"/>
      <c r="U166" s="1549"/>
      <c r="V166" s="1549"/>
      <c r="W166" s="1549"/>
      <c r="X166" s="1549"/>
      <c r="Y166" s="1549"/>
      <c r="Z166" s="1549"/>
      <c r="AA166" s="1549"/>
      <c r="AB166" s="1549"/>
      <c r="AC166" s="1549"/>
      <c r="AD166" s="1549"/>
      <c r="AE166" s="1549"/>
      <c r="AF166" s="1549"/>
      <c r="AG166" s="1549"/>
      <c r="AH166" s="1549"/>
    </row>
    <row r="167" spans="1:34" ht="12.75" customHeight="1" x14ac:dyDescent="0.2">
      <c r="A167" s="1549"/>
      <c r="B167" s="1549"/>
      <c r="C167" s="1549"/>
      <c r="D167" s="1549"/>
      <c r="E167" s="1549"/>
      <c r="F167" s="1549"/>
      <c r="G167" s="1549"/>
      <c r="H167" s="1549"/>
      <c r="I167" s="1549"/>
      <c r="J167" s="1549"/>
      <c r="K167" s="1549"/>
      <c r="L167" s="1549"/>
      <c r="M167" s="1549"/>
      <c r="N167" s="1549"/>
      <c r="O167" s="1549"/>
      <c r="P167" s="1549"/>
      <c r="Q167" s="1549"/>
      <c r="R167" s="1549"/>
      <c r="S167" s="1549"/>
      <c r="T167" s="1549"/>
      <c r="U167" s="1549"/>
      <c r="V167" s="1549"/>
      <c r="W167" s="1549"/>
      <c r="X167" s="1549"/>
      <c r="Y167" s="1549"/>
      <c r="Z167" s="1549"/>
      <c r="AA167" s="1549"/>
      <c r="AB167" s="1549"/>
      <c r="AC167" s="1549"/>
      <c r="AD167" s="1549"/>
      <c r="AE167" s="1549"/>
      <c r="AF167" s="1549"/>
      <c r="AG167" s="1549"/>
      <c r="AH167" s="1549"/>
    </row>
    <row r="168" spans="1:34" ht="12.75" customHeight="1" x14ac:dyDescent="0.2">
      <c r="A168" s="1549"/>
      <c r="B168" s="1549"/>
      <c r="C168" s="1549"/>
      <c r="D168" s="1549"/>
      <c r="E168" s="1549"/>
      <c r="F168" s="1549"/>
      <c r="G168" s="1549"/>
      <c r="H168" s="1549"/>
      <c r="I168" s="1549"/>
      <c r="J168" s="1549"/>
      <c r="K168" s="1549"/>
      <c r="L168" s="1549"/>
      <c r="M168" s="1549"/>
      <c r="N168" s="1549"/>
      <c r="O168" s="1549"/>
      <c r="P168" s="1549"/>
      <c r="Q168" s="1549"/>
      <c r="R168" s="1549"/>
      <c r="S168" s="1549"/>
      <c r="T168" s="1549"/>
      <c r="U168" s="1549"/>
      <c r="V168" s="1549"/>
      <c r="W168" s="1549"/>
      <c r="X168" s="1549"/>
      <c r="Y168" s="1549"/>
      <c r="Z168" s="1549"/>
      <c r="AA168" s="1549"/>
      <c r="AB168" s="1549"/>
      <c r="AC168" s="1549"/>
      <c r="AD168" s="1549"/>
      <c r="AE168" s="1549"/>
      <c r="AF168" s="1549"/>
      <c r="AG168" s="1549"/>
      <c r="AH168" s="1549"/>
    </row>
    <row r="169" spans="1:34" ht="12.75" customHeight="1" x14ac:dyDescent="0.2">
      <c r="A169" s="1549"/>
      <c r="B169" s="1549"/>
      <c r="C169" s="1549"/>
      <c r="D169" s="1549"/>
      <c r="E169" s="1549"/>
      <c r="F169" s="1549"/>
      <c r="G169" s="1549"/>
      <c r="H169" s="1549"/>
      <c r="I169" s="1549"/>
      <c r="J169" s="1549"/>
      <c r="K169" s="1549"/>
      <c r="L169" s="1549"/>
      <c r="M169" s="1549"/>
      <c r="N169" s="1549"/>
      <c r="O169" s="1549"/>
      <c r="P169" s="1549"/>
      <c r="Q169" s="1549"/>
      <c r="R169" s="1549"/>
      <c r="S169" s="1549"/>
      <c r="T169" s="1549"/>
      <c r="U169" s="1549"/>
      <c r="V169" s="1549"/>
      <c r="W169" s="1549"/>
      <c r="X169" s="1549"/>
      <c r="Y169" s="1549"/>
      <c r="Z169" s="1549"/>
      <c r="AA169" s="1549"/>
      <c r="AB169" s="1549"/>
      <c r="AC169" s="1549"/>
      <c r="AD169" s="1549"/>
      <c r="AE169" s="1549"/>
      <c r="AF169" s="1549"/>
      <c r="AG169" s="1549"/>
      <c r="AH169" s="1549"/>
    </row>
    <row r="170" spans="1:34" ht="12.75" customHeight="1" x14ac:dyDescent="0.2">
      <c r="A170" s="1549"/>
      <c r="B170" s="1549"/>
      <c r="C170" s="1549"/>
      <c r="D170" s="1549"/>
      <c r="E170" s="1549"/>
      <c r="F170" s="1549"/>
      <c r="G170" s="1549"/>
      <c r="H170" s="1549"/>
      <c r="I170" s="1549"/>
      <c r="J170" s="1549"/>
      <c r="K170" s="1549"/>
      <c r="L170" s="1549"/>
      <c r="M170" s="1549"/>
      <c r="N170" s="1549"/>
      <c r="O170" s="1549"/>
      <c r="P170" s="1549"/>
      <c r="Q170" s="1549"/>
      <c r="R170" s="1549"/>
      <c r="S170" s="1549"/>
      <c r="T170" s="1549"/>
      <c r="U170" s="1549"/>
      <c r="V170" s="1549"/>
      <c r="W170" s="1549"/>
      <c r="X170" s="1549"/>
      <c r="Y170" s="1549"/>
      <c r="Z170" s="1549"/>
      <c r="AA170" s="1549"/>
      <c r="AB170" s="1549"/>
      <c r="AC170" s="1549"/>
      <c r="AD170" s="1549"/>
      <c r="AE170" s="1549"/>
      <c r="AF170" s="1549"/>
      <c r="AG170" s="1549"/>
      <c r="AH170" s="1549"/>
    </row>
    <row r="171" spans="1:34" ht="12.75" customHeight="1" x14ac:dyDescent="0.2">
      <c r="A171" s="1549"/>
      <c r="B171" s="1549"/>
      <c r="C171" s="1549"/>
      <c r="D171" s="1549"/>
      <c r="E171" s="1549"/>
      <c r="F171" s="1549"/>
      <c r="G171" s="1549"/>
      <c r="H171" s="1549"/>
      <c r="I171" s="1549"/>
      <c r="J171" s="1549"/>
      <c r="K171" s="1549"/>
      <c r="L171" s="1549"/>
      <c r="M171" s="1549"/>
      <c r="N171" s="1549"/>
      <c r="O171" s="1549"/>
      <c r="P171" s="1549"/>
      <c r="Q171" s="1549"/>
      <c r="R171" s="1549"/>
      <c r="S171" s="1549"/>
      <c r="T171" s="1549"/>
      <c r="U171" s="1549"/>
      <c r="V171" s="1549"/>
      <c r="W171" s="1549"/>
      <c r="X171" s="1549"/>
      <c r="Y171" s="1549"/>
      <c r="Z171" s="1549"/>
      <c r="AA171" s="1549"/>
      <c r="AB171" s="1549"/>
      <c r="AC171" s="1549"/>
      <c r="AD171" s="1549"/>
      <c r="AE171" s="1549"/>
      <c r="AF171" s="1549"/>
      <c r="AG171" s="1549"/>
      <c r="AH171" s="1549"/>
    </row>
    <row r="172" spans="1:34" ht="12.75" customHeight="1" x14ac:dyDescent="0.2">
      <c r="A172" s="1549"/>
      <c r="B172" s="1549"/>
      <c r="C172" s="1549"/>
      <c r="D172" s="1549"/>
      <c r="E172" s="1549"/>
      <c r="F172" s="1549"/>
      <c r="G172" s="1549"/>
      <c r="H172" s="1549"/>
      <c r="I172" s="1549"/>
      <c r="J172" s="1549"/>
      <c r="K172" s="1549"/>
      <c r="L172" s="1549"/>
      <c r="M172" s="1549"/>
      <c r="N172" s="1549"/>
      <c r="O172" s="1549"/>
      <c r="P172" s="1549"/>
      <c r="Q172" s="1549"/>
      <c r="R172" s="1549"/>
      <c r="S172" s="1549"/>
      <c r="T172" s="1549"/>
      <c r="U172" s="1549"/>
      <c r="V172" s="1549"/>
      <c r="W172" s="1549"/>
      <c r="X172" s="1549"/>
      <c r="Y172" s="1549"/>
      <c r="Z172" s="1549"/>
      <c r="AA172" s="1549"/>
      <c r="AB172" s="1549"/>
      <c r="AC172" s="1549"/>
      <c r="AD172" s="1549"/>
      <c r="AE172" s="1549"/>
      <c r="AF172" s="1549"/>
      <c r="AG172" s="1549"/>
      <c r="AH172" s="1549"/>
    </row>
    <row r="173" spans="1:34" ht="12.75" customHeight="1" x14ac:dyDescent="0.2">
      <c r="A173" s="1549"/>
      <c r="B173" s="1549"/>
      <c r="C173" s="1549"/>
      <c r="D173" s="1549"/>
      <c r="E173" s="1549"/>
      <c r="F173" s="1549"/>
      <c r="G173" s="1549"/>
      <c r="H173" s="1549"/>
      <c r="I173" s="1549"/>
      <c r="J173" s="1549"/>
      <c r="K173" s="1549"/>
      <c r="L173" s="1549"/>
      <c r="M173" s="1549"/>
      <c r="N173" s="1549"/>
      <c r="O173" s="1549"/>
      <c r="P173" s="1549"/>
      <c r="Q173" s="1549"/>
      <c r="R173" s="1549"/>
      <c r="S173" s="1549"/>
      <c r="T173" s="1549"/>
      <c r="U173" s="1549"/>
      <c r="V173" s="1549"/>
      <c r="W173" s="1549"/>
      <c r="X173" s="1549"/>
      <c r="Y173" s="1549"/>
      <c r="Z173" s="1549"/>
      <c r="AA173" s="1549"/>
      <c r="AB173" s="1549"/>
      <c r="AC173" s="1549"/>
      <c r="AD173" s="1549"/>
      <c r="AE173" s="1549"/>
      <c r="AF173" s="1549"/>
      <c r="AG173" s="1549"/>
      <c r="AH173" s="1549"/>
    </row>
    <row r="174" spans="1:34" ht="12.75" customHeight="1" x14ac:dyDescent="0.2">
      <c r="A174" s="1549"/>
      <c r="B174" s="1549"/>
      <c r="C174" s="1549"/>
      <c r="D174" s="1549"/>
      <c r="E174" s="1549"/>
      <c r="F174" s="1549"/>
      <c r="G174" s="1549"/>
      <c r="H174" s="1549"/>
      <c r="I174" s="1549"/>
      <c r="J174" s="1549"/>
      <c r="K174" s="1549"/>
      <c r="L174" s="1549"/>
      <c r="M174" s="1549"/>
      <c r="N174" s="1549"/>
      <c r="O174" s="1549"/>
      <c r="P174" s="1549"/>
      <c r="Q174" s="1549"/>
      <c r="R174" s="1549"/>
      <c r="S174" s="1549"/>
      <c r="T174" s="1549"/>
      <c r="U174" s="1549"/>
      <c r="V174" s="1549"/>
      <c r="W174" s="1549"/>
      <c r="X174" s="1549"/>
      <c r="Y174" s="1549"/>
      <c r="Z174" s="1549"/>
      <c r="AA174" s="1549"/>
      <c r="AB174" s="1549"/>
      <c r="AC174" s="1549"/>
      <c r="AD174" s="1549"/>
      <c r="AE174" s="1549"/>
      <c r="AF174" s="1549"/>
      <c r="AG174" s="1549"/>
      <c r="AH174" s="1549"/>
    </row>
    <row r="175" spans="1:34" ht="12.75" customHeight="1" x14ac:dyDescent="0.2">
      <c r="A175" s="1549"/>
      <c r="B175" s="1549"/>
      <c r="C175" s="1549"/>
      <c r="D175" s="1549"/>
      <c r="E175" s="1549"/>
      <c r="F175" s="1549"/>
      <c r="G175" s="1549"/>
      <c r="H175" s="1549"/>
      <c r="I175" s="1549"/>
      <c r="J175" s="1549"/>
      <c r="K175" s="1549"/>
      <c r="L175" s="1549"/>
      <c r="M175" s="1549"/>
      <c r="N175" s="1549"/>
      <c r="O175" s="1549"/>
      <c r="P175" s="1549"/>
      <c r="Q175" s="1549"/>
      <c r="R175" s="1549"/>
      <c r="S175" s="1549"/>
      <c r="T175" s="1549"/>
      <c r="U175" s="1549"/>
      <c r="V175" s="1549"/>
      <c r="W175" s="1549"/>
      <c r="X175" s="1549"/>
      <c r="Y175" s="1549"/>
      <c r="Z175" s="1549"/>
      <c r="AA175" s="1549"/>
      <c r="AB175" s="1549"/>
      <c r="AC175" s="1549"/>
      <c r="AD175" s="1549"/>
      <c r="AE175" s="1549"/>
      <c r="AF175" s="1549"/>
      <c r="AG175" s="1549"/>
      <c r="AH175" s="1549"/>
    </row>
    <row r="176" spans="1:34" ht="12.75" customHeight="1" x14ac:dyDescent="0.2">
      <c r="A176" s="1549"/>
      <c r="B176" s="1549"/>
      <c r="C176" s="1549"/>
      <c r="D176" s="1549"/>
      <c r="E176" s="1549"/>
      <c r="F176" s="1549"/>
      <c r="G176" s="1549"/>
      <c r="H176" s="1549"/>
      <c r="I176" s="1549"/>
      <c r="J176" s="1549"/>
      <c r="K176" s="1549"/>
      <c r="L176" s="1549"/>
      <c r="M176" s="1549"/>
      <c r="N176" s="1549"/>
      <c r="O176" s="1549"/>
      <c r="P176" s="1549"/>
      <c r="Q176" s="1549"/>
      <c r="R176" s="1549"/>
      <c r="S176" s="1549"/>
      <c r="T176" s="1549"/>
      <c r="U176" s="1549"/>
      <c r="V176" s="1549"/>
      <c r="W176" s="1549"/>
      <c r="X176" s="1549"/>
      <c r="Y176" s="1549"/>
      <c r="Z176" s="1549"/>
      <c r="AA176" s="1549"/>
      <c r="AB176" s="1549"/>
      <c r="AC176" s="1549"/>
      <c r="AD176" s="1549"/>
      <c r="AE176" s="1549"/>
      <c r="AF176" s="1549"/>
      <c r="AG176" s="1549"/>
      <c r="AH176" s="1549"/>
    </row>
    <row r="177" spans="1:34" ht="12.75" customHeight="1" x14ac:dyDescent="0.2">
      <c r="A177" s="1549"/>
      <c r="B177" s="1549"/>
      <c r="C177" s="1549"/>
      <c r="D177" s="1549"/>
      <c r="E177" s="1549"/>
      <c r="F177" s="1549"/>
      <c r="G177" s="1549"/>
      <c r="H177" s="1549"/>
      <c r="I177" s="1549"/>
      <c r="J177" s="1549"/>
      <c r="K177" s="1549"/>
      <c r="L177" s="1549"/>
      <c r="M177" s="1549"/>
      <c r="N177" s="1549"/>
      <c r="O177" s="1549"/>
      <c r="P177" s="1549"/>
      <c r="Q177" s="1549"/>
      <c r="R177" s="1549"/>
      <c r="S177" s="1549"/>
      <c r="T177" s="1549"/>
      <c r="U177" s="1549"/>
      <c r="V177" s="1549"/>
      <c r="W177" s="1549"/>
      <c r="X177" s="1549"/>
      <c r="Y177" s="1549"/>
      <c r="Z177" s="1549"/>
      <c r="AA177" s="1549"/>
      <c r="AB177" s="1549"/>
      <c r="AC177" s="1549"/>
      <c r="AD177" s="1549"/>
      <c r="AE177" s="1549"/>
      <c r="AF177" s="1549"/>
      <c r="AG177" s="1549"/>
      <c r="AH177" s="1549"/>
    </row>
    <row r="178" spans="1:34" ht="12.75" customHeight="1" x14ac:dyDescent="0.2">
      <c r="A178" s="1549"/>
      <c r="B178" s="1549"/>
      <c r="C178" s="1549"/>
      <c r="D178" s="1549"/>
      <c r="E178" s="1549"/>
      <c r="F178" s="1549"/>
      <c r="G178" s="1549"/>
      <c r="H178" s="1549"/>
      <c r="I178" s="1549"/>
      <c r="J178" s="1549"/>
      <c r="K178" s="1549"/>
      <c r="L178" s="1549"/>
      <c r="M178" s="1549"/>
      <c r="N178" s="1549"/>
      <c r="O178" s="1549"/>
      <c r="P178" s="1549"/>
      <c r="Q178" s="1549"/>
      <c r="R178" s="1549"/>
      <c r="S178" s="1549"/>
      <c r="T178" s="1549"/>
      <c r="U178" s="1549"/>
      <c r="V178" s="1549"/>
      <c r="W178" s="1549"/>
      <c r="X178" s="1549"/>
      <c r="Y178" s="1549"/>
      <c r="Z178" s="1549"/>
      <c r="AA178" s="1549"/>
      <c r="AB178" s="1549"/>
      <c r="AC178" s="1549"/>
      <c r="AD178" s="1549"/>
      <c r="AE178" s="1549"/>
      <c r="AF178" s="1549"/>
      <c r="AG178" s="1549"/>
      <c r="AH178" s="1549"/>
    </row>
    <row r="179" spans="1:34" ht="12.75" customHeight="1" x14ac:dyDescent="0.2">
      <c r="A179" s="1549"/>
      <c r="B179" s="1549"/>
      <c r="C179" s="1549"/>
      <c r="D179" s="1549"/>
      <c r="E179" s="1549"/>
      <c r="F179" s="1549"/>
      <c r="G179" s="1549"/>
      <c r="H179" s="1549"/>
      <c r="I179" s="1549"/>
      <c r="J179" s="1549"/>
      <c r="K179" s="1549"/>
      <c r="L179" s="1549"/>
      <c r="M179" s="1549"/>
      <c r="N179" s="1549"/>
      <c r="O179" s="1549"/>
      <c r="P179" s="1549"/>
      <c r="Q179" s="1549"/>
      <c r="R179" s="1549"/>
      <c r="S179" s="1549"/>
      <c r="T179" s="1549"/>
      <c r="U179" s="1549"/>
      <c r="V179" s="1549"/>
      <c r="W179" s="1549"/>
      <c r="X179" s="1549"/>
      <c r="Y179" s="1549"/>
      <c r="Z179" s="1549"/>
      <c r="AA179" s="1549"/>
      <c r="AB179" s="1549"/>
      <c r="AC179" s="1549"/>
      <c r="AD179" s="1549"/>
      <c r="AE179" s="1549"/>
      <c r="AF179" s="1549"/>
      <c r="AG179" s="1549"/>
      <c r="AH179" s="1549"/>
    </row>
    <row r="180" spans="1:34" ht="12.75" customHeight="1" x14ac:dyDescent="0.2">
      <c r="A180" s="1549"/>
      <c r="B180" s="1549"/>
      <c r="C180" s="1549"/>
      <c r="D180" s="1549"/>
      <c r="E180" s="1549"/>
      <c r="F180" s="1549"/>
      <c r="G180" s="1549"/>
      <c r="H180" s="1549"/>
      <c r="I180" s="1549"/>
      <c r="J180" s="1549"/>
      <c r="K180" s="1549"/>
      <c r="L180" s="1549"/>
      <c r="M180" s="1549"/>
      <c r="N180" s="1549"/>
      <c r="O180" s="1549"/>
      <c r="P180" s="1549"/>
      <c r="Q180" s="1549"/>
      <c r="R180" s="1549"/>
      <c r="S180" s="1549"/>
      <c r="T180" s="1549"/>
      <c r="U180" s="1549"/>
      <c r="V180" s="1549"/>
      <c r="W180" s="1549"/>
      <c r="X180" s="1549"/>
      <c r="Y180" s="1549"/>
      <c r="Z180" s="1549"/>
      <c r="AA180" s="1549"/>
      <c r="AB180" s="1549"/>
      <c r="AC180" s="1549"/>
      <c r="AD180" s="1549"/>
      <c r="AE180" s="1549"/>
      <c r="AF180" s="1549"/>
      <c r="AG180" s="1549"/>
      <c r="AH180" s="1549"/>
    </row>
    <row r="181" spans="1:34" ht="12.75" customHeight="1" x14ac:dyDescent="0.2">
      <c r="A181" s="1549"/>
      <c r="B181" s="1549"/>
      <c r="C181" s="1549"/>
      <c r="D181" s="1549"/>
      <c r="E181" s="1549"/>
      <c r="F181" s="1549"/>
      <c r="G181" s="1549"/>
      <c r="H181" s="1549"/>
      <c r="I181" s="1549"/>
      <c r="J181" s="1549"/>
      <c r="K181" s="1549"/>
      <c r="L181" s="1549"/>
      <c r="M181" s="1549"/>
      <c r="N181" s="1549"/>
      <c r="O181" s="1549"/>
      <c r="P181" s="1549"/>
      <c r="Q181" s="1549"/>
      <c r="R181" s="1549"/>
      <c r="S181" s="1549"/>
      <c r="T181" s="1549"/>
      <c r="U181" s="1549"/>
      <c r="V181" s="1549"/>
      <c r="W181" s="1549"/>
      <c r="X181" s="1549"/>
      <c r="Y181" s="1549"/>
      <c r="Z181" s="1549"/>
      <c r="AA181" s="1549"/>
      <c r="AB181" s="1549"/>
      <c r="AC181" s="1549"/>
      <c r="AD181" s="1549"/>
      <c r="AE181" s="1549"/>
      <c r="AF181" s="1549"/>
      <c r="AG181" s="1549"/>
      <c r="AH181" s="1549"/>
    </row>
    <row r="182" spans="1:34" ht="12.75" customHeight="1" x14ac:dyDescent="0.2">
      <c r="A182" s="1549"/>
      <c r="B182" s="1549"/>
      <c r="C182" s="1549"/>
      <c r="D182" s="1549"/>
      <c r="E182" s="1549"/>
      <c r="F182" s="1549"/>
      <c r="G182" s="1549"/>
      <c r="H182" s="1549"/>
      <c r="I182" s="1549"/>
      <c r="J182" s="1549"/>
      <c r="K182" s="1549"/>
      <c r="L182" s="1549"/>
      <c r="M182" s="1549"/>
      <c r="N182" s="1549"/>
      <c r="O182" s="1549"/>
      <c r="P182" s="1549"/>
      <c r="Q182" s="1549"/>
      <c r="R182" s="1549"/>
      <c r="S182" s="1549"/>
      <c r="T182" s="1549"/>
      <c r="U182" s="1549"/>
      <c r="V182" s="1549"/>
      <c r="W182" s="1549"/>
      <c r="X182" s="1549"/>
      <c r="Y182" s="1549"/>
      <c r="Z182" s="1549"/>
      <c r="AA182" s="1549"/>
      <c r="AB182" s="1549"/>
      <c r="AC182" s="1549"/>
      <c r="AD182" s="1549"/>
      <c r="AE182" s="1549"/>
      <c r="AF182" s="1549"/>
      <c r="AG182" s="1549"/>
      <c r="AH182" s="1549"/>
    </row>
    <row r="183" spans="1:34" ht="12.75" customHeight="1" x14ac:dyDescent="0.2">
      <c r="A183" s="1549"/>
      <c r="B183" s="1549"/>
      <c r="C183" s="1549"/>
      <c r="D183" s="1549"/>
      <c r="E183" s="1549"/>
      <c r="F183" s="1549"/>
      <c r="G183" s="1549"/>
      <c r="H183" s="1549"/>
      <c r="I183" s="1549"/>
      <c r="J183" s="1549"/>
      <c r="K183" s="1549"/>
      <c r="L183" s="1549"/>
      <c r="M183" s="1549"/>
      <c r="N183" s="1549"/>
      <c r="O183" s="1549"/>
      <c r="P183" s="1549"/>
      <c r="Q183" s="1549"/>
      <c r="R183" s="1549"/>
      <c r="S183" s="1549"/>
      <c r="T183" s="1549"/>
      <c r="U183" s="1549"/>
      <c r="V183" s="1549"/>
      <c r="W183" s="1549"/>
      <c r="X183" s="1549"/>
      <c r="Y183" s="1549"/>
      <c r="Z183" s="1549"/>
      <c r="AA183" s="1549"/>
      <c r="AB183" s="1549"/>
      <c r="AC183" s="1549"/>
      <c r="AD183" s="1549"/>
      <c r="AE183" s="1549"/>
      <c r="AF183" s="1549"/>
      <c r="AG183" s="1549"/>
      <c r="AH183" s="1549"/>
    </row>
    <row r="184" spans="1:34" ht="12.75" customHeight="1" x14ac:dyDescent="0.2">
      <c r="A184" s="1549"/>
      <c r="B184" s="1549"/>
      <c r="C184" s="1549"/>
      <c r="D184" s="1549"/>
      <c r="E184" s="1549"/>
      <c r="F184" s="1549"/>
      <c r="G184" s="1549"/>
      <c r="H184" s="1549"/>
      <c r="I184" s="1549"/>
      <c r="J184" s="1549"/>
      <c r="K184" s="1549"/>
      <c r="L184" s="1549"/>
      <c r="M184" s="1549"/>
      <c r="N184" s="1549"/>
      <c r="O184" s="1549"/>
      <c r="P184" s="1549"/>
      <c r="Q184" s="1549"/>
      <c r="R184" s="1549"/>
      <c r="S184" s="1549"/>
      <c r="T184" s="1549"/>
      <c r="U184" s="1549"/>
      <c r="V184" s="1549"/>
      <c r="W184" s="1549"/>
      <c r="X184" s="1549"/>
      <c r="Y184" s="1549"/>
      <c r="Z184" s="1549"/>
      <c r="AA184" s="1549"/>
      <c r="AB184" s="1549"/>
      <c r="AC184" s="1549"/>
      <c r="AD184" s="1549"/>
      <c r="AE184" s="1549"/>
      <c r="AF184" s="1549"/>
      <c r="AG184" s="1549"/>
      <c r="AH184" s="1549"/>
    </row>
    <row r="185" spans="1:34" ht="12.75" customHeight="1" x14ac:dyDescent="0.2">
      <c r="A185" s="1549"/>
      <c r="B185" s="1549"/>
      <c r="C185" s="1549"/>
      <c r="D185" s="1549"/>
      <c r="E185" s="1549"/>
      <c r="F185" s="1549"/>
      <c r="G185" s="1549"/>
      <c r="H185" s="1549"/>
      <c r="I185" s="1549"/>
      <c r="J185" s="1549"/>
      <c r="K185" s="1549"/>
      <c r="L185" s="1549"/>
      <c r="M185" s="1549"/>
      <c r="N185" s="1549"/>
      <c r="O185" s="1549"/>
      <c r="P185" s="1549"/>
      <c r="Q185" s="1549"/>
      <c r="R185" s="1549"/>
      <c r="S185" s="1549"/>
      <c r="T185" s="1549"/>
      <c r="U185" s="1549"/>
      <c r="V185" s="1549"/>
      <c r="W185" s="1549"/>
      <c r="X185" s="1549"/>
      <c r="Y185" s="1549"/>
      <c r="Z185" s="1549"/>
      <c r="AA185" s="1549"/>
      <c r="AB185" s="1549"/>
      <c r="AC185" s="1549"/>
      <c r="AD185" s="1549"/>
      <c r="AE185" s="1549"/>
      <c r="AF185" s="1549"/>
      <c r="AG185" s="1549"/>
      <c r="AH185" s="1549"/>
    </row>
    <row r="186" spans="1:34" ht="12.75" customHeight="1" x14ac:dyDescent="0.2">
      <c r="A186" s="1549"/>
      <c r="B186" s="1549"/>
      <c r="C186" s="1549"/>
      <c r="D186" s="1549"/>
      <c r="E186" s="1549"/>
      <c r="F186" s="1549"/>
      <c r="G186" s="1549"/>
      <c r="H186" s="1549"/>
      <c r="I186" s="1549"/>
      <c r="J186" s="1549"/>
      <c r="K186" s="1549"/>
      <c r="L186" s="1549"/>
      <c r="M186" s="1549"/>
      <c r="N186" s="1549"/>
      <c r="O186" s="1549"/>
      <c r="P186" s="1549"/>
      <c r="Q186" s="1549"/>
      <c r="R186" s="1549"/>
      <c r="S186" s="1549"/>
      <c r="T186" s="1549"/>
      <c r="U186" s="1549"/>
      <c r="V186" s="1549"/>
      <c r="W186" s="1549"/>
      <c r="X186" s="1549"/>
      <c r="Y186" s="1549"/>
      <c r="Z186" s="1549"/>
      <c r="AA186" s="1549"/>
      <c r="AB186" s="1549"/>
      <c r="AC186" s="1549"/>
      <c r="AD186" s="1549"/>
      <c r="AE186" s="1549"/>
      <c r="AF186" s="1549"/>
      <c r="AG186" s="1549"/>
      <c r="AH186" s="1549"/>
    </row>
    <row r="187" spans="1:34" ht="12.75" customHeight="1" x14ac:dyDescent="0.2">
      <c r="A187" s="1549"/>
      <c r="B187" s="1549"/>
      <c r="C187" s="1549"/>
      <c r="D187" s="1549"/>
      <c r="E187" s="1549"/>
      <c r="F187" s="1549"/>
      <c r="G187" s="1549"/>
      <c r="H187" s="1549"/>
      <c r="I187" s="1549"/>
      <c r="J187" s="1549"/>
      <c r="K187" s="1549"/>
      <c r="L187" s="1549"/>
      <c r="M187" s="1549"/>
      <c r="N187" s="1549"/>
      <c r="O187" s="1549"/>
      <c r="P187" s="1549"/>
      <c r="Q187" s="1549"/>
      <c r="R187" s="1549"/>
      <c r="S187" s="1549"/>
      <c r="T187" s="1549"/>
      <c r="U187" s="1549"/>
      <c r="V187" s="1549"/>
      <c r="W187" s="1549"/>
      <c r="X187" s="1549"/>
      <c r="Y187" s="1549"/>
      <c r="Z187" s="1549"/>
      <c r="AA187" s="1549"/>
      <c r="AB187" s="1549"/>
      <c r="AC187" s="1549"/>
      <c r="AD187" s="1549"/>
      <c r="AE187" s="1549"/>
      <c r="AF187" s="1549"/>
      <c r="AG187" s="1549"/>
      <c r="AH187" s="1549"/>
    </row>
    <row r="188" spans="1:34" ht="12.75" customHeight="1" x14ac:dyDescent="0.2">
      <c r="A188" s="1549"/>
      <c r="B188" s="1549"/>
      <c r="C188" s="1549"/>
      <c r="D188" s="1549"/>
      <c r="E188" s="1549"/>
      <c r="F188" s="1549"/>
      <c r="G188" s="1549"/>
      <c r="H188" s="1549"/>
      <c r="I188" s="1549"/>
      <c r="J188" s="1549"/>
      <c r="K188" s="1549"/>
      <c r="L188" s="1549"/>
      <c r="M188" s="1549"/>
      <c r="N188" s="1549"/>
      <c r="O188" s="1549"/>
      <c r="P188" s="1549"/>
      <c r="Q188" s="1549"/>
      <c r="R188" s="1549"/>
      <c r="S188" s="1549"/>
      <c r="T188" s="1549"/>
      <c r="U188" s="1549"/>
      <c r="V188" s="1549"/>
      <c r="W188" s="1549"/>
      <c r="X188" s="1549"/>
      <c r="Y188" s="1549"/>
      <c r="Z188" s="1549"/>
      <c r="AA188" s="1549"/>
      <c r="AB188" s="1549"/>
      <c r="AC188" s="1549"/>
      <c r="AD188" s="1549"/>
      <c r="AE188" s="1549"/>
      <c r="AF188" s="1549"/>
      <c r="AG188" s="1549"/>
      <c r="AH188" s="1549"/>
    </row>
    <row r="189" spans="1:34" ht="12.75" customHeight="1" x14ac:dyDescent="0.2">
      <c r="A189" s="1549"/>
      <c r="B189" s="1549"/>
      <c r="C189" s="1549"/>
      <c r="D189" s="1549"/>
      <c r="E189" s="1549"/>
      <c r="F189" s="1549"/>
      <c r="G189" s="1549"/>
      <c r="H189" s="1549"/>
      <c r="I189" s="1549"/>
      <c r="J189" s="1549"/>
      <c r="K189" s="1549"/>
      <c r="L189" s="1549"/>
      <c r="M189" s="1549"/>
      <c r="N189" s="1549"/>
      <c r="O189" s="1549"/>
      <c r="P189" s="1549"/>
      <c r="Q189" s="1549"/>
      <c r="R189" s="1549"/>
      <c r="S189" s="1549"/>
      <c r="T189" s="1549"/>
      <c r="U189" s="1549"/>
      <c r="V189" s="1549"/>
      <c r="W189" s="1549"/>
      <c r="X189" s="1549"/>
      <c r="Y189" s="1549"/>
      <c r="Z189" s="1549"/>
      <c r="AA189" s="1549"/>
      <c r="AB189" s="1549"/>
      <c r="AC189" s="1549"/>
      <c r="AD189" s="1549"/>
      <c r="AE189" s="1549"/>
      <c r="AF189" s="1549"/>
      <c r="AG189" s="1549"/>
      <c r="AH189" s="1549"/>
    </row>
    <row r="190" spans="1:34" ht="12.75" customHeight="1" x14ac:dyDescent="0.2">
      <c r="A190" s="1549"/>
      <c r="B190" s="1549"/>
      <c r="C190" s="1549"/>
      <c r="D190" s="1549"/>
      <c r="E190" s="1549"/>
      <c r="F190" s="1549"/>
      <c r="G190" s="1549"/>
      <c r="H190" s="1549"/>
      <c r="I190" s="1549"/>
      <c r="J190" s="1549"/>
      <c r="K190" s="1549"/>
      <c r="L190" s="1549"/>
      <c r="M190" s="1549"/>
      <c r="N190" s="1549"/>
      <c r="O190" s="1549"/>
      <c r="P190" s="1549"/>
      <c r="Q190" s="1549"/>
      <c r="R190" s="1549"/>
      <c r="S190" s="1549"/>
      <c r="T190" s="1549"/>
      <c r="U190" s="1549"/>
      <c r="V190" s="1549"/>
      <c r="W190" s="1549"/>
      <c r="X190" s="1549"/>
      <c r="Y190" s="1549"/>
      <c r="Z190" s="1549"/>
      <c r="AA190" s="1549"/>
      <c r="AB190" s="1549"/>
      <c r="AC190" s="1549"/>
      <c r="AD190" s="1549"/>
      <c r="AE190" s="1549"/>
      <c r="AF190" s="1549"/>
      <c r="AG190" s="1549"/>
      <c r="AH190" s="1549"/>
    </row>
    <row r="191" spans="1:34" ht="12.75" customHeight="1" x14ac:dyDescent="0.2">
      <c r="A191" s="1549"/>
      <c r="B191" s="1549"/>
      <c r="C191" s="1549"/>
      <c r="D191" s="1549"/>
      <c r="E191" s="1549"/>
      <c r="F191" s="1549"/>
      <c r="G191" s="1549"/>
      <c r="H191" s="1549"/>
      <c r="I191" s="1549"/>
      <c r="J191" s="1549"/>
      <c r="K191" s="1549"/>
      <c r="L191" s="1549"/>
      <c r="M191" s="1549"/>
      <c r="N191" s="1549"/>
      <c r="O191" s="1549"/>
      <c r="P191" s="1549"/>
      <c r="Q191" s="1549"/>
      <c r="R191" s="1549"/>
      <c r="S191" s="1549"/>
      <c r="T191" s="1549"/>
      <c r="U191" s="1549"/>
      <c r="V191" s="1549"/>
      <c r="W191" s="1549"/>
      <c r="X191" s="1549"/>
      <c r="Y191" s="1549"/>
      <c r="Z191" s="1549"/>
      <c r="AA191" s="1549"/>
      <c r="AB191" s="1549"/>
      <c r="AC191" s="1549"/>
      <c r="AD191" s="1549"/>
      <c r="AE191" s="1549"/>
      <c r="AF191" s="1549"/>
      <c r="AG191" s="1549"/>
      <c r="AH191" s="1549"/>
    </row>
    <row r="192" spans="1:34" ht="12.75" customHeight="1" x14ac:dyDescent="0.2">
      <c r="A192" s="1549"/>
      <c r="B192" s="1549"/>
      <c r="C192" s="1549"/>
      <c r="D192" s="1549"/>
      <c r="E192" s="1549"/>
      <c r="F192" s="1549"/>
      <c r="G192" s="1549"/>
      <c r="H192" s="1549"/>
      <c r="I192" s="1549"/>
      <c r="J192" s="1549"/>
      <c r="K192" s="1549"/>
      <c r="L192" s="1549"/>
      <c r="M192" s="1549"/>
      <c r="N192" s="1549"/>
      <c r="O192" s="1549"/>
      <c r="P192" s="1549"/>
      <c r="Q192" s="1549"/>
      <c r="R192" s="1549"/>
      <c r="S192" s="1549"/>
      <c r="T192" s="1549"/>
      <c r="U192" s="1549"/>
      <c r="V192" s="1549"/>
      <c r="W192" s="1549"/>
      <c r="X192" s="1549"/>
      <c r="Y192" s="1549"/>
      <c r="Z192" s="1549"/>
      <c r="AA192" s="1549"/>
      <c r="AB192" s="1549"/>
      <c r="AC192" s="1549"/>
      <c r="AD192" s="1549"/>
      <c r="AE192" s="1549"/>
      <c r="AF192" s="1549"/>
      <c r="AG192" s="1549"/>
      <c r="AH192" s="1549"/>
    </row>
    <row r="193" spans="1:34" ht="12.75" customHeight="1" x14ac:dyDescent="0.2">
      <c r="A193" s="1549"/>
      <c r="B193" s="1549"/>
      <c r="C193" s="1549"/>
      <c r="D193" s="1549"/>
      <c r="E193" s="1549"/>
      <c r="F193" s="1549"/>
      <c r="G193" s="1549"/>
      <c r="H193" s="1549"/>
      <c r="I193" s="1549"/>
      <c r="J193" s="1549"/>
      <c r="K193" s="1549"/>
      <c r="L193" s="1549"/>
      <c r="M193" s="1549"/>
      <c r="N193" s="1549"/>
      <c r="O193" s="1549"/>
      <c r="P193" s="1549"/>
      <c r="Q193" s="1549"/>
      <c r="R193" s="1549"/>
      <c r="S193" s="1549"/>
      <c r="T193" s="1549"/>
      <c r="U193" s="1549"/>
      <c r="V193" s="1549"/>
      <c r="W193" s="1549"/>
      <c r="X193" s="1549"/>
      <c r="Y193" s="1549"/>
      <c r="Z193" s="1549"/>
      <c r="AA193" s="1549"/>
      <c r="AB193" s="1549"/>
      <c r="AC193" s="1549"/>
      <c r="AD193" s="1549"/>
      <c r="AE193" s="1549"/>
      <c r="AF193" s="1549"/>
      <c r="AG193" s="1549"/>
      <c r="AH193" s="1549"/>
    </row>
    <row r="194" spans="1:34" ht="12.75" customHeight="1" x14ac:dyDescent="0.2">
      <c r="A194" s="1549"/>
      <c r="B194" s="1549"/>
      <c r="C194" s="1549"/>
      <c r="D194" s="1549"/>
      <c r="E194" s="1549"/>
      <c r="F194" s="1549"/>
      <c r="G194" s="1549"/>
      <c r="H194" s="1549"/>
      <c r="I194" s="1549"/>
      <c r="J194" s="1549"/>
      <c r="K194" s="1549"/>
      <c r="L194" s="1549"/>
      <c r="M194" s="1549"/>
      <c r="N194" s="1549"/>
      <c r="O194" s="1549"/>
      <c r="P194" s="1549"/>
      <c r="Q194" s="1549"/>
      <c r="R194" s="1549"/>
      <c r="S194" s="1549"/>
      <c r="T194" s="1549"/>
      <c r="U194" s="1549"/>
      <c r="V194" s="1549"/>
      <c r="W194" s="1549"/>
      <c r="X194" s="1549"/>
      <c r="Y194" s="1549"/>
      <c r="Z194" s="1549"/>
      <c r="AA194" s="1549"/>
      <c r="AB194" s="1549"/>
      <c r="AC194" s="1549"/>
      <c r="AD194" s="1549"/>
      <c r="AE194" s="1549"/>
      <c r="AF194" s="1549"/>
      <c r="AG194" s="1549"/>
      <c r="AH194" s="1549"/>
    </row>
    <row r="195" spans="1:34" ht="12.75" customHeight="1" x14ac:dyDescent="0.2">
      <c r="A195" s="1549"/>
      <c r="B195" s="1549"/>
      <c r="C195" s="1549"/>
      <c r="D195" s="1549"/>
      <c r="E195" s="1549"/>
      <c r="F195" s="1549"/>
      <c r="G195" s="1549"/>
      <c r="H195" s="1549"/>
      <c r="I195" s="1549"/>
      <c r="J195" s="1549"/>
      <c r="K195" s="1549"/>
      <c r="L195" s="1549"/>
      <c r="M195" s="1549"/>
      <c r="N195" s="1549"/>
      <c r="O195" s="1549"/>
      <c r="P195" s="1549"/>
      <c r="Q195" s="1549"/>
      <c r="R195" s="1549"/>
      <c r="S195" s="1549"/>
      <c r="T195" s="1549"/>
      <c r="U195" s="1549"/>
      <c r="V195" s="1549"/>
      <c r="W195" s="1549"/>
      <c r="X195" s="1549"/>
      <c r="Y195" s="1549"/>
      <c r="Z195" s="1549"/>
      <c r="AA195" s="1549"/>
      <c r="AB195" s="1549"/>
      <c r="AC195" s="1549"/>
      <c r="AD195" s="1549"/>
      <c r="AE195" s="1549"/>
      <c r="AF195" s="1549"/>
      <c r="AG195" s="1549"/>
      <c r="AH195" s="1549"/>
    </row>
    <row r="196" spans="1:34" ht="12.75" customHeight="1" x14ac:dyDescent="0.2">
      <c r="A196" s="1549"/>
      <c r="B196" s="1549"/>
      <c r="C196" s="1549"/>
      <c r="D196" s="1549"/>
      <c r="E196" s="1549"/>
      <c r="F196" s="1549"/>
      <c r="G196" s="1549"/>
      <c r="H196" s="1549"/>
      <c r="I196" s="1549"/>
      <c r="J196" s="1549"/>
      <c r="K196" s="1549"/>
      <c r="L196" s="1549"/>
      <c r="M196" s="1549"/>
      <c r="N196" s="1549"/>
      <c r="O196" s="1549"/>
      <c r="P196" s="1549"/>
      <c r="Q196" s="1549"/>
      <c r="R196" s="1549"/>
      <c r="S196" s="1549"/>
      <c r="T196" s="1549"/>
      <c r="U196" s="1549"/>
      <c r="V196" s="1549"/>
      <c r="W196" s="1549"/>
      <c r="X196" s="1549"/>
      <c r="Y196" s="1549"/>
      <c r="Z196" s="1549"/>
      <c r="AA196" s="1549"/>
      <c r="AB196" s="1549"/>
      <c r="AC196" s="1549"/>
      <c r="AD196" s="1549"/>
      <c r="AE196" s="1549"/>
      <c r="AF196" s="1549"/>
      <c r="AG196" s="1549"/>
      <c r="AH196" s="1549"/>
    </row>
    <row r="197" spans="1:34" ht="12.75" customHeight="1" x14ac:dyDescent="0.2">
      <c r="A197" s="1549"/>
      <c r="B197" s="1549"/>
      <c r="C197" s="1549"/>
      <c r="D197" s="1549"/>
      <c r="E197" s="1549"/>
      <c r="F197" s="1549"/>
      <c r="G197" s="1549"/>
      <c r="H197" s="1549"/>
      <c r="I197" s="1549"/>
      <c r="J197" s="1549"/>
      <c r="K197" s="1549"/>
      <c r="L197" s="1549"/>
      <c r="M197" s="1549"/>
      <c r="N197" s="1549"/>
      <c r="O197" s="1549"/>
      <c r="P197" s="1549"/>
      <c r="Q197" s="1549"/>
      <c r="R197" s="1549"/>
      <c r="S197" s="1549"/>
      <c r="T197" s="1549"/>
      <c r="U197" s="1549"/>
      <c r="V197" s="1549"/>
      <c r="W197" s="1549"/>
      <c r="X197" s="1549"/>
      <c r="Y197" s="1549"/>
      <c r="Z197" s="1549"/>
      <c r="AA197" s="1549"/>
      <c r="AB197" s="1549"/>
      <c r="AC197" s="1549"/>
      <c r="AD197" s="1549"/>
      <c r="AE197" s="1549"/>
      <c r="AF197" s="1549"/>
      <c r="AG197" s="1549"/>
      <c r="AH197" s="1549"/>
    </row>
    <row r="198" spans="1:34" ht="12.75" customHeight="1" x14ac:dyDescent="0.2">
      <c r="A198" s="1549"/>
      <c r="B198" s="1549"/>
      <c r="C198" s="1549"/>
      <c r="D198" s="1549"/>
      <c r="E198" s="1549"/>
      <c r="F198" s="1549"/>
      <c r="G198" s="1549"/>
      <c r="H198" s="1549"/>
      <c r="I198" s="1549"/>
      <c r="J198" s="1549"/>
      <c r="K198" s="1549"/>
      <c r="L198" s="1549"/>
      <c r="M198" s="1549"/>
      <c r="N198" s="1549"/>
      <c r="O198" s="1549"/>
      <c r="P198" s="1549"/>
      <c r="Q198" s="1549"/>
      <c r="R198" s="1549"/>
      <c r="S198" s="1549"/>
      <c r="T198" s="1549"/>
      <c r="U198" s="1549"/>
      <c r="V198" s="1549"/>
      <c r="W198" s="1549"/>
      <c r="X198" s="1549"/>
      <c r="Y198" s="1549"/>
      <c r="Z198" s="1549"/>
      <c r="AA198" s="1549"/>
      <c r="AB198" s="1549"/>
      <c r="AC198" s="1549"/>
      <c r="AD198" s="1549"/>
      <c r="AE198" s="1549"/>
      <c r="AF198" s="1549"/>
      <c r="AG198" s="1549"/>
      <c r="AH198" s="1549"/>
    </row>
    <row r="199" spans="1:34" ht="12.75" customHeight="1" x14ac:dyDescent="0.2">
      <c r="A199" s="1549"/>
      <c r="B199" s="1549"/>
      <c r="C199" s="1549"/>
      <c r="D199" s="1549"/>
      <c r="E199" s="1549"/>
      <c r="F199" s="1549"/>
      <c r="G199" s="1549"/>
      <c r="H199" s="1549"/>
      <c r="I199" s="1549"/>
      <c r="J199" s="1549"/>
      <c r="K199" s="1549"/>
      <c r="L199" s="1549"/>
      <c r="M199" s="1549"/>
      <c r="N199" s="1549"/>
      <c r="O199" s="1549"/>
      <c r="P199" s="1549"/>
      <c r="Q199" s="1549"/>
      <c r="R199" s="1549"/>
      <c r="S199" s="1549"/>
      <c r="T199" s="1549"/>
      <c r="U199" s="1549"/>
      <c r="V199" s="1549"/>
      <c r="W199" s="1549"/>
      <c r="X199" s="1549"/>
      <c r="Y199" s="1549"/>
      <c r="Z199" s="1549"/>
      <c r="AA199" s="1549"/>
      <c r="AB199" s="1549"/>
      <c r="AC199" s="1549"/>
      <c r="AD199" s="1549"/>
      <c r="AE199" s="1549"/>
      <c r="AF199" s="1549"/>
      <c r="AG199" s="1549"/>
      <c r="AH199" s="1549"/>
    </row>
    <row r="200" spans="1:34" ht="12.75" customHeight="1" x14ac:dyDescent="0.2">
      <c r="A200" s="1549"/>
      <c r="B200" s="1549"/>
      <c r="C200" s="1549"/>
      <c r="D200" s="1549"/>
      <c r="E200" s="1549"/>
      <c r="F200" s="1549"/>
      <c r="G200" s="1549"/>
      <c r="H200" s="1549"/>
      <c r="I200" s="1549"/>
      <c r="J200" s="1549"/>
      <c r="K200" s="1549"/>
      <c r="L200" s="1549"/>
      <c r="M200" s="1549"/>
      <c r="N200" s="1549"/>
      <c r="O200" s="1549"/>
      <c r="P200" s="1549"/>
      <c r="Q200" s="1549"/>
      <c r="R200" s="1549"/>
      <c r="S200" s="1549"/>
      <c r="T200" s="1549"/>
      <c r="U200" s="1549"/>
      <c r="V200" s="1549"/>
      <c r="W200" s="1549"/>
      <c r="X200" s="1549"/>
      <c r="Y200" s="1549"/>
      <c r="Z200" s="1549"/>
      <c r="AA200" s="1549"/>
      <c r="AB200" s="1549"/>
      <c r="AC200" s="1549"/>
      <c r="AD200" s="1549"/>
      <c r="AE200" s="1549"/>
      <c r="AF200" s="1549"/>
      <c r="AG200" s="1549"/>
      <c r="AH200" s="1549"/>
    </row>
    <row r="201" spans="1:34" ht="12.75" customHeight="1" x14ac:dyDescent="0.2">
      <c r="A201" s="1549"/>
      <c r="B201" s="1549"/>
      <c r="C201" s="1549"/>
      <c r="D201" s="1549"/>
      <c r="E201" s="1549"/>
      <c r="F201" s="1549"/>
      <c r="G201" s="1549"/>
      <c r="H201" s="1549"/>
      <c r="I201" s="1549"/>
      <c r="J201" s="1549"/>
      <c r="K201" s="1549"/>
      <c r="L201" s="1549"/>
      <c r="M201" s="1549"/>
      <c r="N201" s="1549"/>
      <c r="O201" s="1549"/>
      <c r="P201" s="1549"/>
      <c r="Q201" s="1549"/>
      <c r="R201" s="1549"/>
      <c r="S201" s="1549"/>
      <c r="T201" s="1549"/>
      <c r="U201" s="1549"/>
      <c r="V201" s="1549"/>
      <c r="W201" s="1549"/>
      <c r="X201" s="1549"/>
      <c r="Y201" s="1549"/>
      <c r="Z201" s="1549"/>
      <c r="AA201" s="1549"/>
      <c r="AB201" s="1549"/>
      <c r="AC201" s="1549"/>
      <c r="AD201" s="1549"/>
      <c r="AE201" s="1549"/>
      <c r="AF201" s="1549"/>
      <c r="AG201" s="1549"/>
      <c r="AH201" s="1549"/>
    </row>
    <row r="202" spans="1:34" ht="12.75" customHeight="1" x14ac:dyDescent="0.2">
      <c r="A202" s="1549"/>
      <c r="B202" s="1549"/>
      <c r="C202" s="1549"/>
      <c r="D202" s="1549"/>
      <c r="E202" s="1549"/>
      <c r="F202" s="1549"/>
      <c r="G202" s="1549"/>
      <c r="H202" s="1549"/>
      <c r="I202" s="1549"/>
      <c r="J202" s="1549"/>
      <c r="K202" s="1549"/>
      <c r="L202" s="1549"/>
      <c r="M202" s="1549"/>
      <c r="N202" s="1549"/>
      <c r="O202" s="1549"/>
      <c r="P202" s="1549"/>
      <c r="Q202" s="1549"/>
      <c r="R202" s="1549"/>
      <c r="S202" s="1549"/>
      <c r="T202" s="1549"/>
      <c r="U202" s="1549"/>
      <c r="V202" s="1549"/>
      <c r="W202" s="1549"/>
      <c r="X202" s="1549"/>
      <c r="Y202" s="1549"/>
      <c r="Z202" s="1549"/>
      <c r="AA202" s="1549"/>
      <c r="AB202" s="1549"/>
      <c r="AC202" s="1549"/>
      <c r="AD202" s="1549"/>
      <c r="AE202" s="1549"/>
      <c r="AF202" s="1549"/>
      <c r="AG202" s="1549"/>
      <c r="AH202" s="1549"/>
    </row>
    <row r="203" spans="1:34" ht="12.75" customHeight="1" x14ac:dyDescent="0.2">
      <c r="A203" s="1549"/>
      <c r="B203" s="1549"/>
      <c r="C203" s="1549"/>
      <c r="D203" s="1549"/>
      <c r="E203" s="1549"/>
      <c r="F203" s="1549"/>
      <c r="G203" s="1549"/>
      <c r="H203" s="1549"/>
      <c r="I203" s="1549"/>
      <c r="J203" s="1549"/>
      <c r="K203" s="1549"/>
      <c r="L203" s="1549"/>
      <c r="M203" s="1549"/>
      <c r="N203" s="1549"/>
      <c r="O203" s="1549"/>
      <c r="P203" s="1549"/>
      <c r="Q203" s="1549"/>
      <c r="R203" s="1549"/>
      <c r="S203" s="1549"/>
      <c r="T203" s="1549"/>
      <c r="U203" s="1549"/>
      <c r="V203" s="1549"/>
      <c r="W203" s="1549"/>
      <c r="X203" s="1549"/>
      <c r="Y203" s="1549"/>
      <c r="Z203" s="1549"/>
      <c r="AA203" s="1549"/>
      <c r="AB203" s="1549"/>
      <c r="AC203" s="1549"/>
      <c r="AD203" s="1549"/>
      <c r="AE203" s="1549"/>
      <c r="AF203" s="1549"/>
      <c r="AG203" s="1549"/>
      <c r="AH203" s="1549"/>
    </row>
    <row r="204" spans="1:34" ht="12.75" customHeight="1" x14ac:dyDescent="0.2">
      <c r="A204" s="1549"/>
      <c r="B204" s="1549"/>
      <c r="C204" s="1549"/>
      <c r="D204" s="1549"/>
      <c r="E204" s="1549"/>
      <c r="F204" s="1549"/>
      <c r="G204" s="1549"/>
      <c r="H204" s="1549"/>
      <c r="I204" s="1549"/>
      <c r="J204" s="1549"/>
      <c r="K204" s="1549"/>
      <c r="L204" s="1549"/>
      <c r="M204" s="1549"/>
      <c r="N204" s="1549"/>
      <c r="O204" s="1549"/>
      <c r="P204" s="1549"/>
      <c r="Q204" s="1549"/>
      <c r="R204" s="1549"/>
      <c r="S204" s="1549"/>
      <c r="T204" s="1549"/>
      <c r="U204" s="1549"/>
      <c r="V204" s="1549"/>
      <c r="W204" s="1549"/>
      <c r="X204" s="1549"/>
      <c r="Y204" s="1549"/>
      <c r="Z204" s="1549"/>
      <c r="AA204" s="1549"/>
      <c r="AB204" s="1549"/>
      <c r="AC204" s="1549"/>
      <c r="AD204" s="1549"/>
      <c r="AE204" s="1549"/>
      <c r="AF204" s="1549"/>
      <c r="AG204" s="1549"/>
      <c r="AH204" s="1549"/>
    </row>
    <row r="205" spans="1:34" ht="12.75" customHeight="1" x14ac:dyDescent="0.2">
      <c r="A205" s="1549"/>
      <c r="B205" s="1549"/>
      <c r="C205" s="1549"/>
      <c r="D205" s="1549"/>
      <c r="E205" s="1549"/>
      <c r="F205" s="1549"/>
      <c r="G205" s="1549"/>
      <c r="H205" s="1549"/>
      <c r="I205" s="1549"/>
      <c r="J205" s="1549"/>
      <c r="K205" s="1549"/>
      <c r="L205" s="1549"/>
      <c r="M205" s="1549"/>
      <c r="N205" s="1549"/>
      <c r="O205" s="1549"/>
      <c r="P205" s="1549"/>
      <c r="Q205" s="1549"/>
      <c r="R205" s="1549"/>
      <c r="S205" s="1549"/>
      <c r="T205" s="1549"/>
      <c r="U205" s="1549"/>
      <c r="V205" s="1549"/>
      <c r="W205" s="1549"/>
      <c r="X205" s="1549"/>
      <c r="Y205" s="1549"/>
      <c r="Z205" s="1549"/>
      <c r="AA205" s="1549"/>
      <c r="AB205" s="1549"/>
      <c r="AC205" s="1549"/>
      <c r="AD205" s="1549"/>
      <c r="AE205" s="1549"/>
      <c r="AF205" s="1549"/>
      <c r="AG205" s="1549"/>
      <c r="AH205" s="1549"/>
    </row>
    <row r="206" spans="1:34" ht="12.75" customHeight="1" x14ac:dyDescent="0.2">
      <c r="A206" s="1549"/>
      <c r="B206" s="1549"/>
      <c r="C206" s="1549"/>
      <c r="D206" s="1549"/>
      <c r="E206" s="1549"/>
      <c r="F206" s="1549"/>
      <c r="G206" s="1549"/>
      <c r="H206" s="1549"/>
      <c r="I206" s="1549"/>
      <c r="J206" s="1549"/>
      <c r="K206" s="1549"/>
      <c r="L206" s="1549"/>
      <c r="M206" s="1549"/>
      <c r="N206" s="1549"/>
      <c r="O206" s="1549"/>
      <c r="P206" s="1549"/>
      <c r="Q206" s="1549"/>
      <c r="R206" s="1549"/>
      <c r="S206" s="1549"/>
      <c r="T206" s="1549"/>
      <c r="U206" s="1549"/>
      <c r="V206" s="1549"/>
      <c r="W206" s="1549"/>
      <c r="X206" s="1549"/>
      <c r="Y206" s="1549"/>
      <c r="Z206" s="1549"/>
      <c r="AA206" s="1549"/>
      <c r="AB206" s="1549"/>
      <c r="AC206" s="1549"/>
      <c r="AD206" s="1549"/>
      <c r="AE206" s="1549"/>
      <c r="AF206" s="1549"/>
      <c r="AG206" s="1549"/>
      <c r="AH206" s="1549"/>
    </row>
    <row r="207" spans="1:34" ht="12.75" customHeight="1" x14ac:dyDescent="0.2">
      <c r="A207" s="1549"/>
      <c r="B207" s="1549"/>
      <c r="C207" s="1549"/>
      <c r="D207" s="1549"/>
      <c r="E207" s="1549"/>
      <c r="F207" s="1549"/>
      <c r="G207" s="1549"/>
      <c r="H207" s="1549"/>
      <c r="I207" s="1549"/>
      <c r="J207" s="1549"/>
      <c r="K207" s="1549"/>
      <c r="L207" s="1549"/>
      <c r="M207" s="1549"/>
      <c r="N207" s="1549"/>
      <c r="O207" s="1549"/>
      <c r="P207" s="1549"/>
      <c r="Q207" s="1549"/>
      <c r="R207" s="1549"/>
      <c r="S207" s="1549"/>
      <c r="T207" s="1549"/>
      <c r="U207" s="1549"/>
      <c r="V207" s="1549"/>
      <c r="W207" s="1549"/>
      <c r="X207" s="1549"/>
      <c r="Y207" s="1549"/>
      <c r="Z207" s="1549"/>
      <c r="AA207" s="1549"/>
      <c r="AB207" s="1549"/>
      <c r="AC207" s="1549"/>
      <c r="AD207" s="1549"/>
      <c r="AE207" s="1549"/>
      <c r="AF207" s="1549"/>
      <c r="AG207" s="1549"/>
      <c r="AH207" s="1549"/>
    </row>
    <row r="208" spans="1:34" ht="12.75" customHeight="1" x14ac:dyDescent="0.2">
      <c r="A208" s="1549"/>
      <c r="B208" s="1549"/>
      <c r="C208" s="1549"/>
      <c r="D208" s="1549"/>
      <c r="E208" s="1549"/>
      <c r="F208" s="1549"/>
      <c r="G208" s="1549"/>
      <c r="H208" s="1549"/>
      <c r="I208" s="1549"/>
      <c r="J208" s="1549"/>
      <c r="K208" s="1549"/>
      <c r="L208" s="1549"/>
      <c r="M208" s="1549"/>
      <c r="N208" s="1549"/>
      <c r="O208" s="1549"/>
      <c r="P208" s="1549"/>
      <c r="Q208" s="1549"/>
      <c r="R208" s="1549"/>
      <c r="S208" s="1549"/>
      <c r="T208" s="1549"/>
      <c r="U208" s="1549"/>
      <c r="V208" s="1549"/>
      <c r="W208" s="1549"/>
      <c r="X208" s="1549"/>
      <c r="Y208" s="1549"/>
      <c r="Z208" s="1549"/>
      <c r="AA208" s="1549"/>
      <c r="AB208" s="1549"/>
      <c r="AC208" s="1549"/>
      <c r="AD208" s="1549"/>
      <c r="AE208" s="1549"/>
      <c r="AF208" s="1549"/>
      <c r="AG208" s="1549"/>
      <c r="AH208" s="1549"/>
    </row>
    <row r="209" spans="1:34" ht="12.75" customHeight="1" x14ac:dyDescent="0.2">
      <c r="A209" s="1549"/>
      <c r="B209" s="1549"/>
      <c r="C209" s="1549"/>
      <c r="D209" s="1549"/>
      <c r="E209" s="1549"/>
      <c r="F209" s="1549"/>
      <c r="G209" s="1549"/>
      <c r="H209" s="1549"/>
      <c r="I209" s="1549"/>
      <c r="J209" s="1549"/>
      <c r="K209" s="1549"/>
      <c r="L209" s="1549"/>
      <c r="M209" s="1549"/>
      <c r="N209" s="1549"/>
      <c r="O209" s="1549"/>
      <c r="P209" s="1549"/>
      <c r="Q209" s="1549"/>
      <c r="R209" s="1549"/>
      <c r="S209" s="1549"/>
      <c r="T209" s="1549"/>
      <c r="U209" s="1549"/>
      <c r="V209" s="1549"/>
      <c r="W209" s="1549"/>
      <c r="X209" s="1549"/>
      <c r="Y209" s="1549"/>
      <c r="Z209" s="1549"/>
      <c r="AA209" s="1549"/>
      <c r="AB209" s="1549"/>
      <c r="AC209" s="1549"/>
      <c r="AD209" s="1549"/>
      <c r="AE209" s="1549"/>
      <c r="AF209" s="1549"/>
      <c r="AG209" s="1549"/>
      <c r="AH209" s="1549"/>
    </row>
    <row r="210" spans="1:34" ht="12.75" customHeight="1" x14ac:dyDescent="0.2">
      <c r="A210" s="1549"/>
      <c r="B210" s="1549"/>
      <c r="C210" s="1549"/>
      <c r="D210" s="1549"/>
      <c r="E210" s="1549"/>
      <c r="F210" s="1549"/>
      <c r="G210" s="1549"/>
      <c r="H210" s="1549"/>
      <c r="I210" s="1549"/>
      <c r="J210" s="1549"/>
      <c r="K210" s="1549"/>
      <c r="L210" s="1549"/>
      <c r="M210" s="1549"/>
      <c r="N210" s="1549"/>
      <c r="O210" s="1549"/>
      <c r="P210" s="1549"/>
      <c r="Q210" s="1549"/>
      <c r="R210" s="1549"/>
      <c r="S210" s="1549"/>
      <c r="T210" s="1549"/>
      <c r="U210" s="1549"/>
      <c r="V210" s="1549"/>
      <c r="W210" s="1549"/>
      <c r="X210" s="1549"/>
      <c r="Y210" s="1549"/>
      <c r="Z210" s="1549"/>
      <c r="AA210" s="1549"/>
      <c r="AB210" s="1549"/>
      <c r="AC210" s="1549"/>
      <c r="AD210" s="1549"/>
      <c r="AE210" s="1549"/>
      <c r="AF210" s="1549"/>
      <c r="AG210" s="1549"/>
      <c r="AH210" s="1549"/>
    </row>
    <row r="211" spans="1:34" ht="12.75" customHeight="1" x14ac:dyDescent="0.2">
      <c r="A211" s="1549"/>
      <c r="B211" s="1549"/>
      <c r="C211" s="1549"/>
      <c r="D211" s="1549"/>
      <c r="E211" s="1549"/>
      <c r="F211" s="1549"/>
      <c r="G211" s="1549"/>
      <c r="H211" s="1549"/>
      <c r="I211" s="1549"/>
      <c r="J211" s="1549"/>
      <c r="K211" s="1549"/>
      <c r="L211" s="1549"/>
      <c r="M211" s="1549"/>
      <c r="N211" s="1549"/>
      <c r="O211" s="1549"/>
      <c r="P211" s="1549"/>
      <c r="Q211" s="1549"/>
      <c r="R211" s="1549"/>
      <c r="S211" s="1549"/>
      <c r="T211" s="1549"/>
      <c r="U211" s="1549"/>
      <c r="V211" s="1549"/>
      <c r="W211" s="1549"/>
      <c r="X211" s="1549"/>
      <c r="Y211" s="1549"/>
      <c r="Z211" s="1549"/>
      <c r="AA211" s="1549"/>
      <c r="AB211" s="1549"/>
      <c r="AC211" s="1549"/>
      <c r="AD211" s="1549"/>
      <c r="AE211" s="1549"/>
      <c r="AF211" s="1549"/>
      <c r="AG211" s="1549"/>
      <c r="AH211" s="1549"/>
    </row>
    <row r="212" spans="1:34" ht="12.75" customHeight="1" x14ac:dyDescent="0.2">
      <c r="A212" s="1549"/>
      <c r="B212" s="1549"/>
      <c r="C212" s="1549"/>
      <c r="D212" s="1549"/>
      <c r="E212" s="1549"/>
      <c r="F212" s="1549"/>
      <c r="G212" s="1549"/>
      <c r="H212" s="1549"/>
      <c r="I212" s="1549"/>
      <c r="J212" s="1549"/>
      <c r="K212" s="1549"/>
      <c r="L212" s="1549"/>
      <c r="M212" s="1549"/>
      <c r="N212" s="1549"/>
      <c r="O212" s="1549"/>
      <c r="P212" s="1549"/>
      <c r="Q212" s="1549"/>
      <c r="R212" s="1549"/>
      <c r="S212" s="1549"/>
      <c r="T212" s="1549"/>
      <c r="U212" s="1549"/>
      <c r="V212" s="1549"/>
      <c r="W212" s="1549"/>
      <c r="X212" s="1549"/>
      <c r="Y212" s="1549"/>
      <c r="Z212" s="1549"/>
      <c r="AA212" s="1549"/>
      <c r="AB212" s="1549"/>
      <c r="AC212" s="1549"/>
      <c r="AD212" s="1549"/>
      <c r="AE212" s="1549"/>
      <c r="AF212" s="1549"/>
      <c r="AG212" s="1549"/>
      <c r="AH212" s="1549"/>
    </row>
    <row r="213" spans="1:34" ht="12.75" customHeight="1" x14ac:dyDescent="0.2">
      <c r="A213" s="1549"/>
      <c r="B213" s="1549"/>
      <c r="C213" s="1549"/>
      <c r="D213" s="1549"/>
      <c r="E213" s="1549"/>
      <c r="F213" s="1549"/>
      <c r="G213" s="1549"/>
      <c r="H213" s="1549"/>
      <c r="I213" s="1549"/>
      <c r="J213" s="1549"/>
      <c r="K213" s="1549"/>
      <c r="L213" s="1549"/>
      <c r="M213" s="1549"/>
      <c r="N213" s="1549"/>
      <c r="O213" s="1549"/>
      <c r="P213" s="1549"/>
      <c r="Q213" s="1549"/>
      <c r="R213" s="1549"/>
      <c r="S213" s="1549"/>
      <c r="T213" s="1549"/>
      <c r="U213" s="1549"/>
      <c r="V213" s="1549"/>
      <c r="W213" s="1549"/>
      <c r="X213" s="1549"/>
      <c r="Y213" s="1549"/>
      <c r="Z213" s="1549"/>
      <c r="AA213" s="1549"/>
      <c r="AB213" s="1549"/>
      <c r="AC213" s="1549"/>
      <c r="AD213" s="1549"/>
      <c r="AE213" s="1549"/>
      <c r="AF213" s="1549"/>
      <c r="AG213" s="1549"/>
      <c r="AH213" s="1549"/>
    </row>
    <row r="214" spans="1:34" ht="12.75" customHeight="1" x14ac:dyDescent="0.2">
      <c r="A214" s="1549"/>
      <c r="B214" s="1549"/>
      <c r="C214" s="1549"/>
      <c r="D214" s="1549"/>
      <c r="E214" s="1549"/>
      <c r="F214" s="1549"/>
      <c r="G214" s="1549"/>
      <c r="H214" s="1549"/>
      <c r="I214" s="1549"/>
      <c r="J214" s="1549"/>
      <c r="K214" s="1549"/>
      <c r="L214" s="1549"/>
      <c r="M214" s="1549"/>
      <c r="N214" s="1549"/>
      <c r="O214" s="1549"/>
      <c r="P214" s="1549"/>
      <c r="Q214" s="1549"/>
      <c r="R214" s="1549"/>
      <c r="S214" s="1549"/>
      <c r="T214" s="1549"/>
      <c r="U214" s="1549"/>
      <c r="V214" s="1549"/>
      <c r="W214" s="1549"/>
      <c r="X214" s="1549"/>
      <c r="Y214" s="1549"/>
      <c r="Z214" s="1549"/>
      <c r="AA214" s="1549"/>
      <c r="AB214" s="1549"/>
      <c r="AC214" s="1549"/>
      <c r="AD214" s="1549"/>
      <c r="AE214" s="1549"/>
      <c r="AF214" s="1549"/>
      <c r="AG214" s="1549"/>
      <c r="AH214" s="1549"/>
    </row>
    <row r="215" spans="1:34" ht="12.75" customHeight="1" x14ac:dyDescent="0.2">
      <c r="A215" s="1549"/>
      <c r="B215" s="1549"/>
      <c r="C215" s="1549"/>
      <c r="D215" s="1549"/>
      <c r="E215" s="1549"/>
      <c r="F215" s="1549"/>
      <c r="G215" s="1549"/>
      <c r="H215" s="1549"/>
      <c r="I215" s="1549"/>
      <c r="J215" s="1549"/>
      <c r="K215" s="1549"/>
      <c r="L215" s="1549"/>
      <c r="M215" s="1549"/>
      <c r="N215" s="1549"/>
      <c r="O215" s="1549"/>
      <c r="P215" s="1549"/>
      <c r="Q215" s="1549"/>
      <c r="R215" s="1549"/>
      <c r="S215" s="1549"/>
      <c r="T215" s="1549"/>
      <c r="U215" s="1549"/>
      <c r="V215" s="1549"/>
      <c r="W215" s="1549"/>
      <c r="X215" s="1549"/>
      <c r="Y215" s="1549"/>
      <c r="Z215" s="1549"/>
      <c r="AA215" s="1549"/>
      <c r="AB215" s="1549"/>
      <c r="AC215" s="1549"/>
      <c r="AD215" s="1549"/>
      <c r="AE215" s="1549"/>
      <c r="AF215" s="1549"/>
      <c r="AG215" s="1549"/>
      <c r="AH215" s="1549"/>
    </row>
    <row r="216" spans="1:34" ht="12.75" customHeight="1" x14ac:dyDescent="0.2">
      <c r="A216" s="1549"/>
      <c r="B216" s="1549"/>
      <c r="C216" s="1549"/>
      <c r="D216" s="1549"/>
      <c r="E216" s="1549"/>
      <c r="F216" s="1549"/>
      <c r="G216" s="1549"/>
      <c r="H216" s="1549"/>
      <c r="I216" s="1549"/>
      <c r="J216" s="1549"/>
      <c r="K216" s="1549"/>
      <c r="L216" s="1549"/>
      <c r="M216" s="1549"/>
      <c r="N216" s="1549"/>
      <c r="O216" s="1549"/>
      <c r="P216" s="1549"/>
      <c r="Q216" s="1549"/>
      <c r="R216" s="1549"/>
      <c r="S216" s="1549"/>
      <c r="T216" s="1549"/>
      <c r="U216" s="1549"/>
      <c r="V216" s="1549"/>
      <c r="W216" s="1549"/>
      <c r="X216" s="1549"/>
      <c r="Y216" s="1549"/>
      <c r="Z216" s="1549"/>
      <c r="AA216" s="1549"/>
      <c r="AB216" s="1549"/>
      <c r="AC216" s="1549"/>
      <c r="AD216" s="1549"/>
      <c r="AE216" s="1549"/>
      <c r="AF216" s="1549"/>
      <c r="AG216" s="1549"/>
      <c r="AH216" s="1549"/>
    </row>
    <row r="217" spans="1:34" ht="12.75" customHeight="1" x14ac:dyDescent="0.2">
      <c r="A217" s="1549"/>
      <c r="B217" s="1549"/>
      <c r="C217" s="1549"/>
      <c r="D217" s="1549"/>
      <c r="E217" s="1549"/>
      <c r="F217" s="1549"/>
      <c r="G217" s="1549"/>
      <c r="H217" s="1549"/>
      <c r="I217" s="1549"/>
      <c r="J217" s="1549"/>
      <c r="K217" s="1549"/>
      <c r="L217" s="1549"/>
      <c r="M217" s="1549"/>
      <c r="N217" s="1549"/>
      <c r="O217" s="1549"/>
      <c r="P217" s="1549"/>
      <c r="Q217" s="1549"/>
      <c r="R217" s="1549"/>
      <c r="S217" s="1549"/>
      <c r="T217" s="1549"/>
      <c r="U217" s="1549"/>
      <c r="V217" s="1549"/>
      <c r="W217" s="1549"/>
      <c r="X217" s="1549"/>
      <c r="Y217" s="1549"/>
      <c r="Z217" s="1549"/>
      <c r="AA217" s="1549"/>
      <c r="AB217" s="1549"/>
      <c r="AC217" s="1549"/>
      <c r="AD217" s="1549"/>
      <c r="AE217" s="1549"/>
      <c r="AF217" s="1549"/>
      <c r="AG217" s="1549"/>
      <c r="AH217" s="1549"/>
    </row>
    <row r="218" spans="1:34" ht="12.75" customHeight="1" x14ac:dyDescent="0.2">
      <c r="A218" s="1549"/>
      <c r="B218" s="1549"/>
      <c r="C218" s="1549"/>
      <c r="D218" s="1549"/>
      <c r="E218" s="1549"/>
      <c r="F218" s="1549"/>
      <c r="G218" s="1549"/>
      <c r="H218" s="1549"/>
      <c r="I218" s="1549"/>
      <c r="J218" s="1549"/>
      <c r="K218" s="1549"/>
      <c r="L218" s="1549"/>
      <c r="M218" s="1549"/>
      <c r="N218" s="1549"/>
      <c r="O218" s="1549"/>
      <c r="P218" s="1549"/>
      <c r="Q218" s="1549"/>
      <c r="R218" s="1549"/>
      <c r="S218" s="1549"/>
      <c r="T218" s="1549"/>
      <c r="U218" s="1549"/>
      <c r="V218" s="1549"/>
      <c r="W218" s="1549"/>
      <c r="X218" s="1549"/>
      <c r="Y218" s="1549"/>
      <c r="Z218" s="1549"/>
      <c r="AA218" s="1549"/>
      <c r="AB218" s="1549"/>
      <c r="AC218" s="1549"/>
      <c r="AD218" s="1549"/>
      <c r="AE218" s="1549"/>
      <c r="AF218" s="1549"/>
      <c r="AG218" s="1549"/>
      <c r="AH218" s="1549"/>
    </row>
    <row r="219" spans="1:34" ht="12.75" customHeight="1" x14ac:dyDescent="0.2">
      <c r="A219" s="1549"/>
      <c r="B219" s="1549"/>
      <c r="C219" s="1549"/>
      <c r="D219" s="1549"/>
      <c r="E219" s="1549"/>
      <c r="F219" s="1549"/>
      <c r="G219" s="1549"/>
      <c r="H219" s="1549"/>
      <c r="I219" s="1549"/>
      <c r="J219" s="1549"/>
      <c r="K219" s="1549"/>
      <c r="L219" s="1549"/>
      <c r="M219" s="1549"/>
      <c r="N219" s="1549"/>
      <c r="O219" s="1549"/>
      <c r="P219" s="1549"/>
      <c r="Q219" s="1549"/>
      <c r="R219" s="1549"/>
      <c r="S219" s="1549"/>
      <c r="T219" s="1549"/>
      <c r="U219" s="1549"/>
      <c r="V219" s="1549"/>
      <c r="W219" s="1549"/>
      <c r="X219" s="1549"/>
      <c r="Y219" s="1549"/>
      <c r="Z219" s="1549"/>
      <c r="AA219" s="1549"/>
      <c r="AB219" s="1549"/>
      <c r="AC219" s="1549"/>
      <c r="AD219" s="1549"/>
      <c r="AE219" s="1549"/>
      <c r="AF219" s="1549"/>
      <c r="AG219" s="1549"/>
      <c r="AH219" s="1549"/>
    </row>
    <row r="220" spans="1:34" ht="12.75" customHeight="1" x14ac:dyDescent="0.2">
      <c r="A220" s="1549"/>
      <c r="B220" s="1549"/>
      <c r="C220" s="1549"/>
      <c r="D220" s="1549"/>
      <c r="E220" s="1549"/>
      <c r="F220" s="1549"/>
      <c r="G220" s="1549"/>
      <c r="H220" s="1549"/>
      <c r="I220" s="1549"/>
      <c r="J220" s="1549"/>
      <c r="K220" s="1549"/>
      <c r="L220" s="1549"/>
      <c r="M220" s="1549"/>
      <c r="N220" s="1549"/>
      <c r="O220" s="1549"/>
      <c r="P220" s="1549"/>
      <c r="Q220" s="1549"/>
      <c r="R220" s="1549"/>
      <c r="S220" s="1549"/>
      <c r="T220" s="1549"/>
      <c r="U220" s="1549"/>
      <c r="V220" s="1549"/>
      <c r="W220" s="1549"/>
      <c r="X220" s="1549"/>
      <c r="Y220" s="1549"/>
      <c r="Z220" s="1549"/>
      <c r="AA220" s="1549"/>
      <c r="AB220" s="1549"/>
      <c r="AC220" s="1549"/>
      <c r="AD220" s="1549"/>
      <c r="AE220" s="1549"/>
      <c r="AF220" s="1549"/>
      <c r="AG220" s="1549"/>
      <c r="AH220" s="1549"/>
    </row>
    <row r="221" spans="1:34" ht="12.75" customHeight="1" x14ac:dyDescent="0.2">
      <c r="A221" s="1549"/>
      <c r="B221" s="1549"/>
      <c r="C221" s="1549"/>
      <c r="D221" s="1549"/>
      <c r="E221" s="1549"/>
      <c r="F221" s="1549"/>
      <c r="G221" s="1549"/>
      <c r="H221" s="1549"/>
      <c r="I221" s="1549"/>
      <c r="J221" s="1549"/>
      <c r="K221" s="1549"/>
      <c r="L221" s="1549"/>
      <c r="M221" s="1549"/>
      <c r="N221" s="1549"/>
      <c r="O221" s="1549"/>
      <c r="P221" s="1549"/>
      <c r="Q221" s="1549"/>
      <c r="R221" s="1549"/>
      <c r="S221" s="1549"/>
      <c r="T221" s="1549"/>
      <c r="U221" s="1549"/>
      <c r="V221" s="1549"/>
      <c r="W221" s="1549"/>
      <c r="X221" s="1549"/>
      <c r="Y221" s="1549"/>
      <c r="Z221" s="1549"/>
      <c r="AA221" s="1549"/>
      <c r="AB221" s="1549"/>
      <c r="AC221" s="1549"/>
      <c r="AD221" s="1549"/>
      <c r="AE221" s="1549"/>
      <c r="AF221" s="1549"/>
      <c r="AG221" s="1549"/>
      <c r="AH221" s="1549"/>
    </row>
    <row r="222" spans="1:34" ht="12.75" customHeight="1" x14ac:dyDescent="0.2">
      <c r="A222" s="1549"/>
      <c r="B222" s="1549"/>
      <c r="C222" s="1549"/>
      <c r="D222" s="1549"/>
      <c r="E222" s="1549"/>
      <c r="F222" s="1549"/>
      <c r="G222" s="1549"/>
      <c r="H222" s="1549"/>
      <c r="I222" s="1549"/>
      <c r="J222" s="1549"/>
      <c r="K222" s="1549"/>
      <c r="L222" s="1549"/>
      <c r="M222" s="1549"/>
      <c r="N222" s="1549"/>
      <c r="O222" s="1549"/>
      <c r="P222" s="1549"/>
      <c r="Q222" s="1549"/>
      <c r="R222" s="1549"/>
      <c r="S222" s="1549"/>
      <c r="T222" s="1549"/>
      <c r="U222" s="1549"/>
      <c r="V222" s="1549"/>
      <c r="W222" s="1549"/>
      <c r="X222" s="1549"/>
      <c r="Y222" s="1549"/>
      <c r="Z222" s="1549"/>
      <c r="AA222" s="1549"/>
      <c r="AB222" s="1549"/>
      <c r="AC222" s="1549"/>
      <c r="AD222" s="1549"/>
      <c r="AE222" s="1549"/>
      <c r="AF222" s="1549"/>
      <c r="AG222" s="1549"/>
      <c r="AH222" s="1549"/>
    </row>
    <row r="223" spans="1:34" ht="12.75" customHeight="1" x14ac:dyDescent="0.2">
      <c r="A223" s="1549"/>
      <c r="B223" s="1549"/>
      <c r="C223" s="1549"/>
      <c r="D223" s="1549"/>
      <c r="E223" s="1549"/>
      <c r="F223" s="1549"/>
      <c r="G223" s="1549"/>
      <c r="H223" s="1549"/>
      <c r="I223" s="1549"/>
      <c r="J223" s="1549"/>
      <c r="K223" s="1549"/>
      <c r="L223" s="1549"/>
      <c r="M223" s="1549"/>
      <c r="N223" s="1549"/>
      <c r="O223" s="1549"/>
      <c r="P223" s="1549"/>
      <c r="Q223" s="1549"/>
      <c r="R223" s="1549"/>
      <c r="S223" s="1549"/>
      <c r="T223" s="1549"/>
      <c r="U223" s="1549"/>
      <c r="V223" s="1549"/>
      <c r="W223" s="1549"/>
      <c r="X223" s="1549"/>
      <c r="Y223" s="1549"/>
      <c r="Z223" s="1549"/>
      <c r="AA223" s="1549"/>
      <c r="AB223" s="1549"/>
      <c r="AC223" s="1549"/>
      <c r="AD223" s="1549"/>
      <c r="AE223" s="1549"/>
      <c r="AF223" s="1549"/>
      <c r="AG223" s="1549"/>
      <c r="AH223" s="1549"/>
    </row>
    <row r="224" spans="1:34" ht="12.75" customHeight="1" x14ac:dyDescent="0.2">
      <c r="A224" s="1549"/>
      <c r="B224" s="1549"/>
      <c r="C224" s="1549"/>
      <c r="D224" s="1549"/>
      <c r="E224" s="1549"/>
      <c r="F224" s="1549"/>
      <c r="G224" s="1549"/>
      <c r="H224" s="1549"/>
      <c r="I224" s="1549"/>
      <c r="J224" s="1549"/>
      <c r="K224" s="1549"/>
      <c r="L224" s="1549"/>
      <c r="M224" s="1549"/>
      <c r="N224" s="1549"/>
      <c r="O224" s="1549"/>
      <c r="P224" s="1549"/>
      <c r="Q224" s="1549"/>
      <c r="R224" s="1549"/>
      <c r="S224" s="1549"/>
      <c r="T224" s="1549"/>
      <c r="U224" s="1549"/>
      <c r="V224" s="1549"/>
      <c r="W224" s="1549"/>
      <c r="X224" s="1549"/>
      <c r="Y224" s="1549"/>
      <c r="Z224" s="1549"/>
      <c r="AA224" s="1549"/>
      <c r="AB224" s="1549"/>
      <c r="AC224" s="1549"/>
      <c r="AD224" s="1549"/>
      <c r="AE224" s="1549"/>
      <c r="AF224" s="1549"/>
      <c r="AG224" s="1549"/>
      <c r="AH224" s="1549"/>
    </row>
    <row r="225" spans="1:34" ht="12.75" customHeight="1" x14ac:dyDescent="0.2">
      <c r="A225" s="1549"/>
      <c r="B225" s="1549"/>
      <c r="C225" s="1549"/>
      <c r="D225" s="1549"/>
      <c r="E225" s="1549"/>
      <c r="F225" s="1549"/>
      <c r="G225" s="1549"/>
      <c r="H225" s="1549"/>
      <c r="I225" s="1549"/>
      <c r="J225" s="1549"/>
      <c r="K225" s="1549"/>
      <c r="L225" s="1549"/>
      <c r="M225" s="1549"/>
      <c r="N225" s="1549"/>
      <c r="O225" s="1549"/>
      <c r="P225" s="1549"/>
      <c r="Q225" s="1549"/>
      <c r="R225" s="1549"/>
      <c r="S225" s="1549"/>
      <c r="T225" s="1549"/>
      <c r="U225" s="1549"/>
      <c r="V225" s="1549"/>
      <c r="W225" s="1549"/>
      <c r="X225" s="1549"/>
      <c r="Y225" s="1549"/>
      <c r="Z225" s="1549"/>
      <c r="AA225" s="1549"/>
      <c r="AB225" s="1549"/>
      <c r="AC225" s="1549"/>
      <c r="AD225" s="1549"/>
      <c r="AE225" s="1549"/>
      <c r="AF225" s="1549"/>
      <c r="AG225" s="1549"/>
      <c r="AH225" s="1549"/>
    </row>
    <row r="226" spans="1:34" ht="12.75" customHeight="1" x14ac:dyDescent="0.2">
      <c r="A226" s="1549"/>
      <c r="B226" s="1549"/>
      <c r="C226" s="1549"/>
      <c r="D226" s="1549"/>
      <c r="E226" s="1549"/>
      <c r="F226" s="1549"/>
      <c r="G226" s="1549"/>
      <c r="H226" s="1549"/>
      <c r="I226" s="1549"/>
      <c r="J226" s="1549"/>
      <c r="K226" s="1549"/>
      <c r="L226" s="1549"/>
      <c r="M226" s="1549"/>
      <c r="N226" s="1549"/>
      <c r="O226" s="1549"/>
      <c r="P226" s="1549"/>
      <c r="Q226" s="1549"/>
      <c r="R226" s="1549"/>
      <c r="S226" s="1549"/>
      <c r="T226" s="1549"/>
      <c r="U226" s="1549"/>
      <c r="V226" s="1549"/>
      <c r="W226" s="1549"/>
      <c r="X226" s="1549"/>
      <c r="Y226" s="1549"/>
      <c r="Z226" s="1549"/>
      <c r="AA226" s="1549"/>
      <c r="AB226" s="1549"/>
      <c r="AC226" s="1549"/>
      <c r="AD226" s="1549"/>
      <c r="AE226" s="1549"/>
      <c r="AF226" s="1549"/>
      <c r="AG226" s="1549"/>
      <c r="AH226" s="1549"/>
    </row>
    <row r="227" spans="1:34" ht="12.75" customHeight="1" x14ac:dyDescent="0.2">
      <c r="A227" s="1549"/>
      <c r="B227" s="1549"/>
      <c r="C227" s="1549"/>
      <c r="D227" s="1549"/>
      <c r="E227" s="1549"/>
      <c r="F227" s="1549"/>
      <c r="G227" s="1549"/>
      <c r="H227" s="1549"/>
      <c r="I227" s="1549"/>
      <c r="J227" s="1549"/>
      <c r="K227" s="1549"/>
      <c r="L227" s="1549"/>
      <c r="M227" s="1549"/>
      <c r="N227" s="1549"/>
      <c r="O227" s="1549"/>
      <c r="P227" s="1549"/>
      <c r="Q227" s="1549"/>
      <c r="R227" s="1549"/>
      <c r="S227" s="1549"/>
      <c r="T227" s="1549"/>
      <c r="U227" s="1549"/>
      <c r="V227" s="1549"/>
      <c r="W227" s="1549"/>
      <c r="X227" s="1549"/>
      <c r="Y227" s="1549"/>
      <c r="Z227" s="1549"/>
      <c r="AA227" s="1549"/>
      <c r="AB227" s="1549"/>
      <c r="AC227" s="1549"/>
      <c r="AD227" s="1549"/>
      <c r="AE227" s="1549"/>
      <c r="AF227" s="1549"/>
      <c r="AG227" s="1549"/>
      <c r="AH227" s="1549"/>
    </row>
    <row r="228" spans="1:34" ht="12.75" customHeight="1" x14ac:dyDescent="0.2">
      <c r="A228" s="1549"/>
      <c r="B228" s="1549"/>
      <c r="C228" s="1549"/>
      <c r="D228" s="1549"/>
      <c r="E228" s="1549"/>
      <c r="F228" s="1549"/>
      <c r="G228" s="1549"/>
      <c r="H228" s="1549"/>
      <c r="I228" s="1549"/>
      <c r="J228" s="1549"/>
      <c r="K228" s="1549"/>
      <c r="L228" s="1549"/>
      <c r="M228" s="1549"/>
      <c r="N228" s="1549"/>
      <c r="O228" s="1549"/>
      <c r="P228" s="1549"/>
      <c r="Q228" s="1549"/>
      <c r="R228" s="1549"/>
      <c r="S228" s="1549"/>
      <c r="T228" s="1549"/>
      <c r="U228" s="1549"/>
      <c r="V228" s="1549"/>
      <c r="W228" s="1549"/>
      <c r="X228" s="1549"/>
      <c r="Y228" s="1549"/>
      <c r="Z228" s="1549"/>
      <c r="AA228" s="1549"/>
      <c r="AB228" s="1549"/>
      <c r="AC228" s="1549"/>
      <c r="AD228" s="1549"/>
      <c r="AE228" s="1549"/>
      <c r="AF228" s="1549"/>
      <c r="AG228" s="1549"/>
      <c r="AH228" s="1549"/>
    </row>
    <row r="229" spans="1:34" ht="12.75" customHeight="1" x14ac:dyDescent="0.2">
      <c r="A229" s="1549"/>
      <c r="B229" s="1549"/>
      <c r="C229" s="1549"/>
      <c r="D229" s="1549"/>
      <c r="E229" s="1549"/>
      <c r="F229" s="1549"/>
      <c r="G229" s="1549"/>
      <c r="H229" s="1549"/>
      <c r="I229" s="1549"/>
      <c r="J229" s="1549"/>
      <c r="K229" s="1549"/>
      <c r="L229" s="1549"/>
      <c r="M229" s="1549"/>
      <c r="N229" s="1549"/>
      <c r="O229" s="1549"/>
      <c r="P229" s="1549"/>
      <c r="Q229" s="1549"/>
      <c r="R229" s="1549"/>
      <c r="S229" s="1549"/>
      <c r="T229" s="1549"/>
      <c r="U229" s="1549"/>
      <c r="V229" s="1549"/>
      <c r="W229" s="1549"/>
      <c r="X229" s="1549"/>
      <c r="Y229" s="1549"/>
      <c r="Z229" s="1549"/>
      <c r="AA229" s="1549"/>
      <c r="AB229" s="1549"/>
      <c r="AC229" s="1549"/>
      <c r="AD229" s="1549"/>
      <c r="AE229" s="1549"/>
      <c r="AF229" s="1549"/>
      <c r="AG229" s="1549"/>
      <c r="AH229" s="1549"/>
    </row>
    <row r="230" spans="1:34" ht="12.75" customHeight="1" x14ac:dyDescent="0.2">
      <c r="A230" s="1549"/>
      <c r="B230" s="1549"/>
      <c r="C230" s="1549"/>
      <c r="D230" s="1549"/>
      <c r="E230" s="1549"/>
      <c r="F230" s="1549"/>
      <c r="G230" s="1549"/>
      <c r="H230" s="1549"/>
      <c r="I230" s="1549"/>
      <c r="J230" s="1549"/>
      <c r="K230" s="1549"/>
      <c r="L230" s="1549"/>
      <c r="M230" s="1549"/>
      <c r="N230" s="1549"/>
      <c r="O230" s="1549"/>
      <c r="P230" s="1549"/>
      <c r="Q230" s="1549"/>
      <c r="R230" s="1549"/>
      <c r="S230" s="1549"/>
      <c r="T230" s="1549"/>
      <c r="U230" s="1549"/>
      <c r="V230" s="1549"/>
      <c r="W230" s="1549"/>
      <c r="X230" s="1549"/>
      <c r="Y230" s="1549"/>
      <c r="Z230" s="1549"/>
      <c r="AA230" s="1549"/>
      <c r="AB230" s="1549"/>
      <c r="AC230" s="1549"/>
      <c r="AD230" s="1549"/>
      <c r="AE230" s="1549"/>
      <c r="AF230" s="1549"/>
      <c r="AG230" s="1549"/>
      <c r="AH230" s="1549"/>
    </row>
    <row r="231" spans="1:34" ht="12.75" customHeight="1" x14ac:dyDescent="0.2">
      <c r="A231" s="1549"/>
      <c r="B231" s="1549"/>
      <c r="C231" s="1549"/>
      <c r="D231" s="1549"/>
      <c r="E231" s="1549"/>
      <c r="F231" s="1549"/>
      <c r="G231" s="1549"/>
      <c r="H231" s="1549"/>
      <c r="I231" s="1549"/>
      <c r="J231" s="1549"/>
      <c r="K231" s="1549"/>
      <c r="L231" s="1549"/>
      <c r="M231" s="1549"/>
      <c r="N231" s="1549"/>
      <c r="O231" s="1549"/>
      <c r="P231" s="1549"/>
      <c r="Q231" s="1549"/>
      <c r="R231" s="1549"/>
      <c r="S231" s="1549"/>
      <c r="T231" s="1549"/>
      <c r="U231" s="1549"/>
      <c r="V231" s="1549"/>
      <c r="W231" s="1549"/>
      <c r="X231" s="1549"/>
      <c r="Y231" s="1549"/>
      <c r="Z231" s="1549"/>
      <c r="AA231" s="1549"/>
      <c r="AB231" s="1549"/>
      <c r="AC231" s="1549"/>
      <c r="AD231" s="1549"/>
      <c r="AE231" s="1549"/>
      <c r="AF231" s="1549"/>
      <c r="AG231" s="1549"/>
      <c r="AH231" s="1549"/>
    </row>
    <row r="232" spans="1:34" ht="12.75" customHeight="1" x14ac:dyDescent="0.2">
      <c r="A232" s="1549"/>
      <c r="B232" s="1549"/>
      <c r="C232" s="1549"/>
      <c r="D232" s="1549"/>
      <c r="E232" s="1549"/>
      <c r="F232" s="1549"/>
      <c r="G232" s="1549"/>
      <c r="H232" s="1549"/>
      <c r="I232" s="1549"/>
      <c r="J232" s="1549"/>
      <c r="K232" s="1549"/>
      <c r="L232" s="1549"/>
      <c r="M232" s="1549"/>
      <c r="N232" s="1549"/>
      <c r="O232" s="1549"/>
      <c r="P232" s="1549"/>
      <c r="Q232" s="1549"/>
      <c r="R232" s="1549"/>
      <c r="S232" s="1549"/>
      <c r="T232" s="1549"/>
      <c r="U232" s="1549"/>
      <c r="V232" s="1549"/>
      <c r="W232" s="1549"/>
      <c r="X232" s="1549"/>
      <c r="Y232" s="1549"/>
      <c r="Z232" s="1549"/>
      <c r="AA232" s="1549"/>
      <c r="AB232" s="1549"/>
      <c r="AC232" s="1549"/>
      <c r="AD232" s="1549"/>
      <c r="AE232" s="1549"/>
      <c r="AF232" s="1549"/>
      <c r="AG232" s="1549"/>
      <c r="AH232" s="1549"/>
    </row>
    <row r="233" spans="1:34" ht="12.75" customHeight="1" x14ac:dyDescent="0.2">
      <c r="A233" s="1549"/>
      <c r="B233" s="1549"/>
      <c r="C233" s="1549"/>
      <c r="D233" s="1549"/>
      <c r="E233" s="1549"/>
      <c r="F233" s="1549"/>
      <c r="G233" s="1549"/>
      <c r="H233" s="1549"/>
      <c r="I233" s="1549"/>
      <c r="J233" s="1549"/>
      <c r="K233" s="1549"/>
      <c r="L233" s="1549"/>
      <c r="M233" s="1549"/>
      <c r="N233" s="1549"/>
      <c r="O233" s="1549"/>
      <c r="P233" s="1549"/>
      <c r="Q233" s="1549"/>
      <c r="R233" s="1549"/>
      <c r="S233" s="1549"/>
      <c r="T233" s="1549"/>
      <c r="U233" s="1549"/>
      <c r="V233" s="1549"/>
      <c r="W233" s="1549"/>
      <c r="X233" s="1549"/>
      <c r="Y233" s="1549"/>
      <c r="Z233" s="1549"/>
      <c r="AA233" s="1549"/>
      <c r="AB233" s="1549"/>
      <c r="AC233" s="1549"/>
      <c r="AD233" s="1549"/>
      <c r="AE233" s="1549"/>
      <c r="AF233" s="1549"/>
      <c r="AG233" s="1549"/>
      <c r="AH233" s="1549"/>
    </row>
    <row r="234" spans="1:34" ht="12.75" customHeight="1" x14ac:dyDescent="0.2">
      <c r="A234" s="1549"/>
      <c r="B234" s="1549"/>
      <c r="C234" s="1549"/>
      <c r="D234" s="1549"/>
      <c r="E234" s="1549"/>
      <c r="F234" s="1549"/>
      <c r="G234" s="1549"/>
      <c r="H234" s="1549"/>
      <c r="I234" s="1549"/>
      <c r="J234" s="1549"/>
      <c r="K234" s="1549"/>
      <c r="L234" s="1549"/>
      <c r="M234" s="1549"/>
      <c r="N234" s="1549"/>
      <c r="O234" s="1549"/>
      <c r="P234" s="1549"/>
      <c r="Q234" s="1549"/>
      <c r="R234" s="1549"/>
      <c r="S234" s="1549"/>
      <c r="T234" s="1549"/>
      <c r="U234" s="1549"/>
      <c r="V234" s="1549"/>
      <c r="W234" s="1549"/>
      <c r="X234" s="1549"/>
      <c r="Y234" s="1549"/>
      <c r="Z234" s="1549"/>
      <c r="AA234" s="1549"/>
      <c r="AB234" s="1549"/>
      <c r="AC234" s="1549"/>
      <c r="AD234" s="1549"/>
      <c r="AE234" s="1549"/>
      <c r="AF234" s="1549"/>
      <c r="AG234" s="1549"/>
      <c r="AH234" s="1549"/>
    </row>
    <row r="235" spans="1:34" ht="12.75" customHeight="1" x14ac:dyDescent="0.2">
      <c r="A235" s="1549"/>
      <c r="B235" s="1549"/>
      <c r="C235" s="1549"/>
      <c r="D235" s="1549"/>
      <c r="E235" s="1549"/>
      <c r="F235" s="1549"/>
      <c r="G235" s="1549"/>
      <c r="H235" s="1549"/>
      <c r="I235" s="1549"/>
      <c r="J235" s="1549"/>
      <c r="K235" s="1549"/>
      <c r="L235" s="1549"/>
      <c r="M235" s="1549"/>
      <c r="N235" s="1549"/>
      <c r="O235" s="1549"/>
      <c r="P235" s="1549"/>
      <c r="Q235" s="1549"/>
      <c r="R235" s="1549"/>
      <c r="S235" s="1549"/>
      <c r="T235" s="1549"/>
      <c r="U235" s="1549"/>
      <c r="V235" s="1549"/>
      <c r="W235" s="1549"/>
      <c r="X235" s="1549"/>
      <c r="Y235" s="1549"/>
      <c r="Z235" s="1549"/>
      <c r="AA235" s="1549"/>
      <c r="AB235" s="1549"/>
      <c r="AC235" s="1549"/>
      <c r="AD235" s="1549"/>
      <c r="AE235" s="1549"/>
      <c r="AF235" s="1549"/>
      <c r="AG235" s="1549"/>
      <c r="AH235" s="1549"/>
    </row>
    <row r="236" spans="1:34" ht="12.75" customHeight="1" x14ac:dyDescent="0.2">
      <c r="A236" s="1549"/>
      <c r="B236" s="1549"/>
      <c r="C236" s="1549"/>
      <c r="D236" s="1549"/>
      <c r="E236" s="1549"/>
      <c r="F236" s="1549"/>
      <c r="G236" s="1549"/>
      <c r="H236" s="1549"/>
      <c r="I236" s="1549"/>
      <c r="J236" s="1549"/>
      <c r="K236" s="1549"/>
      <c r="L236" s="1549"/>
      <c r="M236" s="1549"/>
      <c r="N236" s="1549"/>
      <c r="O236" s="1549"/>
      <c r="P236" s="1549"/>
      <c r="Q236" s="1549"/>
      <c r="R236" s="1549"/>
      <c r="S236" s="1549"/>
      <c r="T236" s="1549"/>
      <c r="U236" s="1549"/>
      <c r="V236" s="1549"/>
      <c r="W236" s="1549"/>
      <c r="X236" s="1549"/>
      <c r="Y236" s="1549"/>
      <c r="Z236" s="1549"/>
      <c r="AA236" s="1549"/>
      <c r="AB236" s="1549"/>
      <c r="AC236" s="1549"/>
      <c r="AD236" s="1549"/>
      <c r="AE236" s="1549"/>
      <c r="AF236" s="1549"/>
      <c r="AG236" s="1549"/>
      <c r="AH236" s="1549"/>
    </row>
    <row r="237" spans="1:34" ht="12.75" customHeight="1" x14ac:dyDescent="0.2">
      <c r="A237" s="1549"/>
      <c r="B237" s="1549"/>
      <c r="C237" s="1549"/>
      <c r="D237" s="1549"/>
      <c r="E237" s="1549"/>
      <c r="F237" s="1549"/>
      <c r="G237" s="1549"/>
      <c r="H237" s="1549"/>
      <c r="I237" s="1549"/>
      <c r="J237" s="1549"/>
      <c r="K237" s="1549"/>
      <c r="L237" s="1549"/>
      <c r="M237" s="1549"/>
      <c r="N237" s="1549"/>
      <c r="O237" s="1549"/>
      <c r="P237" s="1549"/>
      <c r="Q237" s="1549"/>
      <c r="R237" s="1549"/>
      <c r="S237" s="1549"/>
      <c r="T237" s="1549"/>
      <c r="U237" s="1549"/>
      <c r="V237" s="1549"/>
      <c r="W237" s="1549"/>
      <c r="X237" s="1549"/>
      <c r="Y237" s="1549"/>
      <c r="Z237" s="1549"/>
      <c r="AA237" s="1549"/>
      <c r="AB237" s="1549"/>
      <c r="AC237" s="1549"/>
      <c r="AD237" s="1549"/>
      <c r="AE237" s="1549"/>
      <c r="AF237" s="1549"/>
      <c r="AG237" s="1549"/>
      <c r="AH237" s="1549"/>
    </row>
    <row r="238" spans="1:34" ht="12.75" customHeight="1" x14ac:dyDescent="0.2">
      <c r="A238" s="1549"/>
      <c r="B238" s="1549"/>
      <c r="C238" s="1549"/>
      <c r="D238" s="1549"/>
      <c r="E238" s="1549"/>
      <c r="F238" s="1549"/>
      <c r="G238" s="1549"/>
      <c r="H238" s="1549"/>
      <c r="I238" s="1549"/>
      <c r="J238" s="1549"/>
      <c r="K238" s="1549"/>
      <c r="L238" s="1549"/>
      <c r="M238" s="1549"/>
      <c r="N238" s="1549"/>
      <c r="O238" s="1549"/>
      <c r="P238" s="1549"/>
      <c r="Q238" s="1549"/>
      <c r="R238" s="1549"/>
      <c r="S238" s="1549"/>
      <c r="T238" s="1549"/>
      <c r="U238" s="1549"/>
      <c r="V238" s="1549"/>
      <c r="W238" s="1549"/>
      <c r="X238" s="1549"/>
      <c r="Y238" s="1549"/>
      <c r="Z238" s="1549"/>
      <c r="AA238" s="1549"/>
      <c r="AB238" s="1549"/>
      <c r="AC238" s="1549"/>
      <c r="AD238" s="1549"/>
      <c r="AE238" s="1549"/>
      <c r="AF238" s="1549"/>
      <c r="AG238" s="1549"/>
      <c r="AH238" s="1549"/>
    </row>
    <row r="239" spans="1:34" ht="12.75" customHeight="1" x14ac:dyDescent="0.2">
      <c r="A239" s="1549"/>
      <c r="B239" s="1549"/>
      <c r="C239" s="1549"/>
      <c r="D239" s="1549"/>
      <c r="E239" s="1549"/>
      <c r="F239" s="1549"/>
      <c r="G239" s="1549"/>
      <c r="H239" s="1549"/>
      <c r="I239" s="1549"/>
      <c r="J239" s="1549"/>
      <c r="K239" s="1549"/>
      <c r="L239" s="1549"/>
      <c r="M239" s="1549"/>
      <c r="N239" s="1549"/>
      <c r="O239" s="1549"/>
      <c r="P239" s="1549"/>
      <c r="Q239" s="1549"/>
      <c r="R239" s="1549"/>
      <c r="S239" s="1549"/>
      <c r="T239" s="1549"/>
      <c r="U239" s="1549"/>
      <c r="V239" s="1549"/>
      <c r="W239" s="1549"/>
      <c r="X239" s="1549"/>
      <c r="Y239" s="1549"/>
      <c r="Z239" s="1549"/>
      <c r="AA239" s="1549"/>
      <c r="AB239" s="1549"/>
      <c r="AC239" s="1549"/>
      <c r="AD239" s="1549"/>
      <c r="AE239" s="1549"/>
      <c r="AF239" s="1549"/>
      <c r="AG239" s="1549"/>
      <c r="AH239" s="1549"/>
    </row>
    <row r="240" spans="1:34" ht="12.75" customHeight="1" x14ac:dyDescent="0.2">
      <c r="A240" s="1549"/>
      <c r="B240" s="1549"/>
      <c r="C240" s="1549"/>
      <c r="D240" s="1549"/>
      <c r="E240" s="1549"/>
      <c r="F240" s="1549"/>
      <c r="G240" s="1549"/>
      <c r="H240" s="1549"/>
      <c r="I240" s="1549"/>
      <c r="J240" s="1549"/>
      <c r="K240" s="1549"/>
      <c r="L240" s="1549"/>
      <c r="M240" s="1549"/>
      <c r="N240" s="1549"/>
      <c r="O240" s="1549"/>
      <c r="P240" s="1549"/>
      <c r="Q240" s="1549"/>
      <c r="R240" s="1549"/>
      <c r="S240" s="1549"/>
      <c r="T240" s="1549"/>
      <c r="U240" s="1549"/>
      <c r="V240" s="1549"/>
      <c r="W240" s="1549"/>
      <c r="X240" s="1549"/>
      <c r="Y240" s="1549"/>
      <c r="Z240" s="1549"/>
      <c r="AA240" s="1549"/>
      <c r="AB240" s="1549"/>
      <c r="AC240" s="1549"/>
      <c r="AD240" s="1549"/>
      <c r="AE240" s="1549"/>
      <c r="AF240" s="1549"/>
      <c r="AG240" s="1549"/>
      <c r="AH240" s="1549"/>
    </row>
    <row r="241" spans="1:34" ht="12.75" customHeight="1" x14ac:dyDescent="0.2">
      <c r="A241" s="1549"/>
      <c r="B241" s="1549"/>
      <c r="C241" s="1549"/>
      <c r="D241" s="1549"/>
      <c r="E241" s="1549"/>
      <c r="F241" s="1549"/>
      <c r="G241" s="1549"/>
      <c r="H241" s="1549"/>
      <c r="I241" s="1549"/>
      <c r="J241" s="1549"/>
      <c r="K241" s="1549"/>
      <c r="L241" s="1549"/>
      <c r="M241" s="1549"/>
      <c r="N241" s="1549"/>
      <c r="O241" s="1549"/>
      <c r="P241" s="1549"/>
      <c r="Q241" s="1549"/>
      <c r="R241" s="1549"/>
      <c r="S241" s="1549"/>
      <c r="T241" s="1549"/>
      <c r="U241" s="1549"/>
      <c r="V241" s="1549"/>
      <c r="W241" s="1549"/>
      <c r="X241" s="1549"/>
      <c r="Y241" s="1549"/>
      <c r="Z241" s="1549"/>
      <c r="AA241" s="1549"/>
      <c r="AB241" s="1549"/>
      <c r="AC241" s="1549"/>
      <c r="AD241" s="1549"/>
      <c r="AE241" s="1549"/>
      <c r="AF241" s="1549"/>
      <c r="AG241" s="1549"/>
      <c r="AH241" s="1549"/>
    </row>
    <row r="242" spans="1:34" ht="12.75" customHeight="1" x14ac:dyDescent="0.2">
      <c r="A242" s="1549"/>
      <c r="B242" s="1549"/>
      <c r="C242" s="1549"/>
      <c r="D242" s="1549"/>
      <c r="E242" s="1549"/>
      <c r="F242" s="1549"/>
      <c r="G242" s="1549"/>
      <c r="H242" s="1549"/>
      <c r="I242" s="1549"/>
      <c r="J242" s="1549"/>
      <c r="K242" s="1549"/>
      <c r="L242" s="1549"/>
      <c r="M242" s="1549"/>
      <c r="N242" s="1549"/>
      <c r="O242" s="1549"/>
      <c r="P242" s="1549"/>
      <c r="Q242" s="1549"/>
      <c r="R242" s="1549"/>
      <c r="S242" s="1549"/>
      <c r="T242" s="1549"/>
      <c r="U242" s="1549"/>
      <c r="V242" s="1549"/>
      <c r="W242" s="1549"/>
      <c r="X242" s="1549"/>
      <c r="Y242" s="1549"/>
      <c r="Z242" s="1549"/>
      <c r="AA242" s="1549"/>
      <c r="AB242" s="1549"/>
      <c r="AC242" s="1549"/>
      <c r="AD242" s="1549"/>
      <c r="AE242" s="1549"/>
      <c r="AF242" s="1549"/>
      <c r="AG242" s="1549"/>
      <c r="AH242" s="1549"/>
    </row>
    <row r="243" spans="1:34" ht="12.75" customHeight="1" x14ac:dyDescent="0.2">
      <c r="A243" s="1549"/>
      <c r="B243" s="1549"/>
      <c r="C243" s="1549"/>
      <c r="D243" s="1549"/>
      <c r="E243" s="1549"/>
      <c r="F243" s="1549"/>
      <c r="G243" s="1549"/>
      <c r="H243" s="1549"/>
      <c r="I243" s="1549"/>
      <c r="J243" s="1549"/>
      <c r="K243" s="1549"/>
      <c r="L243" s="1549"/>
      <c r="M243" s="1549"/>
      <c r="N243" s="1549"/>
      <c r="O243" s="1549"/>
      <c r="P243" s="1549"/>
      <c r="Q243" s="1549"/>
      <c r="R243" s="1549"/>
      <c r="S243" s="1549"/>
      <c r="T243" s="1549"/>
      <c r="U243" s="1549"/>
      <c r="V243" s="1549"/>
      <c r="W243" s="1549"/>
      <c r="X243" s="1549"/>
      <c r="Y243" s="1549"/>
      <c r="Z243" s="1549"/>
      <c r="AA243" s="1549"/>
      <c r="AB243" s="1549"/>
      <c r="AC243" s="1549"/>
      <c r="AD243" s="1549"/>
      <c r="AE243" s="1549"/>
      <c r="AF243" s="1549"/>
      <c r="AG243" s="1549"/>
      <c r="AH243" s="1549"/>
    </row>
    <row r="244" spans="1:34" ht="12.75" customHeight="1" x14ac:dyDescent="0.2">
      <c r="A244" s="1549"/>
      <c r="B244" s="1549"/>
      <c r="C244" s="1549"/>
      <c r="D244" s="1549"/>
      <c r="E244" s="1549"/>
      <c r="F244" s="1549"/>
      <c r="G244" s="1549"/>
      <c r="H244" s="1549"/>
      <c r="I244" s="1549"/>
      <c r="J244" s="1549"/>
      <c r="K244" s="1549"/>
      <c r="L244" s="1549"/>
      <c r="M244" s="1549"/>
      <c r="N244" s="1549"/>
      <c r="O244" s="1549"/>
      <c r="P244" s="1549"/>
      <c r="Q244" s="1549"/>
      <c r="R244" s="1549"/>
      <c r="S244" s="1549"/>
      <c r="T244" s="1549"/>
      <c r="U244" s="1549"/>
      <c r="V244" s="1549"/>
      <c r="W244" s="1549"/>
      <c r="X244" s="1549"/>
      <c r="Y244" s="1549"/>
      <c r="Z244" s="1549"/>
      <c r="AA244" s="1549"/>
      <c r="AB244" s="1549"/>
      <c r="AC244" s="1549"/>
      <c r="AD244" s="1549"/>
      <c r="AE244" s="1549"/>
      <c r="AF244" s="1549"/>
      <c r="AG244" s="1549"/>
      <c r="AH244" s="1549"/>
    </row>
    <row r="245" spans="1:34" ht="12.75" customHeight="1" x14ac:dyDescent="0.2">
      <c r="A245" s="1549"/>
      <c r="B245" s="1549"/>
      <c r="C245" s="1549"/>
      <c r="D245" s="1549"/>
      <c r="E245" s="1549"/>
      <c r="F245" s="1549"/>
      <c r="G245" s="1549"/>
      <c r="H245" s="1549"/>
      <c r="I245" s="1549"/>
      <c r="J245" s="1549"/>
      <c r="K245" s="1549"/>
      <c r="L245" s="1549"/>
      <c r="M245" s="1549"/>
      <c r="N245" s="1549"/>
      <c r="O245" s="1549"/>
      <c r="P245" s="1549"/>
      <c r="Q245" s="1549"/>
      <c r="R245" s="1549"/>
      <c r="S245" s="1549"/>
      <c r="T245" s="1549"/>
      <c r="U245" s="1549"/>
      <c r="V245" s="1549"/>
      <c r="W245" s="1549"/>
      <c r="X245" s="1549"/>
      <c r="Y245" s="1549"/>
      <c r="Z245" s="1549"/>
      <c r="AA245" s="1549"/>
      <c r="AB245" s="1549"/>
      <c r="AC245" s="1549"/>
      <c r="AD245" s="1549"/>
      <c r="AE245" s="1549"/>
      <c r="AF245" s="1549"/>
      <c r="AG245" s="1549"/>
      <c r="AH245" s="1549"/>
    </row>
    <row r="246" spans="1:34" ht="12.75" customHeight="1" x14ac:dyDescent="0.2">
      <c r="A246" s="1549"/>
      <c r="B246" s="1549"/>
      <c r="C246" s="1549"/>
      <c r="D246" s="1549"/>
      <c r="E246" s="1549"/>
      <c r="F246" s="1549"/>
      <c r="G246" s="1549"/>
      <c r="H246" s="1549"/>
      <c r="I246" s="1549"/>
      <c r="J246" s="1549"/>
      <c r="K246" s="1549"/>
      <c r="L246" s="1549"/>
      <c r="M246" s="1549"/>
      <c r="N246" s="1549"/>
      <c r="O246" s="1549"/>
      <c r="P246" s="1549"/>
      <c r="Q246" s="1549"/>
      <c r="R246" s="1549"/>
      <c r="S246" s="1549"/>
      <c r="T246" s="1549"/>
      <c r="U246" s="1549"/>
      <c r="V246" s="1549"/>
      <c r="W246" s="1549"/>
      <c r="X246" s="1549"/>
      <c r="Y246" s="1549"/>
      <c r="Z246" s="1549"/>
      <c r="AA246" s="1549"/>
      <c r="AB246" s="1549"/>
      <c r="AC246" s="1549"/>
      <c r="AD246" s="1549"/>
      <c r="AE246" s="1549"/>
      <c r="AF246" s="1549"/>
      <c r="AG246" s="1549"/>
      <c r="AH246" s="1549"/>
    </row>
    <row r="247" spans="1:34" ht="12.75" customHeight="1" x14ac:dyDescent="0.2">
      <c r="A247" s="1549"/>
      <c r="B247" s="1549"/>
      <c r="C247" s="1549"/>
      <c r="D247" s="1549"/>
      <c r="E247" s="1549"/>
      <c r="F247" s="1549"/>
      <c r="G247" s="1549"/>
      <c r="H247" s="1549"/>
      <c r="I247" s="1549"/>
      <c r="J247" s="1549"/>
      <c r="K247" s="1549"/>
      <c r="L247" s="1549"/>
      <c r="M247" s="1549"/>
      <c r="N247" s="1549"/>
      <c r="O247" s="1549"/>
      <c r="P247" s="1549"/>
      <c r="Q247" s="1549"/>
      <c r="R247" s="1549"/>
      <c r="S247" s="1549"/>
      <c r="T247" s="1549"/>
      <c r="U247" s="1549"/>
      <c r="V247" s="1549"/>
      <c r="W247" s="1549"/>
      <c r="X247" s="1549"/>
      <c r="Y247" s="1549"/>
      <c r="Z247" s="1549"/>
      <c r="AA247" s="1549"/>
      <c r="AB247" s="1549"/>
      <c r="AC247" s="1549"/>
      <c r="AD247" s="1549"/>
      <c r="AE247" s="1549"/>
      <c r="AF247" s="1549"/>
      <c r="AG247" s="1549"/>
      <c r="AH247" s="1549"/>
    </row>
    <row r="248" spans="1:34" ht="12.75" customHeight="1" x14ac:dyDescent="0.2">
      <c r="A248" s="1549"/>
      <c r="B248" s="1549"/>
      <c r="C248" s="1549"/>
      <c r="D248" s="1549"/>
      <c r="E248" s="1549"/>
      <c r="F248" s="1549"/>
      <c r="G248" s="1549"/>
      <c r="H248" s="1549"/>
      <c r="I248" s="1549"/>
      <c r="J248" s="1549"/>
      <c r="K248" s="1549"/>
      <c r="L248" s="1549"/>
      <c r="M248" s="1549"/>
      <c r="N248" s="1549"/>
      <c r="O248" s="1549"/>
      <c r="P248" s="1549"/>
      <c r="Q248" s="1549"/>
      <c r="R248" s="1549"/>
      <c r="S248" s="1549"/>
      <c r="T248" s="1549"/>
      <c r="U248" s="1549"/>
      <c r="V248" s="1549"/>
      <c r="W248" s="1549"/>
      <c r="X248" s="1549"/>
      <c r="Y248" s="1549"/>
      <c r="Z248" s="1549"/>
      <c r="AA248" s="1549"/>
      <c r="AB248" s="1549"/>
      <c r="AC248" s="1549"/>
      <c r="AD248" s="1549"/>
      <c r="AE248" s="1549"/>
      <c r="AF248" s="1549"/>
      <c r="AG248" s="1549"/>
      <c r="AH248" s="1549"/>
    </row>
    <row r="249" spans="1:34" ht="12.75" customHeight="1" x14ac:dyDescent="0.2">
      <c r="A249" s="1549"/>
      <c r="B249" s="1549"/>
      <c r="C249" s="1549"/>
      <c r="D249" s="1549"/>
      <c r="E249" s="1549"/>
      <c r="F249" s="1549"/>
      <c r="G249" s="1549"/>
      <c r="H249" s="1549"/>
      <c r="I249" s="1549"/>
      <c r="J249" s="1549"/>
      <c r="K249" s="1549"/>
      <c r="L249" s="1549"/>
      <c r="M249" s="1549"/>
      <c r="N249" s="1549"/>
      <c r="O249" s="1549"/>
      <c r="P249" s="1549"/>
      <c r="Q249" s="1549"/>
      <c r="R249" s="1549"/>
      <c r="S249" s="1549"/>
      <c r="T249" s="1549"/>
      <c r="U249" s="1549"/>
      <c r="V249" s="1549"/>
      <c r="W249" s="1549"/>
      <c r="X249" s="1549"/>
      <c r="Y249" s="1549"/>
      <c r="Z249" s="1549"/>
      <c r="AA249" s="1549"/>
      <c r="AB249" s="1549"/>
      <c r="AC249" s="1549"/>
      <c r="AD249" s="1549"/>
      <c r="AE249" s="1549"/>
      <c r="AF249" s="1549"/>
      <c r="AG249" s="1549"/>
      <c r="AH249" s="1549"/>
    </row>
    <row r="250" spans="1:34" ht="12.75" customHeight="1" x14ac:dyDescent="0.2">
      <c r="A250" s="1549"/>
      <c r="B250" s="1549"/>
      <c r="C250" s="1549"/>
      <c r="D250" s="1549"/>
      <c r="E250" s="1549"/>
      <c r="F250" s="1549"/>
      <c r="G250" s="1549"/>
      <c r="H250" s="1549"/>
      <c r="I250" s="1549"/>
      <c r="J250" s="1549"/>
      <c r="K250" s="1549"/>
      <c r="L250" s="1549"/>
      <c r="M250" s="1549"/>
      <c r="N250" s="1549"/>
      <c r="O250" s="1549"/>
      <c r="P250" s="1549"/>
      <c r="Q250" s="1549"/>
      <c r="R250" s="1549"/>
      <c r="S250" s="1549"/>
      <c r="T250" s="1549"/>
      <c r="U250" s="1549"/>
      <c r="V250" s="1549"/>
      <c r="W250" s="1549"/>
      <c r="X250" s="1549"/>
      <c r="Y250" s="1549"/>
      <c r="Z250" s="1549"/>
      <c r="AA250" s="1549"/>
      <c r="AB250" s="1549"/>
      <c r="AC250" s="1549"/>
      <c r="AD250" s="1549"/>
      <c r="AE250" s="1549"/>
      <c r="AF250" s="1549"/>
      <c r="AG250" s="1549"/>
      <c r="AH250" s="1549"/>
    </row>
    <row r="251" spans="1:34" ht="12.75" customHeight="1" x14ac:dyDescent="0.2">
      <c r="A251" s="1549"/>
      <c r="B251" s="1549"/>
      <c r="C251" s="1549"/>
      <c r="D251" s="1549"/>
      <c r="E251" s="1549"/>
      <c r="F251" s="1549"/>
      <c r="G251" s="1549"/>
      <c r="H251" s="1549"/>
      <c r="I251" s="1549"/>
      <c r="J251" s="1549"/>
      <c r="K251" s="1549"/>
      <c r="L251" s="1549"/>
      <c r="M251" s="1549"/>
      <c r="N251" s="1549"/>
      <c r="O251" s="1549"/>
      <c r="P251" s="1549"/>
      <c r="Q251" s="1549"/>
      <c r="R251" s="1549"/>
      <c r="S251" s="1549"/>
      <c r="T251" s="1549"/>
      <c r="U251" s="1549"/>
      <c r="V251" s="1549"/>
      <c r="W251" s="1549"/>
      <c r="X251" s="1549"/>
      <c r="Y251" s="1549"/>
      <c r="Z251" s="1549"/>
      <c r="AA251" s="1549"/>
      <c r="AB251" s="1549"/>
      <c r="AC251" s="1549"/>
      <c r="AD251" s="1549"/>
      <c r="AE251" s="1549"/>
      <c r="AF251" s="1549"/>
      <c r="AG251" s="1549"/>
      <c r="AH251" s="1549"/>
    </row>
    <row r="252" spans="1:34" ht="12.75" customHeight="1" x14ac:dyDescent="0.2">
      <c r="A252" s="1549"/>
      <c r="B252" s="1549"/>
      <c r="C252" s="1549"/>
      <c r="D252" s="1549"/>
      <c r="E252" s="1549"/>
      <c r="F252" s="1549"/>
      <c r="G252" s="1549"/>
      <c r="H252" s="1549"/>
      <c r="I252" s="1549"/>
      <c r="J252" s="1549"/>
      <c r="K252" s="1549"/>
      <c r="L252" s="1549"/>
      <c r="M252" s="1549"/>
      <c r="N252" s="1549"/>
      <c r="O252" s="1549"/>
      <c r="P252" s="1549"/>
      <c r="Q252" s="1549"/>
      <c r="R252" s="1549"/>
      <c r="S252" s="1549"/>
      <c r="T252" s="1549"/>
      <c r="U252" s="1549"/>
      <c r="V252" s="1549"/>
      <c r="W252" s="1549"/>
      <c r="X252" s="1549"/>
      <c r="Y252" s="1549"/>
      <c r="Z252" s="1549"/>
      <c r="AA252" s="1549"/>
      <c r="AB252" s="1549"/>
      <c r="AC252" s="1549"/>
      <c r="AD252" s="1549"/>
      <c r="AE252" s="1549"/>
      <c r="AF252" s="1549"/>
      <c r="AG252" s="1549"/>
      <c r="AH252" s="1549"/>
    </row>
    <row r="253" spans="1:34" ht="12.75" customHeight="1" x14ac:dyDescent="0.2">
      <c r="A253" s="1549"/>
      <c r="B253" s="1549"/>
      <c r="C253" s="1549"/>
      <c r="D253" s="1549"/>
      <c r="E253" s="1549"/>
      <c r="F253" s="1549"/>
      <c r="G253" s="1549"/>
      <c r="H253" s="1549"/>
      <c r="I253" s="1549"/>
      <c r="J253" s="1549"/>
      <c r="K253" s="1549"/>
      <c r="L253" s="1549"/>
      <c r="M253" s="1549"/>
      <c r="N253" s="1549"/>
      <c r="O253" s="1549"/>
      <c r="P253" s="1549"/>
      <c r="Q253" s="1549"/>
      <c r="R253" s="1549"/>
      <c r="S253" s="1549"/>
      <c r="T253" s="1549"/>
      <c r="U253" s="1549"/>
      <c r="V253" s="1549"/>
      <c r="W253" s="1549"/>
      <c r="X253" s="1549"/>
      <c r="Y253" s="1549"/>
      <c r="Z253" s="1549"/>
      <c r="AA253" s="1549"/>
      <c r="AB253" s="1549"/>
      <c r="AC253" s="1549"/>
      <c r="AD253" s="1549"/>
      <c r="AE253" s="1549"/>
      <c r="AF253" s="1549"/>
      <c r="AG253" s="1549"/>
      <c r="AH253" s="1549"/>
    </row>
    <row r="254" spans="1:34" ht="12.75" customHeight="1" x14ac:dyDescent="0.2">
      <c r="A254" s="1549"/>
      <c r="B254" s="1549"/>
      <c r="C254" s="1549"/>
      <c r="D254" s="1549"/>
      <c r="E254" s="1549"/>
      <c r="F254" s="1549"/>
      <c r="G254" s="1549"/>
      <c r="H254" s="1549"/>
      <c r="I254" s="1549"/>
      <c r="J254" s="1549"/>
      <c r="K254" s="1549"/>
      <c r="L254" s="1549"/>
      <c r="M254" s="1549"/>
      <c r="N254" s="1549"/>
      <c r="O254" s="1549"/>
      <c r="P254" s="1549"/>
      <c r="Q254" s="1549"/>
      <c r="R254" s="1549"/>
      <c r="S254" s="1549"/>
      <c r="T254" s="1549"/>
      <c r="U254" s="1549"/>
      <c r="V254" s="1549"/>
      <c r="W254" s="1549"/>
      <c r="X254" s="1549"/>
      <c r="Y254" s="1549"/>
      <c r="Z254" s="1549"/>
      <c r="AA254" s="1549"/>
      <c r="AB254" s="1549"/>
      <c r="AC254" s="1549"/>
      <c r="AD254" s="1549"/>
      <c r="AE254" s="1549"/>
      <c r="AF254" s="1549"/>
      <c r="AG254" s="1549"/>
      <c r="AH254" s="1549"/>
    </row>
    <row r="255" spans="1:34" ht="12.75" customHeight="1" x14ac:dyDescent="0.2">
      <c r="A255" s="1549"/>
      <c r="B255" s="1549"/>
      <c r="C255" s="1549"/>
      <c r="D255" s="1549"/>
      <c r="E255" s="1549"/>
      <c r="F255" s="1549"/>
      <c r="G255" s="1549"/>
      <c r="H255" s="1549"/>
      <c r="I255" s="1549"/>
      <c r="J255" s="1549"/>
      <c r="K255" s="1549"/>
      <c r="L255" s="1549"/>
      <c r="M255" s="1549"/>
      <c r="N255" s="1549"/>
      <c r="O255" s="1549"/>
      <c r="P255" s="1549"/>
      <c r="Q255" s="1549"/>
      <c r="R255" s="1549"/>
      <c r="S255" s="1549"/>
      <c r="T255" s="1549"/>
      <c r="U255" s="1549"/>
      <c r="V255" s="1549"/>
      <c r="W255" s="1549"/>
      <c r="X255" s="1549"/>
      <c r="Y255" s="1549"/>
      <c r="Z255" s="1549"/>
      <c r="AA255" s="1549"/>
      <c r="AB255" s="1549"/>
      <c r="AC255" s="1549"/>
      <c r="AD255" s="1549"/>
      <c r="AE255" s="1549"/>
      <c r="AF255" s="1549"/>
      <c r="AG255" s="1549"/>
      <c r="AH255" s="1549"/>
    </row>
    <row r="256" spans="1:34" ht="12.75" customHeight="1" x14ac:dyDescent="0.2">
      <c r="A256" s="1549"/>
      <c r="B256" s="1549"/>
      <c r="C256" s="1549"/>
      <c r="D256" s="1549"/>
      <c r="E256" s="1549"/>
      <c r="F256" s="1549"/>
      <c r="G256" s="1549"/>
      <c r="H256" s="1549"/>
      <c r="I256" s="1549"/>
      <c r="J256" s="1549"/>
      <c r="K256" s="1549"/>
      <c r="L256" s="1549"/>
      <c r="M256" s="1549"/>
      <c r="N256" s="1549"/>
      <c r="O256" s="1549"/>
      <c r="P256" s="1549"/>
      <c r="Q256" s="1549"/>
      <c r="R256" s="1549"/>
      <c r="S256" s="1549"/>
      <c r="T256" s="1549"/>
      <c r="U256" s="1549"/>
      <c r="V256" s="1549"/>
      <c r="W256" s="1549"/>
      <c r="X256" s="1549"/>
      <c r="Y256" s="1549"/>
      <c r="Z256" s="1549"/>
      <c r="AA256" s="1549"/>
      <c r="AB256" s="1549"/>
      <c r="AC256" s="1549"/>
      <c r="AD256" s="1549"/>
      <c r="AE256" s="1549"/>
      <c r="AF256" s="1549"/>
      <c r="AG256" s="1549"/>
      <c r="AH256" s="1549"/>
    </row>
    <row r="257" spans="1:34" ht="12.75" customHeight="1" x14ac:dyDescent="0.2">
      <c r="A257" s="1549"/>
      <c r="B257" s="1549"/>
      <c r="C257" s="1549"/>
      <c r="D257" s="1549"/>
      <c r="E257" s="1549"/>
      <c r="F257" s="1549"/>
      <c r="G257" s="1549"/>
      <c r="H257" s="1549"/>
      <c r="I257" s="1549"/>
      <c r="J257" s="1549"/>
      <c r="K257" s="1549"/>
      <c r="L257" s="1549"/>
      <c r="M257" s="1549"/>
      <c r="N257" s="1549"/>
      <c r="O257" s="1549"/>
      <c r="P257" s="1549"/>
      <c r="Q257" s="1549"/>
      <c r="R257" s="1549"/>
      <c r="S257" s="1549"/>
      <c r="T257" s="1549"/>
      <c r="U257" s="1549"/>
      <c r="V257" s="1549"/>
      <c r="W257" s="1549"/>
      <c r="X257" s="1549"/>
      <c r="Y257" s="1549"/>
      <c r="Z257" s="1549"/>
      <c r="AA257" s="1549"/>
      <c r="AB257" s="1549"/>
      <c r="AC257" s="1549"/>
      <c r="AD257" s="1549"/>
      <c r="AE257" s="1549"/>
      <c r="AF257" s="1549"/>
      <c r="AG257" s="1549"/>
      <c r="AH257" s="1549"/>
    </row>
    <row r="258" spans="1:34" ht="12.75" customHeight="1" x14ac:dyDescent="0.2">
      <c r="A258" s="1549"/>
      <c r="B258" s="1549"/>
      <c r="C258" s="1549"/>
      <c r="D258" s="1549"/>
      <c r="E258" s="1549"/>
      <c r="F258" s="1549"/>
      <c r="G258" s="1549"/>
      <c r="H258" s="1549"/>
      <c r="I258" s="1549"/>
      <c r="J258" s="1549"/>
      <c r="K258" s="1549"/>
      <c r="L258" s="1549"/>
      <c r="M258" s="1549"/>
      <c r="N258" s="1549"/>
      <c r="O258" s="1549"/>
      <c r="P258" s="1549"/>
      <c r="Q258" s="1549"/>
      <c r="R258" s="1549"/>
      <c r="S258" s="1549"/>
      <c r="T258" s="1549"/>
      <c r="U258" s="1549"/>
      <c r="V258" s="1549"/>
      <c r="W258" s="1549"/>
      <c r="X258" s="1549"/>
      <c r="Y258" s="1549"/>
      <c r="Z258" s="1549"/>
      <c r="AA258" s="1549"/>
      <c r="AB258" s="1549"/>
      <c r="AC258" s="1549"/>
      <c r="AD258" s="1549"/>
      <c r="AE258" s="1549"/>
      <c r="AF258" s="1549"/>
      <c r="AG258" s="1549"/>
      <c r="AH258" s="1549"/>
    </row>
    <row r="259" spans="1:34" ht="12.75" customHeight="1" x14ac:dyDescent="0.2">
      <c r="A259" s="1549"/>
      <c r="B259" s="1549"/>
      <c r="C259" s="1549"/>
      <c r="D259" s="1549"/>
      <c r="E259" s="1549"/>
      <c r="F259" s="1549"/>
      <c r="G259" s="1549"/>
      <c r="H259" s="1549"/>
      <c r="I259" s="1549"/>
      <c r="J259" s="1549"/>
      <c r="K259" s="1549"/>
      <c r="L259" s="1549"/>
      <c r="M259" s="1549"/>
      <c r="N259" s="1549"/>
      <c r="O259" s="1549"/>
      <c r="P259" s="1549"/>
      <c r="Q259" s="1549"/>
      <c r="R259" s="1549"/>
      <c r="S259" s="1549"/>
      <c r="T259" s="1549"/>
      <c r="U259" s="1549"/>
      <c r="V259" s="1549"/>
      <c r="W259" s="1549"/>
      <c r="X259" s="1549"/>
      <c r="Y259" s="1549"/>
      <c r="Z259" s="1549"/>
      <c r="AA259" s="1549"/>
      <c r="AB259" s="1549"/>
      <c r="AC259" s="1549"/>
      <c r="AD259" s="1549"/>
      <c r="AE259" s="1549"/>
      <c r="AF259" s="1549"/>
      <c r="AG259" s="1549"/>
      <c r="AH259" s="1549"/>
    </row>
    <row r="260" spans="1:34" ht="12.75" customHeight="1" x14ac:dyDescent="0.2">
      <c r="A260" s="1549"/>
      <c r="B260" s="1549"/>
      <c r="C260" s="1549"/>
      <c r="D260" s="1549"/>
      <c r="E260" s="1549"/>
      <c r="F260" s="1549"/>
      <c r="G260" s="1549"/>
      <c r="H260" s="1549"/>
      <c r="I260" s="1549"/>
      <c r="J260" s="1549"/>
      <c r="K260" s="1549"/>
      <c r="L260" s="1549"/>
      <c r="M260" s="1549"/>
      <c r="N260" s="1549"/>
      <c r="O260" s="1549"/>
      <c r="P260" s="1549"/>
      <c r="Q260" s="1549"/>
      <c r="R260" s="1549"/>
      <c r="S260" s="1549"/>
      <c r="T260" s="1549"/>
      <c r="U260" s="1549"/>
      <c r="V260" s="1549"/>
      <c r="W260" s="1549"/>
      <c r="X260" s="1549"/>
      <c r="Y260" s="1549"/>
      <c r="Z260" s="1549"/>
      <c r="AA260" s="1549"/>
      <c r="AB260" s="1549"/>
      <c r="AC260" s="1549"/>
      <c r="AD260" s="1549"/>
      <c r="AE260" s="1549"/>
      <c r="AF260" s="1549"/>
      <c r="AG260" s="1549"/>
      <c r="AH260" s="1549"/>
    </row>
    <row r="261" spans="1:34" ht="12.75" customHeight="1" x14ac:dyDescent="0.2">
      <c r="A261" s="1549"/>
      <c r="B261" s="1549"/>
      <c r="C261" s="1549"/>
      <c r="D261" s="1549"/>
      <c r="E261" s="1549"/>
      <c r="F261" s="1549"/>
      <c r="G261" s="1549"/>
      <c r="H261" s="1549"/>
      <c r="I261" s="1549"/>
      <c r="J261" s="1549"/>
      <c r="K261" s="1549"/>
      <c r="L261" s="1549"/>
      <c r="M261" s="1549"/>
      <c r="N261" s="1549"/>
      <c r="O261" s="1549"/>
      <c r="P261" s="1549"/>
      <c r="Q261" s="1549"/>
      <c r="R261" s="1549"/>
      <c r="S261" s="1549"/>
      <c r="T261" s="1549"/>
      <c r="U261" s="1549"/>
      <c r="V261" s="1549"/>
      <c r="W261" s="1549"/>
      <c r="X261" s="1549"/>
      <c r="Y261" s="1549"/>
      <c r="Z261" s="1549"/>
      <c r="AA261" s="1549"/>
      <c r="AB261" s="1549"/>
      <c r="AC261" s="1549"/>
      <c r="AD261" s="1549"/>
      <c r="AE261" s="1549"/>
      <c r="AF261" s="1549"/>
      <c r="AG261" s="1549"/>
      <c r="AH261" s="1549"/>
    </row>
    <row r="262" spans="1:34" ht="12.75" customHeight="1" x14ac:dyDescent="0.2">
      <c r="A262" s="1549"/>
      <c r="B262" s="1549"/>
      <c r="C262" s="1549"/>
      <c r="D262" s="1549"/>
      <c r="E262" s="1549"/>
      <c r="F262" s="1549"/>
      <c r="G262" s="1549"/>
      <c r="H262" s="1549"/>
      <c r="I262" s="1549"/>
      <c r="J262" s="1549"/>
      <c r="K262" s="1549"/>
      <c r="L262" s="1549"/>
      <c r="M262" s="1549"/>
      <c r="N262" s="1549"/>
      <c r="O262" s="1549"/>
      <c r="P262" s="1549"/>
      <c r="Q262" s="1549"/>
      <c r="R262" s="1549"/>
      <c r="S262" s="1549"/>
      <c r="T262" s="1549"/>
      <c r="U262" s="1549"/>
      <c r="V262" s="1549"/>
      <c r="W262" s="1549"/>
      <c r="X262" s="1549"/>
      <c r="Y262" s="1549"/>
      <c r="Z262" s="1549"/>
      <c r="AA262" s="1549"/>
      <c r="AB262" s="1549"/>
      <c r="AC262" s="1549"/>
      <c r="AD262" s="1549"/>
      <c r="AE262" s="1549"/>
      <c r="AF262" s="1549"/>
      <c r="AG262" s="1549"/>
      <c r="AH262" s="1549"/>
    </row>
    <row r="263" spans="1:34" ht="12.75" customHeight="1" x14ac:dyDescent="0.2">
      <c r="A263" s="1549"/>
      <c r="B263" s="1549"/>
      <c r="C263" s="1549"/>
      <c r="D263" s="1549"/>
      <c r="E263" s="1549"/>
      <c r="F263" s="1549"/>
      <c r="G263" s="1549"/>
      <c r="H263" s="1549"/>
      <c r="I263" s="1549"/>
      <c r="J263" s="1549"/>
      <c r="K263" s="1549"/>
      <c r="L263" s="1549"/>
      <c r="M263" s="1549"/>
      <c r="N263" s="1549"/>
      <c r="O263" s="1549"/>
      <c r="P263" s="1549"/>
      <c r="Q263" s="1549"/>
      <c r="R263" s="1549"/>
      <c r="S263" s="1549"/>
      <c r="T263" s="1549"/>
      <c r="U263" s="1549"/>
      <c r="V263" s="1549"/>
      <c r="W263" s="1549"/>
      <c r="X263" s="1549"/>
      <c r="Y263" s="1549"/>
      <c r="Z263" s="1549"/>
      <c r="AA263" s="1549"/>
      <c r="AB263" s="1549"/>
      <c r="AC263" s="1549"/>
      <c r="AD263" s="1549"/>
      <c r="AE263" s="1549"/>
      <c r="AF263" s="1549"/>
      <c r="AG263" s="1549"/>
      <c r="AH263" s="1549"/>
    </row>
    <row r="264" spans="1:34" ht="12.75" customHeight="1" x14ac:dyDescent="0.2">
      <c r="A264" s="1549"/>
      <c r="B264" s="1549"/>
      <c r="C264" s="1549"/>
      <c r="D264" s="1549"/>
      <c r="E264" s="1549"/>
      <c r="F264" s="1549"/>
      <c r="G264" s="1549"/>
      <c r="H264" s="1549"/>
      <c r="I264" s="1549"/>
      <c r="J264" s="1549"/>
      <c r="K264" s="1549"/>
      <c r="L264" s="1549"/>
      <c r="M264" s="1549"/>
      <c r="N264" s="1549"/>
      <c r="O264" s="1549"/>
      <c r="P264" s="1549"/>
      <c r="Q264" s="1549"/>
      <c r="R264" s="1549"/>
      <c r="S264" s="1549"/>
      <c r="T264" s="1549"/>
      <c r="U264" s="1549"/>
      <c r="V264" s="1549"/>
      <c r="W264" s="1549"/>
      <c r="X264" s="1549"/>
      <c r="Y264" s="1549"/>
      <c r="Z264" s="1549"/>
      <c r="AA264" s="1549"/>
      <c r="AB264" s="1549"/>
      <c r="AC264" s="1549"/>
      <c r="AD264" s="1549"/>
      <c r="AE264" s="1549"/>
      <c r="AF264" s="1549"/>
      <c r="AG264" s="1549"/>
      <c r="AH264" s="1549"/>
    </row>
    <row r="265" spans="1:34" ht="12.75" customHeight="1" x14ac:dyDescent="0.2">
      <c r="A265" s="1549"/>
      <c r="B265" s="1549"/>
      <c r="C265" s="1549"/>
      <c r="D265" s="1549"/>
      <c r="E265" s="1549"/>
      <c r="F265" s="1549"/>
      <c r="G265" s="1549"/>
      <c r="H265" s="1549"/>
      <c r="I265" s="1549"/>
      <c r="J265" s="1549"/>
      <c r="K265" s="1549"/>
      <c r="L265" s="1549"/>
      <c r="M265" s="1549"/>
      <c r="N265" s="1549"/>
      <c r="O265" s="1549"/>
      <c r="P265" s="1549"/>
      <c r="Q265" s="1549"/>
      <c r="R265" s="1549"/>
      <c r="S265" s="1549"/>
      <c r="T265" s="1549"/>
      <c r="U265" s="1549"/>
      <c r="V265" s="1549"/>
      <c r="W265" s="1549"/>
      <c r="X265" s="1549"/>
      <c r="Y265" s="1549"/>
      <c r="Z265" s="1549"/>
      <c r="AA265" s="1549"/>
      <c r="AB265" s="1549"/>
      <c r="AC265" s="1549"/>
      <c r="AD265" s="1549"/>
      <c r="AE265" s="1549"/>
      <c r="AF265" s="1549"/>
      <c r="AG265" s="1549"/>
      <c r="AH265" s="1549"/>
    </row>
    <row r="266" spans="1:34" ht="12.75" customHeight="1" x14ac:dyDescent="0.2">
      <c r="A266" s="1549"/>
      <c r="B266" s="1549"/>
      <c r="C266" s="1549"/>
      <c r="D266" s="1549"/>
      <c r="E266" s="1549"/>
      <c r="F266" s="1549"/>
      <c r="G266" s="1549"/>
      <c r="H266" s="1549"/>
      <c r="I266" s="1549"/>
      <c r="J266" s="1549"/>
      <c r="K266" s="1549"/>
      <c r="L266" s="1549"/>
      <c r="M266" s="1549"/>
      <c r="N266" s="1549"/>
      <c r="O266" s="1549"/>
      <c r="P266" s="1549"/>
      <c r="Q266" s="1549"/>
      <c r="R266" s="1549"/>
      <c r="S266" s="1549"/>
      <c r="T266" s="1549"/>
      <c r="U266" s="1549"/>
      <c r="V266" s="1549"/>
      <c r="W266" s="1549"/>
      <c r="X266" s="1549"/>
      <c r="Y266" s="1549"/>
      <c r="Z266" s="1549"/>
      <c r="AA266" s="1549"/>
      <c r="AB266" s="1549"/>
      <c r="AC266" s="1549"/>
      <c r="AD266" s="1549"/>
      <c r="AE266" s="1549"/>
      <c r="AF266" s="1549"/>
      <c r="AG266" s="1549"/>
      <c r="AH266" s="1549"/>
    </row>
    <row r="267" spans="1:34" ht="12.75" customHeight="1" x14ac:dyDescent="0.2">
      <c r="A267" s="1549"/>
      <c r="B267" s="1549"/>
      <c r="C267" s="1549"/>
      <c r="D267" s="1549"/>
      <c r="E267" s="1549"/>
      <c r="F267" s="1549"/>
      <c r="G267" s="1549"/>
      <c r="H267" s="1549"/>
      <c r="I267" s="1549"/>
      <c r="J267" s="1549"/>
      <c r="K267" s="1549"/>
      <c r="L267" s="1549"/>
      <c r="M267" s="1549"/>
      <c r="N267" s="1549"/>
      <c r="O267" s="1549"/>
      <c r="P267" s="1549"/>
      <c r="Q267" s="1549"/>
      <c r="R267" s="1549"/>
      <c r="S267" s="1549"/>
      <c r="T267" s="1549"/>
      <c r="U267" s="1549"/>
      <c r="V267" s="1549"/>
      <c r="W267" s="1549"/>
      <c r="X267" s="1549"/>
      <c r="Y267" s="1549"/>
      <c r="Z267" s="1549"/>
      <c r="AA267" s="1549"/>
      <c r="AB267" s="1549"/>
      <c r="AC267" s="1549"/>
      <c r="AD267" s="1549"/>
      <c r="AE267" s="1549"/>
      <c r="AF267" s="1549"/>
      <c r="AG267" s="1549"/>
      <c r="AH267" s="1549"/>
    </row>
    <row r="268" spans="1:34" ht="12.75" customHeight="1" x14ac:dyDescent="0.2">
      <c r="A268" s="1549"/>
      <c r="B268" s="1549"/>
      <c r="C268" s="1549"/>
      <c r="D268" s="1549"/>
      <c r="E268" s="1549"/>
      <c r="F268" s="1549"/>
      <c r="G268" s="1549"/>
      <c r="H268" s="1549"/>
      <c r="I268" s="1549"/>
      <c r="J268" s="1549"/>
      <c r="K268" s="1549"/>
      <c r="L268" s="1549"/>
      <c r="M268" s="1549"/>
      <c r="N268" s="1549"/>
      <c r="O268" s="1549"/>
      <c r="P268" s="1549"/>
      <c r="Q268" s="1549"/>
      <c r="R268" s="1549"/>
      <c r="S268" s="1549"/>
      <c r="T268" s="1549"/>
      <c r="U268" s="1549"/>
      <c r="V268" s="1549"/>
      <c r="W268" s="1549"/>
      <c r="X268" s="1549"/>
      <c r="Y268" s="1549"/>
      <c r="Z268" s="1549"/>
      <c r="AA268" s="1549"/>
      <c r="AB268" s="1549"/>
      <c r="AC268" s="1549"/>
      <c r="AD268" s="1549"/>
      <c r="AE268" s="1549"/>
      <c r="AF268" s="1549"/>
      <c r="AG268" s="1549"/>
      <c r="AH268" s="1549"/>
    </row>
    <row r="269" spans="1:34" ht="12.75" customHeight="1" x14ac:dyDescent="0.2">
      <c r="A269" s="1549"/>
      <c r="B269" s="1549"/>
      <c r="C269" s="1549"/>
      <c r="D269" s="1549"/>
      <c r="E269" s="1549"/>
      <c r="F269" s="1549"/>
      <c r="G269" s="1549"/>
      <c r="H269" s="1549"/>
      <c r="I269" s="1549"/>
      <c r="J269" s="1549"/>
      <c r="K269" s="1549"/>
      <c r="L269" s="1549"/>
      <c r="M269" s="1549"/>
      <c r="N269" s="1549"/>
      <c r="O269" s="1549"/>
      <c r="P269" s="1549"/>
      <c r="Q269" s="1549"/>
      <c r="R269" s="1549"/>
      <c r="S269" s="1549"/>
      <c r="T269" s="1549"/>
      <c r="U269" s="1549"/>
      <c r="V269" s="1549"/>
      <c r="W269" s="1549"/>
      <c r="X269" s="1549"/>
      <c r="Y269" s="1549"/>
      <c r="Z269" s="1549"/>
      <c r="AA269" s="1549"/>
      <c r="AB269" s="1549"/>
      <c r="AC269" s="1549"/>
      <c r="AD269" s="1549"/>
      <c r="AE269" s="1549"/>
      <c r="AF269" s="1549"/>
      <c r="AG269" s="1549"/>
      <c r="AH269" s="1549"/>
    </row>
    <row r="270" spans="1:34" ht="12.75" customHeight="1" x14ac:dyDescent="0.2">
      <c r="A270" s="1549"/>
      <c r="B270" s="1549"/>
      <c r="C270" s="1549"/>
      <c r="D270" s="1549"/>
      <c r="E270" s="1549"/>
      <c r="F270" s="1549"/>
      <c r="G270" s="1549"/>
      <c r="H270" s="1549"/>
      <c r="I270" s="1549"/>
      <c r="J270" s="1549"/>
      <c r="K270" s="1549"/>
      <c r="L270" s="1549"/>
      <c r="M270" s="1549"/>
      <c r="N270" s="1549"/>
      <c r="O270" s="1549"/>
      <c r="P270" s="1549"/>
      <c r="Q270" s="1549"/>
      <c r="R270" s="1549"/>
      <c r="S270" s="1549"/>
      <c r="T270" s="1549"/>
      <c r="U270" s="1549"/>
      <c r="V270" s="1549"/>
      <c r="W270" s="1549"/>
      <c r="X270" s="1549"/>
      <c r="Y270" s="1549"/>
      <c r="Z270" s="1549"/>
      <c r="AA270" s="1549"/>
      <c r="AB270" s="1549"/>
      <c r="AC270" s="1549"/>
      <c r="AD270" s="1549"/>
      <c r="AE270" s="1549"/>
      <c r="AF270" s="1549"/>
      <c r="AG270" s="1549"/>
      <c r="AH270" s="1549"/>
    </row>
    <row r="271" spans="1:34" ht="12.75" customHeight="1" x14ac:dyDescent="0.2">
      <c r="A271" s="1549"/>
      <c r="B271" s="1549"/>
      <c r="C271" s="1549"/>
      <c r="D271" s="1549"/>
      <c r="E271" s="1549"/>
      <c r="F271" s="1549"/>
      <c r="G271" s="1549"/>
      <c r="H271" s="1549"/>
      <c r="I271" s="1549"/>
      <c r="J271" s="1549"/>
      <c r="K271" s="1549"/>
      <c r="L271" s="1549"/>
      <c r="M271" s="1549"/>
      <c r="N271" s="1549"/>
      <c r="O271" s="1549"/>
      <c r="P271" s="1549"/>
      <c r="Q271" s="1549"/>
      <c r="R271" s="1549"/>
      <c r="S271" s="1549"/>
      <c r="T271" s="1549"/>
      <c r="U271" s="1549"/>
      <c r="V271" s="1549"/>
      <c r="W271" s="1549"/>
      <c r="X271" s="1549"/>
      <c r="Y271" s="1549"/>
      <c r="Z271" s="1549"/>
      <c r="AA271" s="1549"/>
      <c r="AB271" s="1549"/>
      <c r="AC271" s="1549"/>
      <c r="AD271" s="1549"/>
      <c r="AE271" s="1549"/>
      <c r="AF271" s="1549"/>
      <c r="AG271" s="1549"/>
      <c r="AH271" s="1549"/>
    </row>
    <row r="272" spans="1:34" ht="12.75" customHeight="1" x14ac:dyDescent="0.2">
      <c r="A272" s="1549"/>
      <c r="B272" s="1549"/>
      <c r="C272" s="1549"/>
      <c r="D272" s="1549"/>
      <c r="E272" s="1549"/>
      <c r="F272" s="1549"/>
      <c r="G272" s="1549"/>
      <c r="H272" s="1549"/>
      <c r="I272" s="1549"/>
      <c r="J272" s="1549"/>
      <c r="K272" s="1549"/>
      <c r="L272" s="1549"/>
      <c r="M272" s="1549"/>
      <c r="N272" s="1549"/>
      <c r="O272" s="1549"/>
      <c r="P272" s="1549"/>
      <c r="Q272" s="1549"/>
      <c r="R272" s="1549"/>
      <c r="S272" s="1549"/>
      <c r="T272" s="1549"/>
      <c r="U272" s="1549"/>
      <c r="V272" s="1549"/>
      <c r="W272" s="1549"/>
      <c r="X272" s="1549"/>
      <c r="Y272" s="1549"/>
      <c r="Z272" s="1549"/>
      <c r="AA272" s="1549"/>
      <c r="AB272" s="1549"/>
      <c r="AC272" s="1549"/>
      <c r="AD272" s="1549"/>
      <c r="AE272" s="1549"/>
      <c r="AF272" s="1549"/>
      <c r="AG272" s="1549"/>
      <c r="AH272" s="1549"/>
    </row>
    <row r="273" spans="1:34" ht="12.75" customHeight="1" x14ac:dyDescent="0.2">
      <c r="A273" s="1549"/>
      <c r="B273" s="1549"/>
      <c r="C273" s="1549"/>
      <c r="D273" s="1549"/>
      <c r="E273" s="1549"/>
      <c r="F273" s="1549"/>
      <c r="G273" s="1549"/>
      <c r="H273" s="1549"/>
      <c r="I273" s="1549"/>
      <c r="J273" s="1549"/>
      <c r="K273" s="1549"/>
      <c r="L273" s="1549"/>
      <c r="M273" s="1549"/>
      <c r="N273" s="1549"/>
      <c r="O273" s="1549"/>
      <c r="P273" s="1549"/>
      <c r="Q273" s="1549"/>
      <c r="R273" s="1549"/>
      <c r="S273" s="1549"/>
      <c r="T273" s="1549"/>
      <c r="U273" s="1549"/>
      <c r="V273" s="1549"/>
      <c r="W273" s="1549"/>
      <c r="X273" s="1549"/>
      <c r="Y273" s="1549"/>
      <c r="Z273" s="1549"/>
      <c r="AA273" s="1549"/>
      <c r="AB273" s="1549"/>
      <c r="AC273" s="1549"/>
      <c r="AD273" s="1549"/>
      <c r="AE273" s="1549"/>
      <c r="AF273" s="1549"/>
      <c r="AG273" s="1549"/>
      <c r="AH273" s="1549"/>
    </row>
    <row r="274" spans="1:34" ht="12.75" customHeight="1" x14ac:dyDescent="0.2">
      <c r="A274" s="1549"/>
      <c r="B274" s="1549"/>
      <c r="C274" s="1549"/>
      <c r="D274" s="1549"/>
      <c r="E274" s="1549"/>
      <c r="F274" s="1549"/>
      <c r="G274" s="1549"/>
      <c r="H274" s="1549"/>
      <c r="I274" s="1549"/>
      <c r="J274" s="1549"/>
      <c r="K274" s="1549"/>
      <c r="L274" s="1549"/>
      <c r="M274" s="1549"/>
      <c r="N274" s="1549"/>
      <c r="O274" s="1549"/>
      <c r="P274" s="1549"/>
      <c r="Q274" s="1549"/>
      <c r="R274" s="1549"/>
      <c r="S274" s="1549"/>
      <c r="T274" s="1549"/>
      <c r="U274" s="1549"/>
      <c r="V274" s="1549"/>
      <c r="W274" s="1549"/>
      <c r="X274" s="1549"/>
      <c r="Y274" s="1549"/>
      <c r="Z274" s="1549"/>
      <c r="AA274" s="1549"/>
      <c r="AB274" s="1549"/>
      <c r="AC274" s="1549"/>
      <c r="AD274" s="1549"/>
      <c r="AE274" s="1549"/>
      <c r="AF274" s="1549"/>
      <c r="AG274" s="1549"/>
      <c r="AH274" s="1549"/>
    </row>
    <row r="275" spans="1:34" ht="12.75" customHeight="1" x14ac:dyDescent="0.2">
      <c r="A275" s="1549"/>
      <c r="B275" s="1549"/>
      <c r="C275" s="1549"/>
      <c r="D275" s="1549"/>
      <c r="E275" s="1549"/>
      <c r="F275" s="1549"/>
      <c r="G275" s="1549"/>
      <c r="H275" s="1549"/>
      <c r="I275" s="1549"/>
      <c r="J275" s="1549"/>
      <c r="K275" s="1549"/>
      <c r="L275" s="1549"/>
      <c r="M275" s="1549"/>
      <c r="N275" s="1549"/>
      <c r="O275" s="1549"/>
      <c r="P275" s="1549"/>
      <c r="Q275" s="1549"/>
      <c r="R275" s="1549"/>
      <c r="S275" s="1549"/>
      <c r="T275" s="1549"/>
      <c r="U275" s="1549"/>
      <c r="V275" s="1549"/>
      <c r="W275" s="1549"/>
      <c r="X275" s="1549"/>
      <c r="Y275" s="1549"/>
      <c r="Z275" s="1549"/>
      <c r="AA275" s="1549"/>
      <c r="AB275" s="1549"/>
      <c r="AC275" s="1549"/>
      <c r="AD275" s="1549"/>
      <c r="AE275" s="1549"/>
      <c r="AF275" s="1549"/>
      <c r="AG275" s="1549"/>
      <c r="AH275" s="1549"/>
    </row>
    <row r="276" spans="1:34" ht="12.75" customHeight="1" x14ac:dyDescent="0.2">
      <c r="A276" s="1549"/>
      <c r="B276" s="1549"/>
      <c r="C276" s="1549"/>
      <c r="D276" s="1549"/>
      <c r="E276" s="1549"/>
      <c r="F276" s="1549"/>
      <c r="G276" s="1549"/>
      <c r="H276" s="1549"/>
      <c r="I276" s="1549"/>
      <c r="J276" s="1549"/>
      <c r="K276" s="1549"/>
      <c r="L276" s="1549"/>
      <c r="M276" s="1549"/>
      <c r="N276" s="1549"/>
      <c r="O276" s="1549"/>
      <c r="P276" s="1549"/>
      <c r="Q276" s="1549"/>
      <c r="R276" s="1549"/>
      <c r="S276" s="1549"/>
      <c r="T276" s="1549"/>
      <c r="U276" s="1549"/>
      <c r="V276" s="1549"/>
      <c r="W276" s="1549"/>
      <c r="X276" s="1549"/>
      <c r="Y276" s="1549"/>
      <c r="Z276" s="1549"/>
      <c r="AA276" s="1549"/>
      <c r="AB276" s="1549"/>
      <c r="AC276" s="1549"/>
      <c r="AD276" s="1549"/>
      <c r="AE276" s="1549"/>
      <c r="AF276" s="1549"/>
      <c r="AG276" s="1549"/>
      <c r="AH276" s="1549"/>
    </row>
    <row r="277" spans="1:34" ht="12.75" customHeight="1" x14ac:dyDescent="0.2">
      <c r="A277" s="1549"/>
      <c r="B277" s="1549"/>
      <c r="C277" s="1549"/>
      <c r="D277" s="1549"/>
      <c r="E277" s="1549"/>
      <c r="F277" s="1549"/>
      <c r="G277" s="1549"/>
      <c r="H277" s="1549"/>
      <c r="I277" s="1549"/>
      <c r="J277" s="1549"/>
      <c r="K277" s="1549"/>
      <c r="L277" s="1549"/>
      <c r="M277" s="1549"/>
      <c r="N277" s="1549"/>
      <c r="O277" s="1549"/>
      <c r="P277" s="1549"/>
      <c r="Q277" s="1549"/>
      <c r="R277" s="1549"/>
      <c r="S277" s="1549"/>
      <c r="T277" s="1549"/>
      <c r="U277" s="1549"/>
      <c r="V277" s="1549"/>
      <c r="W277" s="1549"/>
      <c r="X277" s="1549"/>
      <c r="Y277" s="1549"/>
      <c r="Z277" s="1549"/>
      <c r="AA277" s="1549"/>
      <c r="AB277" s="1549"/>
      <c r="AC277" s="1549"/>
      <c r="AD277" s="1549"/>
      <c r="AE277" s="1549"/>
      <c r="AF277" s="1549"/>
      <c r="AG277" s="1549"/>
      <c r="AH277" s="1549"/>
    </row>
    <row r="278" spans="1:34" ht="12.75" customHeight="1" x14ac:dyDescent="0.2">
      <c r="A278" s="1549"/>
      <c r="B278" s="1549"/>
      <c r="C278" s="1549"/>
      <c r="D278" s="1549"/>
      <c r="E278" s="1549"/>
      <c r="F278" s="1549"/>
      <c r="G278" s="1549"/>
      <c r="H278" s="1549"/>
      <c r="I278" s="1549"/>
      <c r="J278" s="1549"/>
      <c r="K278" s="1549"/>
      <c r="L278" s="1549"/>
      <c r="M278" s="1549"/>
      <c r="N278" s="1549"/>
      <c r="O278" s="1549"/>
      <c r="P278" s="1549"/>
      <c r="Q278" s="1549"/>
      <c r="R278" s="1549"/>
      <c r="S278" s="1549"/>
      <c r="T278" s="1549"/>
      <c r="U278" s="1549"/>
      <c r="V278" s="1549"/>
      <c r="W278" s="1549"/>
      <c r="X278" s="1549"/>
      <c r="Y278" s="1549"/>
      <c r="Z278" s="1549"/>
      <c r="AA278" s="1549"/>
      <c r="AB278" s="1549"/>
      <c r="AC278" s="1549"/>
      <c r="AD278" s="1549"/>
      <c r="AE278" s="1549"/>
      <c r="AF278" s="1549"/>
      <c r="AG278" s="1549"/>
      <c r="AH278" s="1549"/>
    </row>
    <row r="279" spans="1:34" ht="12.75" customHeight="1" x14ac:dyDescent="0.2">
      <c r="A279" s="1549"/>
      <c r="B279" s="1549"/>
      <c r="C279" s="1549"/>
      <c r="D279" s="1549"/>
      <c r="E279" s="1549"/>
      <c r="F279" s="1549"/>
      <c r="G279" s="1549"/>
      <c r="H279" s="1549"/>
      <c r="I279" s="1549"/>
      <c r="J279" s="1549"/>
      <c r="K279" s="1549"/>
      <c r="L279" s="1549"/>
      <c r="M279" s="1549"/>
      <c r="N279" s="1549"/>
      <c r="O279" s="1549"/>
      <c r="P279" s="1549"/>
      <c r="Q279" s="1549"/>
      <c r="R279" s="1549"/>
      <c r="S279" s="1549"/>
      <c r="T279" s="1549"/>
      <c r="U279" s="1549"/>
      <c r="V279" s="1549"/>
      <c r="W279" s="1549"/>
      <c r="X279" s="1549"/>
      <c r="Y279" s="1549"/>
      <c r="Z279" s="1549"/>
      <c r="AA279" s="1549"/>
      <c r="AB279" s="1549"/>
      <c r="AC279" s="1549"/>
      <c r="AD279" s="1549"/>
      <c r="AE279" s="1549"/>
      <c r="AF279" s="1549"/>
      <c r="AG279" s="1549"/>
      <c r="AH279" s="1549"/>
    </row>
    <row r="280" spans="1:34" ht="12.75" customHeight="1" x14ac:dyDescent="0.2">
      <c r="A280" s="1549"/>
      <c r="B280" s="1549"/>
      <c r="C280" s="1549"/>
      <c r="D280" s="1549"/>
      <c r="E280" s="1549"/>
      <c r="F280" s="1549"/>
      <c r="G280" s="1549"/>
      <c r="H280" s="1549"/>
      <c r="I280" s="1549"/>
      <c r="J280" s="1549"/>
      <c r="K280" s="1549"/>
      <c r="L280" s="1549"/>
      <c r="M280" s="1549"/>
      <c r="N280" s="1549"/>
      <c r="O280" s="1549"/>
      <c r="P280" s="1549"/>
      <c r="Q280" s="1549"/>
      <c r="R280" s="1549"/>
      <c r="S280" s="1549"/>
      <c r="T280" s="1549"/>
      <c r="U280" s="1549"/>
      <c r="V280" s="1549"/>
      <c r="W280" s="1549"/>
      <c r="X280" s="1549"/>
      <c r="Y280" s="1549"/>
      <c r="Z280" s="1549"/>
      <c r="AA280" s="1549"/>
      <c r="AB280" s="1549"/>
      <c r="AC280" s="1549"/>
      <c r="AD280" s="1549"/>
      <c r="AE280" s="1549"/>
      <c r="AF280" s="1549"/>
      <c r="AG280" s="1549"/>
      <c r="AH280" s="1549"/>
    </row>
    <row r="281" spans="1:34" ht="12.75" customHeight="1" x14ac:dyDescent="0.2">
      <c r="A281" s="1549"/>
      <c r="B281" s="1549"/>
      <c r="C281" s="1549"/>
      <c r="D281" s="1549"/>
      <c r="E281" s="1549"/>
      <c r="F281" s="1549"/>
      <c r="G281" s="1549"/>
      <c r="H281" s="1549"/>
      <c r="I281" s="1549"/>
      <c r="J281" s="1549"/>
      <c r="K281" s="1549"/>
      <c r="L281" s="1549"/>
      <c r="M281" s="1549"/>
      <c r="N281" s="1549"/>
      <c r="O281" s="1549"/>
      <c r="P281" s="1549"/>
      <c r="Q281" s="1549"/>
      <c r="R281" s="1549"/>
      <c r="S281" s="1549"/>
      <c r="T281" s="1549"/>
      <c r="U281" s="1549"/>
      <c r="V281" s="1549"/>
      <c r="W281" s="1549"/>
      <c r="X281" s="1549"/>
      <c r="Y281" s="1549"/>
      <c r="Z281" s="1549"/>
      <c r="AA281" s="1549"/>
      <c r="AB281" s="1549"/>
      <c r="AC281" s="1549"/>
      <c r="AD281" s="1549"/>
      <c r="AE281" s="1549"/>
      <c r="AF281" s="1549"/>
      <c r="AG281" s="1549"/>
      <c r="AH281" s="1549"/>
    </row>
    <row r="282" spans="1:34" ht="12.75" customHeight="1" x14ac:dyDescent="0.2">
      <c r="A282" s="1549"/>
      <c r="B282" s="1549"/>
      <c r="C282" s="1549"/>
      <c r="D282" s="1549"/>
      <c r="E282" s="1549"/>
      <c r="F282" s="1549"/>
      <c r="G282" s="1549"/>
      <c r="H282" s="1549"/>
      <c r="I282" s="1549"/>
      <c r="J282" s="1549"/>
      <c r="K282" s="1549"/>
      <c r="L282" s="1549"/>
      <c r="M282" s="1549"/>
      <c r="N282" s="1549"/>
      <c r="O282" s="1549"/>
      <c r="P282" s="1549"/>
      <c r="Q282" s="1549"/>
      <c r="R282" s="1549"/>
      <c r="S282" s="1549"/>
      <c r="T282" s="1549"/>
      <c r="U282" s="1549"/>
      <c r="V282" s="1549"/>
      <c r="W282" s="1549"/>
      <c r="X282" s="1549"/>
      <c r="Y282" s="1549"/>
      <c r="Z282" s="1549"/>
      <c r="AA282" s="1549"/>
      <c r="AB282" s="1549"/>
      <c r="AC282" s="1549"/>
      <c r="AD282" s="1549"/>
      <c r="AE282" s="1549"/>
      <c r="AF282" s="1549"/>
      <c r="AG282" s="1549"/>
      <c r="AH282" s="1549"/>
    </row>
    <row r="283" spans="1:34" ht="12.75" customHeight="1" x14ac:dyDescent="0.2">
      <c r="A283" s="1549"/>
      <c r="B283" s="1549"/>
      <c r="C283" s="1549"/>
      <c r="D283" s="1549"/>
      <c r="E283" s="1549"/>
      <c r="F283" s="1549"/>
      <c r="G283" s="1549"/>
      <c r="H283" s="1549"/>
      <c r="I283" s="1549"/>
      <c r="J283" s="1549"/>
      <c r="K283" s="1549"/>
      <c r="L283" s="1549"/>
      <c r="M283" s="1549"/>
      <c r="N283" s="1549"/>
      <c r="O283" s="1549"/>
      <c r="P283" s="1549"/>
      <c r="Q283" s="1549"/>
      <c r="R283" s="1549"/>
      <c r="S283" s="1549"/>
      <c r="T283" s="1549"/>
      <c r="U283" s="1549"/>
      <c r="V283" s="1549"/>
      <c r="W283" s="1549"/>
      <c r="X283" s="1549"/>
      <c r="Y283" s="1549"/>
      <c r="Z283" s="1549"/>
      <c r="AA283" s="1549"/>
      <c r="AB283" s="1549"/>
      <c r="AC283" s="1549"/>
      <c r="AD283" s="1549"/>
      <c r="AE283" s="1549"/>
      <c r="AF283" s="1549"/>
      <c r="AG283" s="1549"/>
      <c r="AH283" s="1549"/>
    </row>
    <row r="284" spans="1:34" ht="12.75" customHeight="1" x14ac:dyDescent="0.2">
      <c r="A284" s="1549"/>
      <c r="B284" s="1549"/>
      <c r="C284" s="1549"/>
      <c r="D284" s="1549"/>
      <c r="E284" s="1549"/>
      <c r="F284" s="1549"/>
      <c r="G284" s="1549"/>
      <c r="H284" s="1549"/>
      <c r="I284" s="1549"/>
      <c r="J284" s="1549"/>
      <c r="K284" s="1549"/>
      <c r="L284" s="1549"/>
      <c r="M284" s="1549"/>
      <c r="N284" s="1549"/>
      <c r="O284" s="1549"/>
      <c r="P284" s="1549"/>
      <c r="Q284" s="1549"/>
      <c r="R284" s="1549"/>
      <c r="S284" s="1549"/>
      <c r="T284" s="1549"/>
      <c r="U284" s="1549"/>
      <c r="V284" s="1549"/>
      <c r="W284" s="1549"/>
      <c r="X284" s="1549"/>
      <c r="Y284" s="1549"/>
      <c r="Z284" s="1549"/>
      <c r="AA284" s="1549"/>
      <c r="AB284" s="1549"/>
      <c r="AC284" s="1549"/>
      <c r="AD284" s="1549"/>
      <c r="AE284" s="1549"/>
      <c r="AF284" s="1549"/>
      <c r="AG284" s="1549"/>
      <c r="AH284" s="1549"/>
    </row>
    <row r="285" spans="1:34" ht="12.75" customHeight="1" x14ac:dyDescent="0.2">
      <c r="A285" s="1549"/>
      <c r="B285" s="1549"/>
      <c r="C285" s="1549"/>
      <c r="D285" s="1549"/>
      <c r="E285" s="1549"/>
      <c r="F285" s="1549"/>
      <c r="G285" s="1549"/>
      <c r="H285" s="1549"/>
      <c r="I285" s="1549"/>
      <c r="J285" s="1549"/>
      <c r="K285" s="1549"/>
      <c r="L285" s="1549"/>
      <c r="M285" s="1549"/>
      <c r="N285" s="1549"/>
      <c r="O285" s="1549"/>
      <c r="P285" s="1549"/>
      <c r="Q285" s="1549"/>
      <c r="R285" s="1549"/>
      <c r="S285" s="1549"/>
      <c r="T285" s="1549"/>
      <c r="U285" s="1549"/>
      <c r="V285" s="1549"/>
      <c r="W285" s="1549"/>
      <c r="X285" s="1549"/>
      <c r="Y285" s="1549"/>
      <c r="Z285" s="1549"/>
      <c r="AA285" s="1549"/>
      <c r="AB285" s="1549"/>
      <c r="AC285" s="1549"/>
      <c r="AD285" s="1549"/>
      <c r="AE285" s="1549"/>
      <c r="AF285" s="1549"/>
      <c r="AG285" s="1549"/>
      <c r="AH285" s="1549"/>
    </row>
    <row r="286" spans="1:34" ht="12.75" customHeight="1" x14ac:dyDescent="0.2">
      <c r="A286" s="1549"/>
      <c r="B286" s="1549"/>
      <c r="C286" s="1549"/>
      <c r="D286" s="1549"/>
      <c r="E286" s="1549"/>
      <c r="F286" s="1549"/>
      <c r="G286" s="1549"/>
      <c r="H286" s="1549"/>
      <c r="I286" s="1549"/>
      <c r="J286" s="1549"/>
      <c r="K286" s="1549"/>
      <c r="L286" s="1549"/>
      <c r="M286" s="1549"/>
      <c r="N286" s="1549"/>
      <c r="O286" s="1549"/>
      <c r="P286" s="1549"/>
      <c r="Q286" s="1549"/>
      <c r="R286" s="1549"/>
      <c r="S286" s="1549"/>
      <c r="T286" s="1549"/>
      <c r="U286" s="1549"/>
      <c r="V286" s="1549"/>
      <c r="W286" s="1549"/>
      <c r="X286" s="1549"/>
      <c r="Y286" s="1549"/>
      <c r="Z286" s="1549"/>
      <c r="AA286" s="1549"/>
      <c r="AB286" s="1549"/>
      <c r="AC286" s="1549"/>
      <c r="AD286" s="1549"/>
      <c r="AE286" s="1549"/>
      <c r="AF286" s="1549"/>
      <c r="AG286" s="1549"/>
      <c r="AH286" s="1549"/>
    </row>
    <row r="287" spans="1:34" ht="12.75" customHeight="1" x14ac:dyDescent="0.2">
      <c r="A287" s="1549"/>
      <c r="B287" s="1549"/>
      <c r="C287" s="1549"/>
      <c r="D287" s="1549"/>
      <c r="E287" s="1549"/>
      <c r="F287" s="1549"/>
      <c r="G287" s="1549"/>
      <c r="H287" s="1549"/>
      <c r="I287" s="1549"/>
      <c r="J287" s="1549"/>
      <c r="K287" s="1549"/>
      <c r="L287" s="1549"/>
      <c r="M287" s="1549"/>
      <c r="N287" s="1549"/>
      <c r="O287" s="1549"/>
      <c r="P287" s="1549"/>
      <c r="Q287" s="1549"/>
      <c r="R287" s="1549"/>
      <c r="S287" s="1549"/>
      <c r="T287" s="1549"/>
      <c r="U287" s="1549"/>
      <c r="V287" s="1549"/>
      <c r="W287" s="1549"/>
      <c r="X287" s="1549"/>
      <c r="Y287" s="1549"/>
      <c r="Z287" s="1549"/>
      <c r="AA287" s="1549"/>
      <c r="AB287" s="1549"/>
      <c r="AC287" s="1549"/>
      <c r="AD287" s="1549"/>
      <c r="AE287" s="1549"/>
      <c r="AF287" s="1549"/>
      <c r="AG287" s="1549"/>
      <c r="AH287" s="1549"/>
    </row>
    <row r="288" spans="1:34" ht="12.75" customHeight="1" x14ac:dyDescent="0.2">
      <c r="A288" s="1549"/>
      <c r="B288" s="1549"/>
      <c r="C288" s="1549"/>
      <c r="D288" s="1549"/>
      <c r="E288" s="1549"/>
      <c r="F288" s="1549"/>
      <c r="G288" s="1549"/>
      <c r="H288" s="1549"/>
      <c r="I288" s="1549"/>
      <c r="J288" s="1549"/>
      <c r="K288" s="1549"/>
      <c r="L288" s="1549"/>
      <c r="M288" s="1549"/>
      <c r="N288" s="1549"/>
      <c r="O288" s="1549"/>
      <c r="P288" s="1549"/>
      <c r="Q288" s="1549"/>
      <c r="R288" s="1549"/>
      <c r="S288" s="1549"/>
      <c r="T288" s="1549"/>
      <c r="U288" s="1549"/>
      <c r="V288" s="1549"/>
      <c r="W288" s="1549"/>
      <c r="X288" s="1549"/>
      <c r="Y288" s="1549"/>
      <c r="Z288" s="1549"/>
      <c r="AA288" s="1549"/>
      <c r="AB288" s="1549"/>
      <c r="AC288" s="1549"/>
      <c r="AD288" s="1549"/>
      <c r="AE288" s="1549"/>
      <c r="AF288" s="1549"/>
      <c r="AG288" s="1549"/>
      <c r="AH288" s="1549"/>
    </row>
    <row r="289" spans="1:34" ht="12.75" customHeight="1" x14ac:dyDescent="0.2">
      <c r="A289" s="1549"/>
      <c r="B289" s="1549"/>
      <c r="C289" s="1549"/>
      <c r="D289" s="1549"/>
      <c r="E289" s="1549"/>
      <c r="F289" s="1549"/>
      <c r="G289" s="1549"/>
      <c r="H289" s="1549"/>
      <c r="I289" s="1549"/>
      <c r="J289" s="1549"/>
      <c r="K289" s="1549"/>
      <c r="L289" s="1549"/>
      <c r="M289" s="1549"/>
      <c r="N289" s="1549"/>
      <c r="O289" s="1549"/>
      <c r="P289" s="1549"/>
      <c r="Q289" s="1549"/>
      <c r="R289" s="1549"/>
      <c r="S289" s="1549"/>
      <c r="T289" s="1549"/>
      <c r="U289" s="1549"/>
      <c r="V289" s="1549"/>
      <c r="W289" s="1549"/>
      <c r="X289" s="1549"/>
      <c r="Y289" s="1549"/>
      <c r="Z289" s="1549"/>
      <c r="AA289" s="1549"/>
      <c r="AB289" s="1549"/>
      <c r="AC289" s="1549"/>
      <c r="AD289" s="1549"/>
      <c r="AE289" s="1549"/>
      <c r="AF289" s="1549"/>
      <c r="AG289" s="1549"/>
      <c r="AH289" s="1549"/>
    </row>
    <row r="290" spans="1:34" ht="12.75" customHeight="1" x14ac:dyDescent="0.2">
      <c r="A290" s="1549"/>
      <c r="B290" s="1549"/>
      <c r="C290" s="1549"/>
      <c r="D290" s="1549"/>
      <c r="E290" s="1549"/>
      <c r="F290" s="1549"/>
      <c r="G290" s="1549"/>
      <c r="H290" s="1549"/>
      <c r="I290" s="1549"/>
      <c r="J290" s="1549"/>
      <c r="K290" s="1549"/>
      <c r="L290" s="1549"/>
      <c r="M290" s="1549"/>
      <c r="N290" s="1549"/>
      <c r="O290" s="1549"/>
      <c r="P290" s="1549"/>
      <c r="Q290" s="1549"/>
      <c r="R290" s="1549"/>
      <c r="S290" s="1549"/>
      <c r="T290" s="1549"/>
      <c r="U290" s="1549"/>
      <c r="V290" s="1549"/>
      <c r="W290" s="1549"/>
      <c r="X290" s="1549"/>
      <c r="Y290" s="1549"/>
      <c r="Z290" s="1549"/>
      <c r="AA290" s="1549"/>
      <c r="AB290" s="1549"/>
      <c r="AC290" s="1549"/>
      <c r="AD290" s="1549"/>
      <c r="AE290" s="1549"/>
      <c r="AF290" s="1549"/>
      <c r="AG290" s="1549"/>
      <c r="AH290" s="1549"/>
    </row>
    <row r="291" spans="1:34" ht="12.75" customHeight="1" x14ac:dyDescent="0.2">
      <c r="A291" s="1549"/>
      <c r="B291" s="1549"/>
      <c r="C291" s="1549"/>
      <c r="D291" s="1549"/>
      <c r="E291" s="1549"/>
      <c r="F291" s="1549"/>
      <c r="G291" s="1549"/>
      <c r="H291" s="1549"/>
      <c r="I291" s="1549"/>
      <c r="J291" s="1549"/>
      <c r="K291" s="1549"/>
      <c r="L291" s="1549"/>
      <c r="M291" s="1549"/>
      <c r="N291" s="1549"/>
      <c r="O291" s="1549"/>
      <c r="P291" s="1549"/>
      <c r="Q291" s="1549"/>
      <c r="R291" s="1549"/>
      <c r="S291" s="1549"/>
      <c r="T291" s="1549"/>
      <c r="U291" s="1549"/>
      <c r="V291" s="1549"/>
      <c r="W291" s="1549"/>
      <c r="X291" s="1549"/>
      <c r="Y291" s="1549"/>
      <c r="Z291" s="1549"/>
      <c r="AA291" s="1549"/>
      <c r="AB291" s="1549"/>
      <c r="AC291" s="1549"/>
      <c r="AD291" s="1549"/>
      <c r="AE291" s="1549"/>
      <c r="AF291" s="1549"/>
      <c r="AG291" s="1549"/>
      <c r="AH291" s="1549"/>
    </row>
    <row r="292" spans="1:34" ht="12.75" customHeight="1" x14ac:dyDescent="0.2">
      <c r="A292" s="1549"/>
      <c r="B292" s="1549"/>
      <c r="C292" s="1549"/>
      <c r="D292" s="1549"/>
      <c r="E292" s="1549"/>
      <c r="F292" s="1549"/>
      <c r="G292" s="1549"/>
      <c r="H292" s="1549"/>
      <c r="I292" s="1549"/>
      <c r="J292" s="1549"/>
      <c r="K292" s="1549"/>
      <c r="L292" s="1549"/>
      <c r="M292" s="1549"/>
      <c r="N292" s="1549"/>
      <c r="O292" s="1549"/>
      <c r="P292" s="1549"/>
      <c r="Q292" s="1549"/>
      <c r="R292" s="1549"/>
      <c r="S292" s="1549"/>
      <c r="T292" s="1549"/>
      <c r="U292" s="1549"/>
      <c r="V292" s="1549"/>
      <c r="W292" s="1549"/>
      <c r="X292" s="1549"/>
      <c r="Y292" s="1549"/>
      <c r="Z292" s="1549"/>
      <c r="AA292" s="1549"/>
      <c r="AB292" s="1549"/>
      <c r="AC292" s="1549"/>
      <c r="AD292" s="1549"/>
      <c r="AE292" s="1549"/>
      <c r="AF292" s="1549"/>
      <c r="AG292" s="1549"/>
      <c r="AH292" s="1549"/>
    </row>
    <row r="293" spans="1:34" ht="12.75" customHeight="1" x14ac:dyDescent="0.2">
      <c r="A293" s="1549"/>
      <c r="B293" s="1549"/>
      <c r="C293" s="1549"/>
      <c r="D293" s="1549"/>
      <c r="E293" s="1549"/>
      <c r="F293" s="1549"/>
      <c r="G293" s="1549"/>
      <c r="H293" s="1549"/>
      <c r="I293" s="1549"/>
      <c r="J293" s="1549"/>
      <c r="K293" s="1549"/>
      <c r="L293" s="1549"/>
      <c r="M293" s="1549"/>
      <c r="N293" s="1549"/>
      <c r="O293" s="1549"/>
      <c r="P293" s="1549"/>
      <c r="Q293" s="1549"/>
      <c r="R293" s="1549"/>
      <c r="S293" s="1549"/>
      <c r="T293" s="1549"/>
      <c r="U293" s="1549"/>
      <c r="V293" s="1549"/>
      <c r="W293" s="1549"/>
      <c r="X293" s="1549"/>
      <c r="Y293" s="1549"/>
      <c r="Z293" s="1549"/>
      <c r="AA293" s="1549"/>
      <c r="AB293" s="1549"/>
      <c r="AC293" s="1549"/>
      <c r="AD293" s="1549"/>
      <c r="AE293" s="1549"/>
      <c r="AF293" s="1549"/>
      <c r="AG293" s="1549"/>
      <c r="AH293" s="1549"/>
    </row>
    <row r="294" spans="1:34" ht="12.75" customHeight="1" x14ac:dyDescent="0.2">
      <c r="A294" s="1549"/>
      <c r="B294" s="1549"/>
      <c r="C294" s="1549"/>
      <c r="D294" s="1549"/>
      <c r="E294" s="1549"/>
      <c r="F294" s="1549"/>
      <c r="G294" s="1549"/>
      <c r="H294" s="1549"/>
      <c r="I294" s="1549"/>
      <c r="J294" s="1549"/>
      <c r="K294" s="1549"/>
      <c r="L294" s="1549"/>
      <c r="M294" s="1549"/>
      <c r="N294" s="1549"/>
      <c r="O294" s="1549"/>
      <c r="P294" s="1549"/>
      <c r="Q294" s="1549"/>
      <c r="R294" s="1549"/>
      <c r="S294" s="1549"/>
      <c r="T294" s="1549"/>
      <c r="U294" s="1549"/>
      <c r="V294" s="1549"/>
      <c r="W294" s="1549"/>
      <c r="X294" s="1549"/>
      <c r="Y294" s="1549"/>
      <c r="Z294" s="1549"/>
      <c r="AA294" s="1549"/>
      <c r="AB294" s="1549"/>
      <c r="AC294" s="1549"/>
      <c r="AD294" s="1549"/>
      <c r="AE294" s="1549"/>
      <c r="AF294" s="1549"/>
      <c r="AG294" s="1549"/>
      <c r="AH294" s="1549"/>
    </row>
    <row r="295" spans="1:34" ht="12.75" customHeight="1" x14ac:dyDescent="0.2">
      <c r="A295" s="1549"/>
      <c r="B295" s="1549"/>
      <c r="C295" s="1549"/>
      <c r="D295" s="1549"/>
      <c r="E295" s="1549"/>
      <c r="F295" s="1549"/>
      <c r="G295" s="1549"/>
      <c r="H295" s="1549"/>
      <c r="I295" s="1549"/>
      <c r="J295" s="1549"/>
      <c r="K295" s="1549"/>
      <c r="L295" s="1549"/>
      <c r="M295" s="1549"/>
      <c r="N295" s="1549"/>
      <c r="O295" s="1549"/>
      <c r="P295" s="1549"/>
      <c r="Q295" s="1549"/>
      <c r="R295" s="1549"/>
      <c r="S295" s="1549"/>
      <c r="T295" s="1549"/>
      <c r="U295" s="1549"/>
      <c r="V295" s="1549"/>
      <c r="W295" s="1549"/>
      <c r="X295" s="1549"/>
      <c r="Y295" s="1549"/>
      <c r="Z295" s="1549"/>
      <c r="AA295" s="1549"/>
      <c r="AB295" s="1549"/>
      <c r="AC295" s="1549"/>
      <c r="AD295" s="1549"/>
      <c r="AE295" s="1549"/>
      <c r="AF295" s="1549"/>
      <c r="AG295" s="1549"/>
      <c r="AH295" s="1549"/>
    </row>
    <row r="296" spans="1:34" ht="12.75" customHeight="1" x14ac:dyDescent="0.2">
      <c r="A296" s="1549"/>
      <c r="B296" s="1549"/>
      <c r="C296" s="1549"/>
      <c r="D296" s="1549"/>
      <c r="E296" s="1549"/>
      <c r="F296" s="1549"/>
      <c r="G296" s="1549"/>
      <c r="H296" s="1549"/>
      <c r="I296" s="1549"/>
      <c r="J296" s="1549"/>
      <c r="K296" s="1549"/>
      <c r="L296" s="1549"/>
      <c r="M296" s="1549"/>
      <c r="N296" s="1549"/>
      <c r="O296" s="1549"/>
      <c r="P296" s="1549"/>
      <c r="Q296" s="1549"/>
      <c r="R296" s="1549"/>
      <c r="S296" s="1549"/>
      <c r="T296" s="1549"/>
      <c r="U296" s="1549"/>
      <c r="V296" s="1549"/>
      <c r="W296" s="1549"/>
      <c r="X296" s="1549"/>
      <c r="Y296" s="1549"/>
      <c r="Z296" s="1549"/>
      <c r="AA296" s="1549"/>
      <c r="AB296" s="1549"/>
      <c r="AC296" s="1549"/>
      <c r="AD296" s="1549"/>
      <c r="AE296" s="1549"/>
      <c r="AF296" s="1549"/>
      <c r="AG296" s="1549"/>
      <c r="AH296" s="1549"/>
    </row>
    <row r="297" spans="1:34" ht="12.75" customHeight="1" x14ac:dyDescent="0.2">
      <c r="A297" s="1549"/>
      <c r="B297" s="1549"/>
      <c r="C297" s="1549"/>
      <c r="D297" s="1549"/>
      <c r="E297" s="1549"/>
      <c r="F297" s="1549"/>
      <c r="G297" s="1549"/>
      <c r="H297" s="1549"/>
      <c r="I297" s="1549"/>
      <c r="J297" s="1549"/>
      <c r="K297" s="1549"/>
      <c r="L297" s="1549"/>
      <c r="M297" s="1549"/>
      <c r="N297" s="1549"/>
      <c r="O297" s="1549"/>
      <c r="P297" s="1549"/>
      <c r="Q297" s="1549"/>
      <c r="R297" s="1549"/>
      <c r="S297" s="1549"/>
      <c r="T297" s="1549"/>
      <c r="U297" s="1549"/>
      <c r="V297" s="1549"/>
      <c r="W297" s="1549"/>
      <c r="X297" s="1549"/>
      <c r="Y297" s="1549"/>
      <c r="Z297" s="1549"/>
      <c r="AA297" s="1549"/>
      <c r="AB297" s="1549"/>
      <c r="AC297" s="1549"/>
      <c r="AD297" s="1549"/>
      <c r="AE297" s="1549"/>
      <c r="AF297" s="1549"/>
      <c r="AG297" s="1549"/>
      <c r="AH297" s="1549"/>
    </row>
    <row r="298" spans="1:34" ht="12.75" customHeight="1" x14ac:dyDescent="0.2">
      <c r="A298" s="1549"/>
      <c r="B298" s="1549"/>
      <c r="C298" s="1549"/>
      <c r="D298" s="1549"/>
      <c r="E298" s="1549"/>
      <c r="F298" s="1549"/>
      <c r="G298" s="1549"/>
      <c r="H298" s="1549"/>
      <c r="I298" s="1549"/>
      <c r="J298" s="1549"/>
      <c r="K298" s="1549"/>
      <c r="L298" s="1549"/>
      <c r="M298" s="1549"/>
      <c r="N298" s="1549"/>
      <c r="O298" s="1549"/>
      <c r="P298" s="1549"/>
      <c r="Q298" s="1549"/>
      <c r="R298" s="1549"/>
      <c r="S298" s="1549"/>
      <c r="T298" s="1549"/>
      <c r="U298" s="1549"/>
      <c r="V298" s="1549"/>
      <c r="W298" s="1549"/>
      <c r="X298" s="1549"/>
      <c r="Y298" s="1549"/>
      <c r="Z298" s="1549"/>
      <c r="AA298" s="1549"/>
      <c r="AB298" s="1549"/>
      <c r="AC298" s="1549"/>
      <c r="AD298" s="1549"/>
      <c r="AE298" s="1549"/>
      <c r="AF298" s="1549"/>
      <c r="AG298" s="1549"/>
      <c r="AH298" s="1549"/>
    </row>
    <row r="299" spans="1:34" ht="12.75" customHeight="1" x14ac:dyDescent="0.2">
      <c r="A299" s="1549"/>
      <c r="B299" s="1549"/>
      <c r="C299" s="1549"/>
      <c r="D299" s="1549"/>
      <c r="E299" s="1549"/>
      <c r="F299" s="1549"/>
      <c r="G299" s="1549"/>
      <c r="H299" s="1549"/>
      <c r="I299" s="1549"/>
      <c r="J299" s="1549"/>
      <c r="K299" s="1549"/>
      <c r="L299" s="1549"/>
      <c r="M299" s="1549"/>
      <c r="N299" s="1549"/>
      <c r="O299" s="1549"/>
      <c r="P299" s="1549"/>
      <c r="Q299" s="1549"/>
      <c r="R299" s="1549"/>
      <c r="S299" s="1549"/>
      <c r="T299" s="1549"/>
      <c r="U299" s="1549"/>
      <c r="V299" s="1549"/>
      <c r="W299" s="1549"/>
      <c r="X299" s="1549"/>
      <c r="Y299" s="1549"/>
      <c r="Z299" s="1549"/>
      <c r="AA299" s="1549"/>
      <c r="AB299" s="1549"/>
      <c r="AC299" s="1549"/>
      <c r="AD299" s="1549"/>
      <c r="AE299" s="1549"/>
      <c r="AF299" s="1549"/>
      <c r="AG299" s="1549"/>
      <c r="AH299" s="1549"/>
    </row>
    <row r="300" spans="1:34" ht="12.75" customHeight="1" x14ac:dyDescent="0.2">
      <c r="A300" s="1549"/>
      <c r="B300" s="1549"/>
      <c r="C300" s="1549"/>
      <c r="D300" s="1549"/>
      <c r="E300" s="1549"/>
      <c r="F300" s="1549"/>
      <c r="G300" s="1549"/>
      <c r="H300" s="1549"/>
      <c r="I300" s="1549"/>
      <c r="J300" s="1549"/>
      <c r="K300" s="1549"/>
      <c r="L300" s="1549"/>
      <c r="M300" s="1549"/>
      <c r="N300" s="1549"/>
      <c r="O300" s="1549"/>
      <c r="P300" s="1549"/>
      <c r="Q300" s="1549"/>
      <c r="R300" s="1549"/>
      <c r="S300" s="1549"/>
      <c r="T300" s="1549"/>
      <c r="U300" s="1549"/>
      <c r="V300" s="1549"/>
      <c r="W300" s="1549"/>
      <c r="X300" s="1549"/>
      <c r="Y300" s="1549"/>
      <c r="Z300" s="1549"/>
      <c r="AA300" s="1549"/>
      <c r="AB300" s="1549"/>
      <c r="AC300" s="1549"/>
      <c r="AD300" s="1549"/>
      <c r="AE300" s="1549"/>
      <c r="AF300" s="1549"/>
      <c r="AG300" s="1549"/>
      <c r="AH300" s="1549"/>
    </row>
    <row r="301" spans="1:34" ht="12.75" customHeight="1" x14ac:dyDescent="0.2">
      <c r="A301" s="1549"/>
      <c r="B301" s="1549"/>
      <c r="C301" s="1549"/>
      <c r="D301" s="1549"/>
      <c r="E301" s="1549"/>
      <c r="F301" s="1549"/>
      <c r="G301" s="1549"/>
      <c r="H301" s="1549"/>
      <c r="I301" s="1549"/>
      <c r="J301" s="1549"/>
      <c r="K301" s="1549"/>
      <c r="L301" s="1549"/>
      <c r="M301" s="1549"/>
      <c r="N301" s="1549"/>
      <c r="O301" s="1549"/>
      <c r="P301" s="1549"/>
      <c r="Q301" s="1549"/>
      <c r="R301" s="1549"/>
      <c r="S301" s="1549"/>
      <c r="T301" s="1549"/>
      <c r="U301" s="1549"/>
      <c r="V301" s="1549"/>
      <c r="W301" s="1549"/>
      <c r="X301" s="1549"/>
      <c r="Y301" s="1549"/>
      <c r="Z301" s="1549"/>
      <c r="AA301" s="1549"/>
      <c r="AB301" s="1549"/>
      <c r="AC301" s="1549"/>
      <c r="AD301" s="1549"/>
      <c r="AE301" s="1549"/>
      <c r="AF301" s="1549"/>
      <c r="AG301" s="1549"/>
      <c r="AH301" s="1549"/>
    </row>
    <row r="302" spans="1:34" ht="12.75" customHeight="1" x14ac:dyDescent="0.2">
      <c r="A302" s="1549"/>
      <c r="B302" s="1549"/>
      <c r="C302" s="1549"/>
      <c r="D302" s="1549"/>
      <c r="E302" s="1549"/>
      <c r="F302" s="1549"/>
      <c r="G302" s="1549"/>
      <c r="H302" s="1549"/>
      <c r="I302" s="1549"/>
      <c r="J302" s="1549"/>
      <c r="K302" s="1549"/>
      <c r="L302" s="1549"/>
      <c r="M302" s="1549"/>
      <c r="N302" s="1549"/>
      <c r="O302" s="1549"/>
      <c r="P302" s="1549"/>
      <c r="Q302" s="1549"/>
      <c r="R302" s="1549"/>
      <c r="S302" s="1549"/>
      <c r="T302" s="1549"/>
      <c r="U302" s="1549"/>
      <c r="V302" s="1549"/>
      <c r="W302" s="1549"/>
      <c r="X302" s="1549"/>
      <c r="Y302" s="1549"/>
      <c r="Z302" s="1549"/>
      <c r="AA302" s="1549"/>
      <c r="AB302" s="1549"/>
      <c r="AC302" s="1549"/>
      <c r="AD302" s="1549"/>
      <c r="AE302" s="1549"/>
      <c r="AF302" s="1549"/>
      <c r="AG302" s="1549"/>
      <c r="AH302" s="1549"/>
    </row>
    <row r="303" spans="1:34" ht="12.75" customHeight="1" x14ac:dyDescent="0.2">
      <c r="A303" s="1549"/>
      <c r="B303" s="1549"/>
      <c r="C303" s="1549"/>
      <c r="D303" s="1549"/>
      <c r="E303" s="1549"/>
      <c r="F303" s="1549"/>
      <c r="G303" s="1549"/>
      <c r="H303" s="1549"/>
      <c r="I303" s="1549"/>
      <c r="J303" s="1549"/>
      <c r="K303" s="1549"/>
      <c r="L303" s="1549"/>
      <c r="M303" s="1549"/>
      <c r="N303" s="1549"/>
      <c r="O303" s="1549"/>
      <c r="P303" s="1549"/>
      <c r="Q303" s="1549"/>
      <c r="R303" s="1549"/>
      <c r="S303" s="1549"/>
      <c r="T303" s="1549"/>
      <c r="U303" s="1549"/>
      <c r="V303" s="1549"/>
      <c r="W303" s="1549"/>
      <c r="X303" s="1549"/>
      <c r="Y303" s="1549"/>
      <c r="Z303" s="1549"/>
      <c r="AA303" s="1549"/>
      <c r="AB303" s="1549"/>
      <c r="AC303" s="1549"/>
      <c r="AD303" s="1549"/>
      <c r="AE303" s="1549"/>
      <c r="AF303" s="1549"/>
      <c r="AG303" s="1549"/>
      <c r="AH303" s="1549"/>
    </row>
    <row r="304" spans="1:34" ht="12.75" customHeight="1" x14ac:dyDescent="0.2">
      <c r="A304" s="1549"/>
      <c r="B304" s="1549"/>
      <c r="C304" s="1549"/>
      <c r="D304" s="1549"/>
      <c r="E304" s="1549"/>
      <c r="F304" s="1549"/>
      <c r="G304" s="1549"/>
      <c r="H304" s="1549"/>
      <c r="I304" s="1549"/>
      <c r="J304" s="1549"/>
      <c r="K304" s="1549"/>
      <c r="L304" s="1549"/>
      <c r="M304" s="1549"/>
      <c r="N304" s="1549"/>
      <c r="O304" s="1549"/>
      <c r="P304" s="1549"/>
      <c r="Q304" s="1549"/>
      <c r="R304" s="1549"/>
      <c r="S304" s="1549"/>
      <c r="T304" s="1549"/>
      <c r="U304" s="1549"/>
      <c r="V304" s="1549"/>
      <c r="W304" s="1549"/>
      <c r="X304" s="1549"/>
      <c r="Y304" s="1549"/>
      <c r="Z304" s="1549"/>
      <c r="AA304" s="1549"/>
      <c r="AB304" s="1549"/>
      <c r="AC304" s="1549"/>
      <c r="AD304" s="1549"/>
      <c r="AE304" s="1549"/>
      <c r="AF304" s="1549"/>
      <c r="AG304" s="1549"/>
      <c r="AH304" s="1549"/>
    </row>
    <row r="305" spans="1:34" ht="12.75" customHeight="1" x14ac:dyDescent="0.2">
      <c r="A305" s="1549"/>
      <c r="B305" s="1549"/>
      <c r="C305" s="1549"/>
      <c r="D305" s="1549"/>
      <c r="E305" s="1549"/>
      <c r="F305" s="1549"/>
      <c r="G305" s="1549"/>
      <c r="H305" s="1549"/>
      <c r="I305" s="1549"/>
      <c r="J305" s="1549"/>
      <c r="K305" s="1549"/>
      <c r="L305" s="1549"/>
      <c r="M305" s="1549"/>
      <c r="N305" s="1549"/>
      <c r="O305" s="1549"/>
      <c r="P305" s="1549"/>
      <c r="Q305" s="1549"/>
      <c r="R305" s="1549"/>
      <c r="S305" s="1549"/>
      <c r="T305" s="1549"/>
      <c r="U305" s="1549"/>
      <c r="V305" s="1549"/>
      <c r="W305" s="1549"/>
      <c r="X305" s="1549"/>
      <c r="Y305" s="1549"/>
      <c r="Z305" s="1549"/>
      <c r="AA305" s="1549"/>
      <c r="AB305" s="1549"/>
      <c r="AC305" s="1549"/>
      <c r="AD305" s="1549"/>
      <c r="AE305" s="1549"/>
      <c r="AF305" s="1549"/>
      <c r="AG305" s="1549"/>
      <c r="AH305" s="1549"/>
    </row>
    <row r="306" spans="1:34" ht="12.75" customHeight="1" x14ac:dyDescent="0.2">
      <c r="A306" s="1549"/>
      <c r="B306" s="1549"/>
      <c r="C306" s="1549"/>
      <c r="D306" s="1549"/>
      <c r="E306" s="1549"/>
      <c r="F306" s="1549"/>
      <c r="G306" s="1549"/>
      <c r="H306" s="1549"/>
      <c r="I306" s="1549"/>
      <c r="J306" s="1549"/>
      <c r="K306" s="1549"/>
      <c r="L306" s="1549"/>
      <c r="M306" s="1549"/>
      <c r="N306" s="1549"/>
      <c r="O306" s="1549"/>
      <c r="P306" s="1549"/>
      <c r="Q306" s="1549"/>
      <c r="R306" s="1549"/>
      <c r="S306" s="1549"/>
      <c r="T306" s="1549"/>
      <c r="U306" s="1549"/>
      <c r="V306" s="1549"/>
      <c r="W306" s="1549"/>
      <c r="X306" s="1549"/>
      <c r="Y306" s="1549"/>
      <c r="Z306" s="1549"/>
      <c r="AA306" s="1549"/>
      <c r="AB306" s="1549"/>
      <c r="AC306" s="1549"/>
      <c r="AD306" s="1549"/>
      <c r="AE306" s="1549"/>
      <c r="AF306" s="1549"/>
      <c r="AG306" s="1549"/>
      <c r="AH306" s="1549"/>
    </row>
    <row r="307" spans="1:34" ht="12.75" customHeight="1" x14ac:dyDescent="0.2">
      <c r="A307" s="1549"/>
      <c r="B307" s="1549"/>
      <c r="C307" s="1549"/>
      <c r="D307" s="1549"/>
      <c r="E307" s="1549"/>
      <c r="F307" s="1549"/>
      <c r="G307" s="1549"/>
      <c r="H307" s="1549"/>
      <c r="I307" s="1549"/>
      <c r="J307" s="1549"/>
      <c r="K307" s="1549"/>
      <c r="L307" s="1549"/>
      <c r="M307" s="1549"/>
      <c r="N307" s="1549"/>
      <c r="O307" s="1549"/>
      <c r="P307" s="1549"/>
      <c r="Q307" s="1549"/>
      <c r="R307" s="1549"/>
      <c r="S307" s="1549"/>
      <c r="T307" s="1549"/>
      <c r="U307" s="1549"/>
      <c r="V307" s="1549"/>
      <c r="W307" s="1549"/>
      <c r="X307" s="1549"/>
      <c r="Y307" s="1549"/>
      <c r="Z307" s="1549"/>
      <c r="AA307" s="1549"/>
      <c r="AB307" s="1549"/>
      <c r="AC307" s="1549"/>
      <c r="AD307" s="1549"/>
      <c r="AE307" s="1549"/>
      <c r="AF307" s="1549"/>
      <c r="AG307" s="1549"/>
      <c r="AH307" s="1549"/>
    </row>
    <row r="308" spans="1:34" ht="12.75" customHeight="1" x14ac:dyDescent="0.2">
      <c r="A308" s="1549"/>
      <c r="B308" s="1549"/>
      <c r="C308" s="1549"/>
      <c r="D308" s="1549"/>
      <c r="E308" s="1549"/>
      <c r="F308" s="1549"/>
      <c r="G308" s="1549"/>
      <c r="H308" s="1549"/>
      <c r="I308" s="1549"/>
      <c r="J308" s="1549"/>
      <c r="K308" s="1549"/>
      <c r="L308" s="1549"/>
      <c r="M308" s="1549"/>
      <c r="N308" s="1549"/>
      <c r="O308" s="1549"/>
      <c r="P308" s="1549"/>
      <c r="Q308" s="1549"/>
      <c r="R308" s="1549"/>
      <c r="S308" s="1549"/>
      <c r="T308" s="1549"/>
      <c r="U308" s="1549"/>
      <c r="V308" s="1549"/>
      <c r="W308" s="1549"/>
      <c r="X308" s="1549"/>
      <c r="Y308" s="1549"/>
      <c r="Z308" s="1549"/>
      <c r="AA308" s="1549"/>
      <c r="AB308" s="1549"/>
      <c r="AC308" s="1549"/>
      <c r="AD308" s="1549"/>
      <c r="AE308" s="1549"/>
      <c r="AF308" s="1549"/>
      <c r="AG308" s="1549"/>
      <c r="AH308" s="1549"/>
    </row>
    <row r="309" spans="1:34" ht="12.75" customHeight="1" x14ac:dyDescent="0.2">
      <c r="A309" s="1549"/>
      <c r="B309" s="1549"/>
      <c r="C309" s="1549"/>
      <c r="D309" s="1549"/>
      <c r="E309" s="1549"/>
      <c r="F309" s="1549"/>
      <c r="G309" s="1549"/>
      <c r="H309" s="1549"/>
      <c r="I309" s="1549"/>
      <c r="J309" s="1549"/>
      <c r="K309" s="1549"/>
      <c r="L309" s="1549"/>
      <c r="M309" s="1549"/>
      <c r="N309" s="1549"/>
      <c r="O309" s="1549"/>
      <c r="P309" s="1549"/>
      <c r="Q309" s="1549"/>
      <c r="R309" s="1549"/>
      <c r="S309" s="1549"/>
      <c r="T309" s="1549"/>
      <c r="U309" s="1549"/>
      <c r="V309" s="1549"/>
      <c r="W309" s="1549"/>
      <c r="X309" s="1549"/>
      <c r="Y309" s="1549"/>
      <c r="Z309" s="1549"/>
      <c r="AA309" s="1549"/>
      <c r="AB309" s="1549"/>
      <c r="AC309" s="1549"/>
      <c r="AD309" s="1549"/>
      <c r="AE309" s="1549"/>
      <c r="AF309" s="1549"/>
      <c r="AG309" s="1549"/>
      <c r="AH309" s="1549"/>
    </row>
    <row r="310" spans="1:34" ht="12.75" customHeight="1" x14ac:dyDescent="0.2">
      <c r="A310" s="1549"/>
      <c r="B310" s="1549"/>
      <c r="C310" s="1549"/>
      <c r="D310" s="1549"/>
      <c r="E310" s="1549"/>
      <c r="F310" s="1549"/>
      <c r="G310" s="1549"/>
      <c r="H310" s="1549"/>
      <c r="I310" s="1549"/>
      <c r="J310" s="1549"/>
      <c r="K310" s="1549"/>
      <c r="L310" s="1549"/>
      <c r="M310" s="1549"/>
      <c r="N310" s="1549"/>
      <c r="O310" s="1549"/>
      <c r="P310" s="1549"/>
      <c r="Q310" s="1549"/>
      <c r="R310" s="1549"/>
      <c r="S310" s="1549"/>
      <c r="T310" s="1549"/>
      <c r="U310" s="1549"/>
      <c r="V310" s="1549"/>
      <c r="W310" s="1549"/>
      <c r="X310" s="1549"/>
      <c r="Y310" s="1549"/>
      <c r="Z310" s="1549"/>
      <c r="AA310" s="1549"/>
      <c r="AB310" s="1549"/>
      <c r="AC310" s="1549"/>
      <c r="AD310" s="1549"/>
      <c r="AE310" s="1549"/>
      <c r="AF310" s="1549"/>
      <c r="AG310" s="1549"/>
      <c r="AH310" s="1549"/>
    </row>
    <row r="311" spans="1:34" ht="12.75" customHeight="1" x14ac:dyDescent="0.2">
      <c r="A311" s="1549"/>
      <c r="B311" s="1549"/>
      <c r="C311" s="1549"/>
      <c r="D311" s="1549"/>
      <c r="E311" s="1549"/>
      <c r="F311" s="1549"/>
      <c r="G311" s="1549"/>
      <c r="H311" s="1549"/>
      <c r="I311" s="1549"/>
      <c r="J311" s="1549"/>
      <c r="K311" s="1549"/>
      <c r="L311" s="1549"/>
      <c r="M311" s="1549"/>
      <c r="N311" s="1549"/>
      <c r="O311" s="1549"/>
      <c r="P311" s="1549"/>
      <c r="Q311" s="1549"/>
      <c r="R311" s="1549"/>
      <c r="S311" s="1549"/>
      <c r="T311" s="1549"/>
      <c r="U311" s="1549"/>
      <c r="V311" s="1549"/>
      <c r="W311" s="1549"/>
      <c r="X311" s="1549"/>
      <c r="Y311" s="1549"/>
      <c r="Z311" s="1549"/>
      <c r="AA311" s="1549"/>
      <c r="AB311" s="1549"/>
      <c r="AC311" s="1549"/>
      <c r="AD311" s="1549"/>
      <c r="AE311" s="1549"/>
      <c r="AF311" s="1549"/>
      <c r="AG311" s="1549"/>
      <c r="AH311" s="1549"/>
    </row>
    <row r="312" spans="1:34" ht="12.75" customHeight="1" x14ac:dyDescent="0.2">
      <c r="A312" s="1549"/>
      <c r="B312" s="1549"/>
      <c r="C312" s="1549"/>
      <c r="D312" s="1549"/>
      <c r="E312" s="1549"/>
      <c r="F312" s="1549"/>
      <c r="G312" s="1549"/>
      <c r="H312" s="1549"/>
      <c r="I312" s="1549"/>
      <c r="J312" s="1549"/>
      <c r="K312" s="1549"/>
      <c r="L312" s="1549"/>
      <c r="M312" s="1549"/>
      <c r="N312" s="1549"/>
      <c r="O312" s="1549"/>
      <c r="P312" s="1549"/>
      <c r="Q312" s="1549"/>
      <c r="R312" s="1549"/>
      <c r="S312" s="1549"/>
      <c r="T312" s="1549"/>
      <c r="U312" s="1549"/>
      <c r="V312" s="1549"/>
      <c r="W312" s="1549"/>
      <c r="X312" s="1549"/>
      <c r="Y312" s="1549"/>
      <c r="Z312" s="1549"/>
      <c r="AA312" s="1549"/>
      <c r="AB312" s="1549"/>
      <c r="AC312" s="1549"/>
      <c r="AD312" s="1549"/>
      <c r="AE312" s="1549"/>
      <c r="AF312" s="1549"/>
      <c r="AG312" s="1549"/>
      <c r="AH312" s="1549"/>
    </row>
    <row r="313" spans="1:34" ht="12.75" customHeight="1" x14ac:dyDescent="0.2">
      <c r="A313" s="1549"/>
      <c r="B313" s="1549"/>
      <c r="C313" s="1549"/>
      <c r="D313" s="1549"/>
      <c r="E313" s="1549"/>
      <c r="F313" s="1549"/>
      <c r="G313" s="1549"/>
      <c r="H313" s="1549"/>
      <c r="I313" s="1549"/>
      <c r="J313" s="1549"/>
      <c r="K313" s="1549"/>
      <c r="L313" s="1549"/>
      <c r="M313" s="1549"/>
      <c r="N313" s="1549"/>
      <c r="O313" s="1549"/>
      <c r="P313" s="1549"/>
      <c r="Q313" s="1549"/>
      <c r="R313" s="1549"/>
      <c r="S313" s="1549"/>
      <c r="T313" s="1549"/>
      <c r="U313" s="1549"/>
      <c r="V313" s="1549"/>
      <c r="W313" s="1549"/>
      <c r="X313" s="1549"/>
      <c r="Y313" s="1549"/>
      <c r="Z313" s="1549"/>
      <c r="AA313" s="1549"/>
      <c r="AB313" s="1549"/>
      <c r="AC313" s="1549"/>
      <c r="AD313" s="1549"/>
      <c r="AE313" s="1549"/>
      <c r="AF313" s="1549"/>
      <c r="AG313" s="1549"/>
      <c r="AH313" s="1549"/>
    </row>
    <row r="314" spans="1:34" ht="12.75" customHeight="1" x14ac:dyDescent="0.2">
      <c r="A314" s="1549"/>
      <c r="B314" s="1549"/>
      <c r="C314" s="1549"/>
      <c r="D314" s="1549"/>
      <c r="E314" s="1549"/>
      <c r="F314" s="1549"/>
      <c r="G314" s="1549"/>
      <c r="H314" s="1549"/>
      <c r="I314" s="1549"/>
      <c r="J314" s="1549"/>
      <c r="K314" s="1549"/>
      <c r="L314" s="1549"/>
      <c r="M314" s="1549"/>
      <c r="N314" s="1549"/>
      <c r="O314" s="1549"/>
      <c r="P314" s="1549"/>
      <c r="Q314" s="1549"/>
      <c r="R314" s="1549"/>
      <c r="S314" s="1549"/>
      <c r="T314" s="1549"/>
      <c r="U314" s="1549"/>
      <c r="V314" s="1549"/>
      <c r="W314" s="1549"/>
      <c r="X314" s="1549"/>
      <c r="Y314" s="1549"/>
      <c r="Z314" s="1549"/>
      <c r="AA314" s="1549"/>
      <c r="AB314" s="1549"/>
      <c r="AC314" s="1549"/>
      <c r="AD314" s="1549"/>
      <c r="AE314" s="1549"/>
      <c r="AF314" s="1549"/>
      <c r="AG314" s="1549"/>
      <c r="AH314" s="1549"/>
    </row>
    <row r="315" spans="1:34" ht="12.75" customHeight="1" x14ac:dyDescent="0.2">
      <c r="A315" s="1549"/>
      <c r="B315" s="1549"/>
      <c r="C315" s="1549"/>
      <c r="D315" s="1549"/>
      <c r="E315" s="1549"/>
      <c r="F315" s="1549"/>
      <c r="G315" s="1549"/>
      <c r="H315" s="1549"/>
      <c r="I315" s="1549"/>
      <c r="J315" s="1549"/>
      <c r="K315" s="1549"/>
      <c r="L315" s="1549"/>
      <c r="M315" s="1549"/>
      <c r="N315" s="1549"/>
      <c r="O315" s="1549"/>
      <c r="P315" s="1549"/>
      <c r="Q315" s="1549"/>
      <c r="R315" s="1549"/>
      <c r="S315" s="1549"/>
      <c r="T315" s="1549"/>
      <c r="U315" s="1549"/>
      <c r="V315" s="1549"/>
      <c r="W315" s="1549"/>
      <c r="X315" s="1549"/>
      <c r="Y315" s="1549"/>
      <c r="Z315" s="1549"/>
      <c r="AA315" s="1549"/>
      <c r="AB315" s="1549"/>
      <c r="AC315" s="1549"/>
      <c r="AD315" s="1549"/>
      <c r="AE315" s="1549"/>
      <c r="AF315" s="1549"/>
      <c r="AG315" s="1549"/>
      <c r="AH315" s="1549"/>
    </row>
    <row r="316" spans="1:34" ht="12.75" customHeight="1" x14ac:dyDescent="0.2">
      <c r="A316" s="1549"/>
      <c r="B316" s="1549"/>
      <c r="C316" s="1549"/>
      <c r="D316" s="1549"/>
      <c r="E316" s="1549"/>
      <c r="F316" s="1549"/>
      <c r="G316" s="1549"/>
      <c r="H316" s="1549"/>
      <c r="I316" s="1549"/>
      <c r="J316" s="1549"/>
      <c r="K316" s="1549"/>
      <c r="L316" s="1549"/>
      <c r="M316" s="1549"/>
      <c r="N316" s="1549"/>
      <c r="O316" s="1549"/>
      <c r="P316" s="1549"/>
      <c r="Q316" s="1549"/>
      <c r="R316" s="1549"/>
      <c r="S316" s="1549"/>
      <c r="T316" s="1549"/>
      <c r="U316" s="1549"/>
      <c r="V316" s="1549"/>
      <c r="W316" s="1549"/>
      <c r="X316" s="1549"/>
      <c r="Y316" s="1549"/>
      <c r="Z316" s="1549"/>
      <c r="AA316" s="1549"/>
      <c r="AB316" s="1549"/>
      <c r="AC316" s="1549"/>
      <c r="AD316" s="1549"/>
      <c r="AE316" s="1549"/>
      <c r="AF316" s="1549"/>
      <c r="AG316" s="1549"/>
      <c r="AH316" s="1549"/>
    </row>
    <row r="317" spans="1:34" ht="12.75" customHeight="1" x14ac:dyDescent="0.2">
      <c r="A317" s="1549"/>
      <c r="B317" s="1549"/>
      <c r="C317" s="1549"/>
      <c r="D317" s="1549"/>
      <c r="E317" s="1549"/>
      <c r="F317" s="1549"/>
      <c r="G317" s="1549"/>
      <c r="H317" s="1549"/>
      <c r="I317" s="1549"/>
      <c r="J317" s="1549"/>
      <c r="K317" s="1549"/>
      <c r="L317" s="1549"/>
      <c r="M317" s="1549"/>
      <c r="N317" s="1549"/>
      <c r="O317" s="1549"/>
      <c r="P317" s="1549"/>
      <c r="Q317" s="1549"/>
      <c r="R317" s="1549"/>
      <c r="S317" s="1549"/>
      <c r="T317" s="1549"/>
      <c r="U317" s="1549"/>
      <c r="V317" s="1549"/>
      <c r="W317" s="1549"/>
      <c r="X317" s="1549"/>
      <c r="Y317" s="1549"/>
      <c r="Z317" s="1549"/>
      <c r="AA317" s="1549"/>
      <c r="AB317" s="1549"/>
      <c r="AC317" s="1549"/>
      <c r="AD317" s="1549"/>
      <c r="AE317" s="1549"/>
      <c r="AF317" s="1549"/>
      <c r="AG317" s="1549"/>
      <c r="AH317" s="1549"/>
    </row>
    <row r="318" spans="1:34" ht="12.75" customHeight="1" x14ac:dyDescent="0.2">
      <c r="A318" s="1549"/>
      <c r="B318" s="1549"/>
      <c r="C318" s="1549"/>
      <c r="D318" s="1549"/>
      <c r="E318" s="1549"/>
      <c r="F318" s="1549"/>
      <c r="G318" s="1549"/>
      <c r="H318" s="1549"/>
      <c r="I318" s="1549"/>
      <c r="J318" s="1549"/>
      <c r="K318" s="1549"/>
      <c r="L318" s="1549"/>
      <c r="M318" s="1549"/>
      <c r="N318" s="1549"/>
      <c r="O318" s="1549"/>
      <c r="P318" s="1549"/>
      <c r="Q318" s="1549"/>
      <c r="R318" s="1549"/>
      <c r="S318" s="1549"/>
      <c r="T318" s="1549"/>
      <c r="U318" s="1549"/>
      <c r="V318" s="1549"/>
      <c r="W318" s="1549"/>
      <c r="X318" s="1549"/>
      <c r="Y318" s="1549"/>
      <c r="Z318" s="1549"/>
      <c r="AA318" s="1549"/>
      <c r="AB318" s="1549"/>
      <c r="AC318" s="1549"/>
      <c r="AD318" s="1549"/>
      <c r="AE318" s="1549"/>
      <c r="AF318" s="1549"/>
      <c r="AG318" s="1549"/>
      <c r="AH318" s="1549"/>
    </row>
    <row r="319" spans="1:34" ht="12.75" customHeight="1" x14ac:dyDescent="0.2">
      <c r="A319" s="1549"/>
      <c r="B319" s="1549"/>
      <c r="C319" s="1549"/>
      <c r="D319" s="1549"/>
      <c r="E319" s="1549"/>
      <c r="F319" s="1549"/>
      <c r="G319" s="1549"/>
      <c r="H319" s="1549"/>
      <c r="I319" s="1549"/>
      <c r="J319" s="1549"/>
      <c r="K319" s="1549"/>
      <c r="L319" s="1549"/>
      <c r="M319" s="1549"/>
      <c r="N319" s="1549"/>
      <c r="O319" s="1549"/>
      <c r="P319" s="1549"/>
      <c r="Q319" s="1549"/>
      <c r="R319" s="1549"/>
      <c r="S319" s="1549"/>
      <c r="T319" s="1549"/>
      <c r="U319" s="1549"/>
      <c r="V319" s="1549"/>
      <c r="W319" s="1549"/>
      <c r="X319" s="1549"/>
      <c r="Y319" s="1549"/>
      <c r="Z319" s="1549"/>
      <c r="AA319" s="1549"/>
      <c r="AB319" s="1549"/>
      <c r="AC319" s="1549"/>
      <c r="AD319" s="1549"/>
      <c r="AE319" s="1549"/>
      <c r="AF319" s="1549"/>
      <c r="AG319" s="1549"/>
      <c r="AH319" s="1549"/>
    </row>
    <row r="320" spans="1:34" ht="12.75" customHeight="1" x14ac:dyDescent="0.2">
      <c r="A320" s="1549"/>
      <c r="B320" s="1549"/>
      <c r="C320" s="1549"/>
      <c r="D320" s="1549"/>
      <c r="E320" s="1549"/>
      <c r="F320" s="1549"/>
      <c r="G320" s="1549"/>
      <c r="H320" s="1549"/>
      <c r="I320" s="1549"/>
      <c r="J320" s="1549"/>
      <c r="K320" s="1549"/>
      <c r="L320" s="1549"/>
      <c r="M320" s="1549"/>
      <c r="N320" s="1549"/>
      <c r="O320" s="1549"/>
      <c r="P320" s="1549"/>
      <c r="Q320" s="1549"/>
      <c r="R320" s="1549"/>
      <c r="S320" s="1549"/>
      <c r="T320" s="1549"/>
      <c r="U320" s="1549"/>
      <c r="V320" s="1549"/>
      <c r="W320" s="1549"/>
      <c r="X320" s="1549"/>
      <c r="Y320" s="1549"/>
      <c r="Z320" s="1549"/>
      <c r="AA320" s="1549"/>
      <c r="AB320" s="1549"/>
      <c r="AC320" s="1549"/>
      <c r="AD320" s="1549"/>
      <c r="AE320" s="1549"/>
      <c r="AF320" s="1549"/>
      <c r="AG320" s="1549"/>
      <c r="AH320" s="1549"/>
    </row>
    <row r="321" spans="1:34" ht="12.75" customHeight="1" x14ac:dyDescent="0.2">
      <c r="A321" s="1549"/>
      <c r="B321" s="1549"/>
      <c r="C321" s="1549"/>
      <c r="D321" s="1549"/>
      <c r="E321" s="1549"/>
      <c r="F321" s="1549"/>
      <c r="G321" s="1549"/>
      <c r="H321" s="1549"/>
      <c r="I321" s="1549"/>
      <c r="J321" s="1549"/>
      <c r="K321" s="1549"/>
      <c r="L321" s="1549"/>
      <c r="M321" s="1549"/>
      <c r="N321" s="1549"/>
      <c r="O321" s="1549"/>
      <c r="P321" s="1549"/>
      <c r="Q321" s="1549"/>
      <c r="R321" s="1549"/>
      <c r="S321" s="1549"/>
      <c r="T321" s="1549"/>
      <c r="U321" s="1549"/>
      <c r="V321" s="1549"/>
      <c r="W321" s="1549"/>
      <c r="X321" s="1549"/>
      <c r="Y321" s="1549"/>
      <c r="Z321" s="1549"/>
      <c r="AA321" s="1549"/>
      <c r="AB321" s="1549"/>
      <c r="AC321" s="1549"/>
      <c r="AD321" s="1549"/>
      <c r="AE321" s="1549"/>
      <c r="AF321" s="1549"/>
      <c r="AG321" s="1549"/>
      <c r="AH321" s="1549"/>
    </row>
    <row r="322" spans="1:34" ht="12.75" customHeight="1" x14ac:dyDescent="0.2">
      <c r="A322" s="1549"/>
      <c r="B322" s="1549"/>
      <c r="C322" s="1549"/>
      <c r="D322" s="1549"/>
      <c r="E322" s="1549"/>
      <c r="F322" s="1549"/>
      <c r="G322" s="1549"/>
      <c r="H322" s="1549"/>
      <c r="I322" s="1549"/>
      <c r="J322" s="1549"/>
      <c r="K322" s="1549"/>
      <c r="L322" s="1549"/>
      <c r="M322" s="1549"/>
      <c r="N322" s="1549"/>
      <c r="O322" s="1549"/>
      <c r="P322" s="1549"/>
      <c r="Q322" s="1549"/>
      <c r="R322" s="1549"/>
      <c r="S322" s="1549"/>
      <c r="T322" s="1549"/>
      <c r="U322" s="1549"/>
      <c r="V322" s="1549"/>
      <c r="W322" s="1549"/>
      <c r="X322" s="1549"/>
      <c r="Y322" s="1549"/>
      <c r="Z322" s="1549"/>
      <c r="AA322" s="1549"/>
      <c r="AB322" s="1549"/>
      <c r="AC322" s="1549"/>
      <c r="AD322" s="1549"/>
      <c r="AE322" s="1549"/>
      <c r="AF322" s="1549"/>
      <c r="AG322" s="1549"/>
      <c r="AH322" s="1549"/>
    </row>
    <row r="323" spans="1:34" ht="12.75" customHeight="1" x14ac:dyDescent="0.2">
      <c r="A323" s="1549"/>
      <c r="B323" s="1549"/>
      <c r="C323" s="1549"/>
      <c r="D323" s="1549"/>
      <c r="E323" s="1549"/>
      <c r="F323" s="1549"/>
      <c r="G323" s="1549"/>
      <c r="H323" s="1549"/>
      <c r="I323" s="1549"/>
      <c r="J323" s="1549"/>
      <c r="K323" s="1549"/>
      <c r="L323" s="1549"/>
      <c r="M323" s="1549"/>
      <c r="N323" s="1549"/>
      <c r="O323" s="1549"/>
      <c r="P323" s="1549"/>
      <c r="Q323" s="1549"/>
      <c r="R323" s="1549"/>
      <c r="S323" s="1549"/>
      <c r="T323" s="1549"/>
      <c r="U323" s="1549"/>
      <c r="V323" s="1549"/>
      <c r="W323" s="1549"/>
      <c r="X323" s="1549"/>
      <c r="Y323" s="1549"/>
      <c r="Z323" s="1549"/>
      <c r="AA323" s="1549"/>
      <c r="AB323" s="1549"/>
      <c r="AC323" s="1549"/>
      <c r="AD323" s="1549"/>
      <c r="AE323" s="1549"/>
      <c r="AF323" s="1549"/>
      <c r="AG323" s="1549"/>
      <c r="AH323" s="1549"/>
    </row>
    <row r="324" spans="1:34" ht="12.75" customHeight="1" x14ac:dyDescent="0.2">
      <c r="A324" s="1549"/>
      <c r="B324" s="1549"/>
      <c r="C324" s="1549"/>
      <c r="D324" s="1549"/>
      <c r="E324" s="1549"/>
      <c r="F324" s="1549"/>
      <c r="G324" s="1549"/>
      <c r="H324" s="1549"/>
      <c r="I324" s="1549"/>
      <c r="J324" s="1549"/>
      <c r="K324" s="1549"/>
      <c r="L324" s="1549"/>
      <c r="M324" s="1549"/>
      <c r="N324" s="1549"/>
      <c r="O324" s="1549"/>
      <c r="P324" s="1549"/>
      <c r="Q324" s="1549"/>
      <c r="R324" s="1549"/>
      <c r="S324" s="1549"/>
      <c r="T324" s="1549"/>
      <c r="U324" s="1549"/>
      <c r="V324" s="1549"/>
      <c r="W324" s="1549"/>
      <c r="X324" s="1549"/>
      <c r="Y324" s="1549"/>
      <c r="Z324" s="1549"/>
      <c r="AA324" s="1549"/>
      <c r="AB324" s="1549"/>
      <c r="AC324" s="1549"/>
      <c r="AD324" s="1549"/>
      <c r="AE324" s="1549"/>
      <c r="AF324" s="1549"/>
      <c r="AG324" s="1549"/>
      <c r="AH324" s="1549"/>
    </row>
    <row r="325" spans="1:34" ht="12.75" customHeight="1" x14ac:dyDescent="0.2">
      <c r="A325" s="1549"/>
      <c r="B325" s="1549"/>
      <c r="C325" s="1549"/>
      <c r="D325" s="1549"/>
      <c r="E325" s="1549"/>
      <c r="F325" s="1549"/>
      <c r="G325" s="1549"/>
      <c r="H325" s="1549"/>
      <c r="I325" s="1549"/>
      <c r="J325" s="1549"/>
      <c r="K325" s="1549"/>
      <c r="L325" s="1549"/>
      <c r="M325" s="1549"/>
      <c r="N325" s="1549"/>
      <c r="O325" s="1549"/>
      <c r="P325" s="1549"/>
      <c r="Q325" s="1549"/>
      <c r="R325" s="1549"/>
      <c r="S325" s="1549"/>
      <c r="T325" s="1549"/>
      <c r="U325" s="1549"/>
      <c r="V325" s="1549"/>
      <c r="W325" s="1549"/>
      <c r="X325" s="1549"/>
      <c r="Y325" s="1549"/>
      <c r="Z325" s="1549"/>
      <c r="AA325" s="1549"/>
      <c r="AB325" s="1549"/>
      <c r="AC325" s="1549"/>
      <c r="AD325" s="1549"/>
      <c r="AE325" s="1549"/>
      <c r="AF325" s="1549"/>
      <c r="AG325" s="1549"/>
      <c r="AH325" s="1549"/>
    </row>
    <row r="326" spans="1:34" ht="12.75" customHeight="1" x14ac:dyDescent="0.2">
      <c r="A326" s="1549"/>
      <c r="B326" s="1549"/>
      <c r="C326" s="1549"/>
      <c r="D326" s="1549"/>
      <c r="E326" s="1549"/>
      <c r="F326" s="1549"/>
      <c r="G326" s="1549"/>
      <c r="H326" s="1549"/>
      <c r="I326" s="1549"/>
      <c r="J326" s="1549"/>
      <c r="K326" s="1549"/>
      <c r="L326" s="1549"/>
      <c r="M326" s="1549"/>
      <c r="N326" s="1549"/>
      <c r="O326" s="1549"/>
      <c r="P326" s="1549"/>
      <c r="Q326" s="1549"/>
      <c r="R326" s="1549"/>
      <c r="S326" s="1549"/>
      <c r="T326" s="1549"/>
      <c r="U326" s="1549"/>
      <c r="V326" s="1549"/>
      <c r="W326" s="1549"/>
      <c r="X326" s="1549"/>
      <c r="Y326" s="1549"/>
      <c r="Z326" s="1549"/>
      <c r="AA326" s="1549"/>
      <c r="AB326" s="1549"/>
      <c r="AC326" s="1549"/>
      <c r="AD326" s="1549"/>
      <c r="AE326" s="1549"/>
      <c r="AF326" s="1549"/>
      <c r="AG326" s="1549"/>
      <c r="AH326" s="1549"/>
    </row>
    <row r="327" spans="1:34" ht="12.75" customHeight="1" x14ac:dyDescent="0.2">
      <c r="A327" s="1549"/>
      <c r="B327" s="1549"/>
      <c r="C327" s="1549"/>
      <c r="D327" s="1549"/>
      <c r="E327" s="1549"/>
      <c r="F327" s="1549"/>
      <c r="G327" s="1549"/>
      <c r="H327" s="1549"/>
      <c r="I327" s="1549"/>
      <c r="J327" s="1549"/>
      <c r="K327" s="1549"/>
      <c r="L327" s="1549"/>
      <c r="M327" s="1549"/>
      <c r="N327" s="1549"/>
      <c r="O327" s="1549"/>
      <c r="P327" s="1549"/>
      <c r="Q327" s="1549"/>
      <c r="R327" s="1549"/>
      <c r="S327" s="1549"/>
      <c r="T327" s="1549"/>
      <c r="U327" s="1549"/>
      <c r="V327" s="1549"/>
      <c r="W327" s="1549"/>
      <c r="X327" s="1549"/>
      <c r="Y327" s="1549"/>
      <c r="Z327" s="1549"/>
      <c r="AA327" s="1549"/>
      <c r="AB327" s="1549"/>
      <c r="AC327" s="1549"/>
      <c r="AD327" s="1549"/>
      <c r="AE327" s="1549"/>
      <c r="AF327" s="1549"/>
      <c r="AG327" s="1549"/>
      <c r="AH327" s="1549"/>
    </row>
    <row r="328" spans="1:34" ht="12.75" customHeight="1" x14ac:dyDescent="0.2">
      <c r="A328" s="1549"/>
      <c r="B328" s="1549"/>
      <c r="C328" s="1549"/>
      <c r="D328" s="1549"/>
      <c r="E328" s="1549"/>
      <c r="F328" s="1549"/>
      <c r="G328" s="1549"/>
      <c r="H328" s="1549"/>
      <c r="I328" s="1549"/>
      <c r="J328" s="1549"/>
      <c r="K328" s="1549"/>
      <c r="L328" s="1549"/>
      <c r="M328" s="1549"/>
      <c r="N328" s="1549"/>
      <c r="O328" s="1549"/>
      <c r="P328" s="1549"/>
      <c r="Q328" s="1549"/>
      <c r="R328" s="1549"/>
      <c r="S328" s="1549"/>
      <c r="T328" s="1549"/>
      <c r="U328" s="1549"/>
      <c r="V328" s="1549"/>
      <c r="W328" s="1549"/>
      <c r="X328" s="1549"/>
      <c r="Y328" s="1549"/>
      <c r="Z328" s="1549"/>
      <c r="AA328" s="1549"/>
      <c r="AB328" s="1549"/>
      <c r="AC328" s="1549"/>
      <c r="AD328" s="1549"/>
      <c r="AE328" s="1549"/>
      <c r="AF328" s="1549"/>
      <c r="AG328" s="1549"/>
      <c r="AH328" s="1549"/>
    </row>
    <row r="329" spans="1:34" ht="12.75" customHeight="1" x14ac:dyDescent="0.2">
      <c r="A329" s="1549"/>
      <c r="B329" s="1549"/>
      <c r="C329" s="1549"/>
      <c r="D329" s="1549"/>
      <c r="E329" s="1549"/>
      <c r="F329" s="1549"/>
      <c r="G329" s="1549"/>
      <c r="H329" s="1549"/>
      <c r="I329" s="1549"/>
      <c r="J329" s="1549"/>
      <c r="K329" s="1549"/>
      <c r="L329" s="1549"/>
      <c r="M329" s="1549"/>
      <c r="N329" s="1549"/>
      <c r="O329" s="1549"/>
      <c r="P329" s="1549"/>
      <c r="Q329" s="1549"/>
      <c r="R329" s="1549"/>
      <c r="S329" s="1549"/>
      <c r="T329" s="1549"/>
      <c r="U329" s="1549"/>
      <c r="V329" s="1549"/>
      <c r="W329" s="1549"/>
      <c r="X329" s="1549"/>
      <c r="Y329" s="1549"/>
      <c r="Z329" s="1549"/>
      <c r="AA329" s="1549"/>
      <c r="AB329" s="1549"/>
      <c r="AC329" s="1549"/>
      <c r="AD329" s="1549"/>
      <c r="AE329" s="1549"/>
      <c r="AF329" s="1549"/>
      <c r="AG329" s="1549"/>
      <c r="AH329" s="1549"/>
    </row>
    <row r="330" spans="1:34" ht="12.75" customHeight="1" x14ac:dyDescent="0.2">
      <c r="A330" s="1549"/>
      <c r="B330" s="1549"/>
      <c r="C330" s="1549"/>
      <c r="D330" s="1549"/>
      <c r="E330" s="1549"/>
      <c r="F330" s="1549"/>
      <c r="G330" s="1549"/>
      <c r="H330" s="1549"/>
      <c r="I330" s="1549"/>
      <c r="J330" s="1549"/>
      <c r="K330" s="1549"/>
      <c r="L330" s="1549"/>
      <c r="M330" s="1549"/>
      <c r="N330" s="1549"/>
      <c r="O330" s="1549"/>
      <c r="P330" s="1549"/>
      <c r="Q330" s="1549"/>
      <c r="R330" s="1549"/>
      <c r="S330" s="1549"/>
      <c r="T330" s="1549"/>
      <c r="U330" s="1549"/>
      <c r="V330" s="1549"/>
      <c r="W330" s="1549"/>
      <c r="X330" s="1549"/>
      <c r="Y330" s="1549"/>
      <c r="Z330" s="1549"/>
      <c r="AA330" s="1549"/>
      <c r="AB330" s="1549"/>
      <c r="AC330" s="1549"/>
      <c r="AD330" s="1549"/>
      <c r="AE330" s="1549"/>
      <c r="AF330" s="1549"/>
      <c r="AG330" s="1549"/>
      <c r="AH330" s="1549"/>
    </row>
    <row r="331" spans="1:34" ht="12.75" customHeight="1" x14ac:dyDescent="0.2">
      <c r="A331" s="1549"/>
      <c r="B331" s="1549"/>
      <c r="C331" s="1549"/>
      <c r="D331" s="1549"/>
      <c r="E331" s="1549"/>
      <c r="F331" s="1549"/>
      <c r="G331" s="1549"/>
      <c r="H331" s="1549"/>
      <c r="I331" s="1549"/>
      <c r="J331" s="1549"/>
      <c r="K331" s="1549"/>
      <c r="L331" s="1549"/>
      <c r="M331" s="1549"/>
      <c r="N331" s="1549"/>
      <c r="O331" s="1549"/>
      <c r="P331" s="1549"/>
      <c r="Q331" s="1549"/>
      <c r="R331" s="1549"/>
      <c r="S331" s="1549"/>
      <c r="T331" s="1549"/>
      <c r="U331" s="1549"/>
      <c r="V331" s="1549"/>
      <c r="W331" s="1549"/>
      <c r="X331" s="1549"/>
      <c r="Y331" s="1549"/>
      <c r="Z331" s="1549"/>
      <c r="AA331" s="1549"/>
      <c r="AB331" s="1549"/>
      <c r="AC331" s="1549"/>
      <c r="AD331" s="1549"/>
      <c r="AE331" s="1549"/>
      <c r="AF331" s="1549"/>
      <c r="AG331" s="1549"/>
      <c r="AH331" s="1549"/>
    </row>
    <row r="332" spans="1:34" ht="12.75" customHeight="1" x14ac:dyDescent="0.2">
      <c r="A332" s="1549"/>
      <c r="B332" s="1549"/>
      <c r="C332" s="1549"/>
      <c r="D332" s="1549"/>
      <c r="E332" s="1549"/>
      <c r="F332" s="1549"/>
      <c r="G332" s="1549"/>
      <c r="H332" s="1549"/>
      <c r="I332" s="1549"/>
      <c r="J332" s="1549"/>
      <c r="K332" s="1549"/>
      <c r="L332" s="1549"/>
      <c r="M332" s="1549"/>
      <c r="N332" s="1549"/>
      <c r="O332" s="1549"/>
      <c r="P332" s="1549"/>
      <c r="Q332" s="1549"/>
      <c r="R332" s="1549"/>
      <c r="S332" s="1549"/>
      <c r="T332" s="1549"/>
      <c r="U332" s="1549"/>
      <c r="V332" s="1549"/>
      <c r="W332" s="1549"/>
      <c r="X332" s="1549"/>
      <c r="Y332" s="1549"/>
      <c r="Z332" s="1549"/>
      <c r="AA332" s="1549"/>
      <c r="AB332" s="1549"/>
      <c r="AC332" s="1549"/>
      <c r="AD332" s="1549"/>
      <c r="AE332" s="1549"/>
      <c r="AF332" s="1549"/>
      <c r="AG332" s="1549"/>
      <c r="AH332" s="1549"/>
    </row>
    <row r="333" spans="1:34" ht="12.75" customHeight="1" x14ac:dyDescent="0.2">
      <c r="A333" s="1549"/>
      <c r="B333" s="1549"/>
      <c r="C333" s="1549"/>
      <c r="D333" s="1549"/>
      <c r="E333" s="1549"/>
      <c r="F333" s="1549"/>
      <c r="G333" s="1549"/>
      <c r="H333" s="1549"/>
      <c r="I333" s="1549"/>
      <c r="J333" s="1549"/>
      <c r="K333" s="1549"/>
      <c r="L333" s="1549"/>
      <c r="M333" s="1549"/>
      <c r="N333" s="1549"/>
      <c r="O333" s="1549"/>
      <c r="P333" s="1549"/>
      <c r="Q333" s="1549"/>
      <c r="R333" s="1549"/>
      <c r="S333" s="1549"/>
      <c r="T333" s="1549"/>
      <c r="U333" s="1549"/>
      <c r="V333" s="1549"/>
      <c r="W333" s="1549"/>
      <c r="X333" s="1549"/>
      <c r="Y333" s="1549"/>
      <c r="Z333" s="1549"/>
      <c r="AA333" s="1549"/>
      <c r="AB333" s="1549"/>
      <c r="AC333" s="1549"/>
      <c r="AD333" s="1549"/>
      <c r="AE333" s="1549"/>
      <c r="AF333" s="1549"/>
      <c r="AG333" s="1549"/>
      <c r="AH333" s="1549"/>
    </row>
    <row r="334" spans="1:34" ht="12.75" customHeight="1" x14ac:dyDescent="0.2">
      <c r="A334" s="1549"/>
      <c r="B334" s="1549"/>
      <c r="C334" s="1549"/>
      <c r="D334" s="1549"/>
      <c r="E334" s="1549"/>
      <c r="F334" s="1549"/>
      <c r="G334" s="1549"/>
      <c r="H334" s="1549"/>
      <c r="I334" s="1549"/>
      <c r="J334" s="1549"/>
      <c r="K334" s="1549"/>
      <c r="L334" s="1549"/>
      <c r="M334" s="1549"/>
      <c r="N334" s="1549"/>
      <c r="O334" s="1549"/>
      <c r="P334" s="1549"/>
      <c r="Q334" s="1549"/>
      <c r="R334" s="1549"/>
      <c r="S334" s="1549"/>
      <c r="T334" s="1549"/>
      <c r="U334" s="1549"/>
      <c r="V334" s="1549"/>
      <c r="W334" s="1549"/>
      <c r="X334" s="1549"/>
      <c r="Y334" s="1549"/>
      <c r="Z334" s="1549"/>
      <c r="AA334" s="1549"/>
      <c r="AB334" s="1549"/>
      <c r="AC334" s="1549"/>
      <c r="AD334" s="1549"/>
      <c r="AE334" s="1549"/>
      <c r="AF334" s="1549"/>
      <c r="AG334" s="1549"/>
      <c r="AH334" s="1549"/>
    </row>
    <row r="335" spans="1:34" ht="12.75" customHeight="1" x14ac:dyDescent="0.2">
      <c r="A335" s="1549"/>
      <c r="B335" s="1549"/>
      <c r="C335" s="1549"/>
      <c r="D335" s="1549"/>
      <c r="E335" s="1549"/>
      <c r="F335" s="1549"/>
      <c r="G335" s="1549"/>
      <c r="H335" s="1549"/>
      <c r="I335" s="1549"/>
      <c r="J335" s="1549"/>
      <c r="K335" s="1549"/>
      <c r="L335" s="1549"/>
      <c r="M335" s="1549"/>
      <c r="N335" s="1549"/>
      <c r="O335" s="1549"/>
      <c r="P335" s="1549"/>
      <c r="Q335" s="1549"/>
      <c r="R335" s="1549"/>
      <c r="S335" s="1549"/>
      <c r="T335" s="1549"/>
      <c r="U335" s="1549"/>
      <c r="V335" s="1549"/>
      <c r="W335" s="1549"/>
      <c r="X335" s="1549"/>
      <c r="Y335" s="1549"/>
      <c r="Z335" s="1549"/>
      <c r="AA335" s="1549"/>
      <c r="AB335" s="1549"/>
      <c r="AC335" s="1549"/>
      <c r="AD335" s="1549"/>
      <c r="AE335" s="1549"/>
      <c r="AF335" s="1549"/>
      <c r="AG335" s="1549"/>
      <c r="AH335" s="1549"/>
    </row>
    <row r="336" spans="1:34" ht="12.75" customHeight="1" x14ac:dyDescent="0.2">
      <c r="A336" s="1549"/>
      <c r="B336" s="1549"/>
      <c r="C336" s="1549"/>
      <c r="D336" s="1549"/>
      <c r="E336" s="1549"/>
      <c r="F336" s="1549"/>
      <c r="G336" s="1549"/>
      <c r="H336" s="1549"/>
      <c r="I336" s="1549"/>
      <c r="J336" s="1549"/>
      <c r="K336" s="1549"/>
      <c r="L336" s="1549"/>
      <c r="M336" s="1549"/>
      <c r="N336" s="1549"/>
      <c r="O336" s="1549"/>
      <c r="P336" s="1549"/>
      <c r="Q336" s="1549"/>
      <c r="R336" s="1549"/>
      <c r="S336" s="1549"/>
      <c r="T336" s="1549"/>
      <c r="U336" s="1549"/>
      <c r="V336" s="1549"/>
      <c r="W336" s="1549"/>
      <c r="X336" s="1549"/>
      <c r="Y336" s="1549"/>
      <c r="Z336" s="1549"/>
      <c r="AA336" s="1549"/>
      <c r="AB336" s="1549"/>
      <c r="AC336" s="1549"/>
      <c r="AD336" s="1549"/>
      <c r="AE336" s="1549"/>
      <c r="AF336" s="1549"/>
      <c r="AG336" s="1549"/>
      <c r="AH336" s="1549"/>
    </row>
    <row r="337" spans="1:34" ht="12.75" customHeight="1" x14ac:dyDescent="0.2">
      <c r="A337" s="1549"/>
      <c r="B337" s="1549"/>
      <c r="C337" s="1549"/>
      <c r="D337" s="1549"/>
      <c r="E337" s="1549"/>
      <c r="F337" s="1549"/>
      <c r="G337" s="1549"/>
      <c r="H337" s="1549"/>
      <c r="I337" s="1549"/>
      <c r="J337" s="1549"/>
      <c r="K337" s="1549"/>
      <c r="L337" s="1549"/>
      <c r="M337" s="1549"/>
      <c r="N337" s="1549"/>
      <c r="O337" s="1549"/>
      <c r="P337" s="1549"/>
      <c r="Q337" s="1549"/>
      <c r="R337" s="1549"/>
      <c r="S337" s="1549"/>
      <c r="T337" s="1549"/>
      <c r="U337" s="1549"/>
      <c r="V337" s="1549"/>
      <c r="W337" s="1549"/>
      <c r="X337" s="1549"/>
      <c r="Y337" s="1549"/>
      <c r="Z337" s="1549"/>
      <c r="AA337" s="1549"/>
      <c r="AB337" s="1549"/>
      <c r="AC337" s="1549"/>
      <c r="AD337" s="1549"/>
      <c r="AE337" s="1549"/>
      <c r="AF337" s="1549"/>
      <c r="AG337" s="1549"/>
      <c r="AH337" s="1549"/>
    </row>
    <row r="338" spans="1:34" ht="12.75" customHeight="1" x14ac:dyDescent="0.2">
      <c r="A338" s="1549"/>
      <c r="B338" s="1549"/>
      <c r="C338" s="1549"/>
      <c r="D338" s="1549"/>
      <c r="E338" s="1549"/>
      <c r="F338" s="1549"/>
      <c r="G338" s="1549"/>
      <c r="H338" s="1549"/>
      <c r="I338" s="1549"/>
      <c r="J338" s="1549"/>
      <c r="K338" s="1549"/>
      <c r="L338" s="1549"/>
      <c r="M338" s="1549"/>
      <c r="N338" s="1549"/>
      <c r="O338" s="1549"/>
      <c r="P338" s="1549"/>
      <c r="Q338" s="1549"/>
      <c r="R338" s="1549"/>
      <c r="S338" s="1549"/>
      <c r="T338" s="1549"/>
      <c r="U338" s="1549"/>
      <c r="V338" s="1549"/>
      <c r="W338" s="1549"/>
      <c r="X338" s="1549"/>
      <c r="Y338" s="1549"/>
      <c r="Z338" s="1549"/>
      <c r="AA338" s="1549"/>
      <c r="AB338" s="1549"/>
      <c r="AC338" s="1549"/>
      <c r="AD338" s="1549"/>
      <c r="AE338" s="1549"/>
      <c r="AF338" s="1549"/>
      <c r="AG338" s="1549"/>
      <c r="AH338" s="1549"/>
    </row>
    <row r="339" spans="1:34" ht="12.75" customHeight="1" x14ac:dyDescent="0.2">
      <c r="A339" s="1549"/>
      <c r="B339" s="1549"/>
      <c r="C339" s="1549"/>
      <c r="D339" s="1549"/>
      <c r="E339" s="1549"/>
      <c r="F339" s="1549"/>
      <c r="G339" s="1549"/>
      <c r="H339" s="1549"/>
      <c r="I339" s="1549"/>
      <c r="J339" s="1549"/>
      <c r="K339" s="1549"/>
      <c r="L339" s="1549"/>
      <c r="M339" s="1549"/>
      <c r="N339" s="1549"/>
      <c r="O339" s="1549"/>
      <c r="P339" s="1549"/>
      <c r="Q339" s="1549"/>
      <c r="R339" s="1549"/>
      <c r="S339" s="1549"/>
      <c r="T339" s="1549"/>
      <c r="U339" s="1549"/>
      <c r="V339" s="1549"/>
      <c r="W339" s="1549"/>
      <c r="X339" s="1549"/>
      <c r="Y339" s="1549"/>
      <c r="Z339" s="1549"/>
      <c r="AA339" s="1549"/>
      <c r="AB339" s="1549"/>
      <c r="AC339" s="1549"/>
      <c r="AD339" s="1549"/>
      <c r="AE339" s="1549"/>
      <c r="AF339" s="1549"/>
      <c r="AG339" s="1549"/>
      <c r="AH339" s="1549"/>
    </row>
    <row r="340" spans="1:34" ht="12.75" customHeight="1" x14ac:dyDescent="0.2">
      <c r="A340" s="1549"/>
      <c r="B340" s="1549"/>
      <c r="C340" s="1549"/>
      <c r="D340" s="1549"/>
      <c r="E340" s="1549"/>
      <c r="F340" s="1549"/>
      <c r="G340" s="1549"/>
      <c r="H340" s="1549"/>
      <c r="I340" s="1549"/>
      <c r="J340" s="1549"/>
      <c r="K340" s="1549"/>
      <c r="L340" s="1549"/>
      <c r="M340" s="1549"/>
      <c r="N340" s="1549"/>
      <c r="O340" s="1549"/>
      <c r="P340" s="1549"/>
      <c r="Q340" s="1549"/>
      <c r="R340" s="1549"/>
      <c r="S340" s="1549"/>
      <c r="T340" s="1549"/>
      <c r="U340" s="1549"/>
      <c r="V340" s="1549"/>
      <c r="W340" s="1549"/>
      <c r="X340" s="1549"/>
      <c r="Y340" s="1549"/>
      <c r="Z340" s="1549"/>
      <c r="AA340" s="1549"/>
      <c r="AB340" s="1549"/>
      <c r="AC340" s="1549"/>
      <c r="AD340" s="1549"/>
      <c r="AE340" s="1549"/>
      <c r="AF340" s="1549"/>
      <c r="AG340" s="1549"/>
      <c r="AH340" s="1549"/>
    </row>
    <row r="341" spans="1:34" ht="12.75" customHeight="1" x14ac:dyDescent="0.2">
      <c r="A341" s="1549"/>
      <c r="B341" s="1549"/>
      <c r="C341" s="1549"/>
      <c r="D341" s="1549"/>
      <c r="E341" s="1549"/>
      <c r="F341" s="1549"/>
      <c r="G341" s="1549"/>
      <c r="H341" s="1549"/>
      <c r="I341" s="1549"/>
      <c r="J341" s="1549"/>
      <c r="K341" s="1549"/>
      <c r="L341" s="1549"/>
      <c r="M341" s="1549"/>
      <c r="N341" s="1549"/>
      <c r="O341" s="1549"/>
      <c r="P341" s="1549"/>
      <c r="Q341" s="1549"/>
      <c r="R341" s="1549"/>
      <c r="S341" s="1549"/>
      <c r="T341" s="1549"/>
      <c r="U341" s="1549"/>
      <c r="V341" s="1549"/>
      <c r="W341" s="1549"/>
      <c r="X341" s="1549"/>
      <c r="Y341" s="1549"/>
      <c r="Z341" s="1549"/>
      <c r="AA341" s="1549"/>
      <c r="AB341" s="1549"/>
      <c r="AC341" s="1549"/>
      <c r="AD341" s="1549"/>
      <c r="AE341" s="1549"/>
      <c r="AF341" s="1549"/>
      <c r="AG341" s="1549"/>
      <c r="AH341" s="1549"/>
    </row>
    <row r="342" spans="1:34" ht="12.75" customHeight="1" x14ac:dyDescent="0.2">
      <c r="A342" s="1549"/>
      <c r="B342" s="1549"/>
      <c r="C342" s="1549"/>
      <c r="D342" s="1549"/>
      <c r="E342" s="1549"/>
      <c r="F342" s="1549"/>
      <c r="G342" s="1549"/>
      <c r="H342" s="1549"/>
      <c r="I342" s="1549"/>
      <c r="J342" s="1549"/>
      <c r="K342" s="1549"/>
      <c r="L342" s="1549"/>
      <c r="M342" s="1549"/>
      <c r="N342" s="1549"/>
      <c r="O342" s="1549"/>
      <c r="P342" s="1549"/>
      <c r="Q342" s="1549"/>
      <c r="R342" s="1549"/>
      <c r="S342" s="1549"/>
      <c r="T342" s="1549"/>
      <c r="U342" s="1549"/>
      <c r="V342" s="1549"/>
      <c r="W342" s="1549"/>
      <c r="X342" s="1549"/>
      <c r="Y342" s="1549"/>
      <c r="Z342" s="1549"/>
      <c r="AA342" s="1549"/>
      <c r="AB342" s="1549"/>
      <c r="AC342" s="1549"/>
      <c r="AD342" s="1549"/>
      <c r="AE342" s="1549"/>
      <c r="AF342" s="1549"/>
      <c r="AG342" s="1549"/>
      <c r="AH342" s="1549"/>
    </row>
    <row r="343" spans="1:34" ht="12.75" customHeight="1" x14ac:dyDescent="0.2">
      <c r="A343" s="1549"/>
      <c r="B343" s="1549"/>
      <c r="C343" s="1549"/>
      <c r="D343" s="1549"/>
      <c r="E343" s="1549"/>
      <c r="F343" s="1549"/>
      <c r="G343" s="1549"/>
      <c r="H343" s="1549"/>
      <c r="I343" s="1549"/>
      <c r="J343" s="1549"/>
      <c r="K343" s="1549"/>
      <c r="L343" s="1549"/>
      <c r="M343" s="1549"/>
      <c r="N343" s="1549"/>
      <c r="O343" s="1549"/>
      <c r="P343" s="1549"/>
      <c r="Q343" s="1549"/>
      <c r="R343" s="1549"/>
      <c r="S343" s="1549"/>
      <c r="T343" s="1549"/>
      <c r="U343" s="1549"/>
      <c r="V343" s="1549"/>
      <c r="W343" s="1549"/>
      <c r="X343" s="1549"/>
      <c r="Y343" s="1549"/>
      <c r="Z343" s="1549"/>
      <c r="AA343" s="1549"/>
      <c r="AB343" s="1549"/>
      <c r="AC343" s="1549"/>
      <c r="AD343" s="1549"/>
      <c r="AE343" s="1549"/>
      <c r="AF343" s="1549"/>
      <c r="AG343" s="1549"/>
      <c r="AH343" s="1549"/>
    </row>
    <row r="344" spans="1:34" ht="12.75" customHeight="1" x14ac:dyDescent="0.2">
      <c r="A344" s="1549"/>
      <c r="B344" s="1549"/>
      <c r="C344" s="1549"/>
      <c r="D344" s="1549"/>
      <c r="E344" s="1549"/>
      <c r="F344" s="1549"/>
      <c r="G344" s="1549"/>
      <c r="H344" s="1549"/>
      <c r="I344" s="1549"/>
      <c r="J344" s="1549"/>
      <c r="K344" s="1549"/>
      <c r="L344" s="1549"/>
      <c r="M344" s="1549"/>
      <c r="N344" s="1549"/>
      <c r="O344" s="1549"/>
      <c r="P344" s="1549"/>
      <c r="Q344" s="1549"/>
      <c r="R344" s="1549"/>
      <c r="S344" s="1549"/>
      <c r="T344" s="1549"/>
      <c r="U344" s="1549"/>
      <c r="V344" s="1549"/>
      <c r="W344" s="1549"/>
      <c r="X344" s="1549"/>
      <c r="Y344" s="1549"/>
      <c r="Z344" s="1549"/>
      <c r="AA344" s="1549"/>
      <c r="AB344" s="1549"/>
      <c r="AC344" s="1549"/>
      <c r="AD344" s="1549"/>
      <c r="AE344" s="1549"/>
      <c r="AF344" s="1549"/>
      <c r="AG344" s="1549"/>
      <c r="AH344" s="1549"/>
    </row>
    <row r="345" spans="1:34" ht="12.75" customHeight="1" x14ac:dyDescent="0.2">
      <c r="A345" s="1549"/>
      <c r="B345" s="1549"/>
      <c r="C345" s="1549"/>
      <c r="D345" s="1549"/>
      <c r="E345" s="1549"/>
      <c r="F345" s="1549"/>
      <c r="G345" s="1549"/>
      <c r="H345" s="1549"/>
      <c r="I345" s="1549"/>
      <c r="J345" s="1549"/>
      <c r="K345" s="1549"/>
      <c r="L345" s="1549"/>
      <c r="M345" s="1549"/>
      <c r="N345" s="1549"/>
      <c r="O345" s="1549"/>
      <c r="P345" s="1549"/>
      <c r="Q345" s="1549"/>
      <c r="R345" s="1549"/>
      <c r="S345" s="1549"/>
      <c r="T345" s="1549"/>
      <c r="U345" s="1549"/>
      <c r="V345" s="1549"/>
      <c r="W345" s="1549"/>
      <c r="X345" s="1549"/>
      <c r="Y345" s="1549"/>
      <c r="Z345" s="1549"/>
      <c r="AA345" s="1549"/>
      <c r="AB345" s="1549"/>
      <c r="AC345" s="1549"/>
      <c r="AD345" s="1549"/>
      <c r="AE345" s="1549"/>
      <c r="AF345" s="1549"/>
      <c r="AG345" s="1549"/>
      <c r="AH345" s="1549"/>
    </row>
    <row r="346" spans="1:34" ht="12.75" customHeight="1" x14ac:dyDescent="0.2">
      <c r="A346" s="1549"/>
      <c r="B346" s="1549"/>
      <c r="C346" s="1549"/>
      <c r="D346" s="1549"/>
      <c r="E346" s="1549"/>
      <c r="F346" s="1549"/>
      <c r="G346" s="1549"/>
      <c r="H346" s="1549"/>
      <c r="I346" s="1549"/>
      <c r="J346" s="1549"/>
      <c r="K346" s="1549"/>
      <c r="L346" s="1549"/>
      <c r="M346" s="1549"/>
      <c r="N346" s="1549"/>
      <c r="O346" s="1549"/>
      <c r="P346" s="1549"/>
      <c r="Q346" s="1549"/>
      <c r="R346" s="1549"/>
      <c r="S346" s="1549"/>
      <c r="T346" s="1549"/>
      <c r="U346" s="1549"/>
      <c r="V346" s="1549"/>
      <c r="W346" s="1549"/>
      <c r="X346" s="1549"/>
      <c r="Y346" s="1549"/>
      <c r="Z346" s="1549"/>
      <c r="AA346" s="1549"/>
      <c r="AB346" s="1549"/>
      <c r="AC346" s="1549"/>
      <c r="AD346" s="1549"/>
      <c r="AE346" s="1549"/>
      <c r="AF346" s="1549"/>
      <c r="AG346" s="1549"/>
      <c r="AH346" s="1549"/>
    </row>
    <row r="347" spans="1:34" ht="12.75" customHeight="1" x14ac:dyDescent="0.2">
      <c r="A347" s="1549"/>
      <c r="B347" s="1549"/>
      <c r="C347" s="1549"/>
      <c r="D347" s="1549"/>
      <c r="E347" s="1549"/>
      <c r="F347" s="1549"/>
      <c r="G347" s="1549"/>
      <c r="H347" s="1549"/>
      <c r="I347" s="1549"/>
      <c r="J347" s="1549"/>
      <c r="K347" s="1549"/>
      <c r="L347" s="1549"/>
      <c r="M347" s="1549"/>
      <c r="N347" s="1549"/>
      <c r="O347" s="1549"/>
      <c r="P347" s="1549"/>
      <c r="Q347" s="1549"/>
      <c r="R347" s="1549"/>
      <c r="S347" s="1549"/>
      <c r="T347" s="1549"/>
      <c r="U347" s="1549"/>
      <c r="V347" s="1549"/>
      <c r="W347" s="1549"/>
      <c r="X347" s="1549"/>
      <c r="Y347" s="1549"/>
      <c r="Z347" s="1549"/>
      <c r="AA347" s="1549"/>
      <c r="AB347" s="1549"/>
      <c r="AC347" s="1549"/>
      <c r="AD347" s="1549"/>
      <c r="AE347" s="1549"/>
      <c r="AF347" s="1549"/>
      <c r="AG347" s="1549"/>
      <c r="AH347" s="1549"/>
    </row>
    <row r="348" spans="1:34" ht="12.75" customHeight="1" x14ac:dyDescent="0.2">
      <c r="A348" s="1549"/>
      <c r="B348" s="1549"/>
      <c r="C348" s="1549"/>
      <c r="D348" s="1549"/>
      <c r="E348" s="1549"/>
      <c r="F348" s="1549"/>
      <c r="G348" s="1549"/>
      <c r="H348" s="1549"/>
      <c r="I348" s="1549"/>
      <c r="J348" s="1549"/>
      <c r="K348" s="1549"/>
      <c r="L348" s="1549"/>
      <c r="M348" s="1549"/>
      <c r="N348" s="1549"/>
      <c r="O348" s="1549"/>
      <c r="P348" s="1549"/>
      <c r="Q348" s="1549"/>
      <c r="R348" s="1549"/>
      <c r="S348" s="1549"/>
      <c r="T348" s="1549"/>
      <c r="U348" s="1549"/>
      <c r="V348" s="1549"/>
      <c r="W348" s="1549"/>
      <c r="X348" s="1549"/>
      <c r="Y348" s="1549"/>
      <c r="Z348" s="1549"/>
      <c r="AA348" s="1549"/>
      <c r="AB348" s="1549"/>
      <c r="AC348" s="1549"/>
      <c r="AD348" s="1549"/>
      <c r="AE348" s="1549"/>
      <c r="AF348" s="1549"/>
      <c r="AG348" s="1549"/>
      <c r="AH348" s="1549"/>
    </row>
    <row r="349" spans="1:34" ht="12.75" customHeight="1" x14ac:dyDescent="0.2">
      <c r="A349" s="1549"/>
      <c r="B349" s="1549"/>
      <c r="C349" s="1549"/>
      <c r="D349" s="1549"/>
      <c r="E349" s="1549"/>
      <c r="F349" s="1549"/>
      <c r="G349" s="1549"/>
      <c r="H349" s="1549"/>
      <c r="I349" s="1549"/>
      <c r="J349" s="1549"/>
      <c r="K349" s="1549"/>
      <c r="L349" s="1549"/>
      <c r="M349" s="1549"/>
      <c r="N349" s="1549"/>
      <c r="O349" s="1549"/>
      <c r="P349" s="1549"/>
      <c r="Q349" s="1549"/>
      <c r="R349" s="1549"/>
      <c r="S349" s="1549"/>
      <c r="T349" s="1549"/>
      <c r="U349" s="1549"/>
      <c r="V349" s="1549"/>
      <c r="W349" s="1549"/>
      <c r="X349" s="1549"/>
      <c r="Y349" s="1549"/>
      <c r="Z349" s="1549"/>
      <c r="AA349" s="1549"/>
      <c r="AB349" s="1549"/>
      <c r="AC349" s="1549"/>
      <c r="AD349" s="1549"/>
      <c r="AE349" s="1549"/>
      <c r="AF349" s="1549"/>
      <c r="AG349" s="1549"/>
      <c r="AH349" s="1549"/>
    </row>
    <row r="350" spans="1:34" ht="12.75" customHeight="1" x14ac:dyDescent="0.2">
      <c r="A350" s="1549"/>
      <c r="B350" s="1549"/>
      <c r="C350" s="1549"/>
      <c r="D350" s="1549"/>
      <c r="E350" s="1549"/>
      <c r="F350" s="1549"/>
      <c r="G350" s="1549"/>
      <c r="H350" s="1549"/>
      <c r="I350" s="1549"/>
      <c r="J350" s="1549"/>
      <c r="K350" s="1549"/>
      <c r="L350" s="1549"/>
      <c r="M350" s="1549"/>
      <c r="N350" s="1549"/>
      <c r="O350" s="1549"/>
      <c r="P350" s="1549"/>
      <c r="Q350" s="1549"/>
      <c r="R350" s="1549"/>
      <c r="S350" s="1549"/>
      <c r="T350" s="1549"/>
      <c r="U350" s="1549"/>
      <c r="V350" s="1549"/>
      <c r="W350" s="1549"/>
      <c r="X350" s="1549"/>
      <c r="Y350" s="1549"/>
      <c r="Z350" s="1549"/>
      <c r="AA350" s="1549"/>
      <c r="AB350" s="1549"/>
      <c r="AC350" s="1549"/>
      <c r="AD350" s="1549"/>
      <c r="AE350" s="1549"/>
      <c r="AF350" s="1549"/>
      <c r="AG350" s="1549"/>
      <c r="AH350" s="1549"/>
    </row>
    <row r="351" spans="1:34" ht="12.75" customHeight="1" x14ac:dyDescent="0.2">
      <c r="A351" s="1549"/>
      <c r="B351" s="1549"/>
      <c r="C351" s="1549"/>
      <c r="D351" s="1549"/>
      <c r="E351" s="1549"/>
      <c r="F351" s="1549"/>
      <c r="G351" s="1549"/>
      <c r="H351" s="1549"/>
      <c r="I351" s="1549"/>
      <c r="J351" s="1549"/>
      <c r="K351" s="1549"/>
      <c r="L351" s="1549"/>
      <c r="M351" s="1549"/>
      <c r="N351" s="1549"/>
      <c r="O351" s="1549"/>
      <c r="P351" s="1549"/>
      <c r="Q351" s="1549"/>
      <c r="R351" s="1549"/>
      <c r="S351" s="1549"/>
      <c r="T351" s="1549"/>
      <c r="U351" s="1549"/>
      <c r="V351" s="1549"/>
      <c r="W351" s="1549"/>
      <c r="X351" s="1549"/>
      <c r="Y351" s="1549"/>
      <c r="Z351" s="1549"/>
      <c r="AA351" s="1549"/>
      <c r="AB351" s="1549"/>
      <c r="AC351" s="1549"/>
      <c r="AD351" s="1549"/>
      <c r="AE351" s="1549"/>
      <c r="AF351" s="1549"/>
      <c r="AG351" s="1549"/>
      <c r="AH351" s="1549"/>
    </row>
    <row r="352" spans="1:34" ht="12.75" customHeight="1" x14ac:dyDescent="0.2">
      <c r="A352" s="1549"/>
      <c r="B352" s="1549"/>
      <c r="C352" s="1549"/>
      <c r="D352" s="1549"/>
      <c r="E352" s="1549"/>
      <c r="F352" s="1549"/>
      <c r="G352" s="1549"/>
      <c r="H352" s="1549"/>
      <c r="I352" s="1549"/>
      <c r="J352" s="1549"/>
      <c r="K352" s="1549"/>
      <c r="L352" s="1549"/>
      <c r="M352" s="1549"/>
      <c r="N352" s="1549"/>
      <c r="O352" s="1549"/>
      <c r="P352" s="1549"/>
      <c r="Q352" s="1549"/>
      <c r="R352" s="1549"/>
      <c r="S352" s="1549"/>
      <c r="T352" s="1549"/>
      <c r="U352" s="1549"/>
      <c r="V352" s="1549"/>
      <c r="W352" s="1549"/>
      <c r="X352" s="1549"/>
      <c r="Y352" s="1549"/>
      <c r="Z352" s="1549"/>
      <c r="AA352" s="1549"/>
      <c r="AB352" s="1549"/>
      <c r="AC352" s="1549"/>
      <c r="AD352" s="1549"/>
      <c r="AE352" s="1549"/>
      <c r="AF352" s="1549"/>
      <c r="AG352" s="1549"/>
      <c r="AH352" s="1549"/>
    </row>
    <row r="353" spans="1:34" ht="12.75" customHeight="1" x14ac:dyDescent="0.2">
      <c r="A353" s="1549"/>
      <c r="B353" s="1549"/>
      <c r="C353" s="1549"/>
      <c r="D353" s="1549"/>
      <c r="E353" s="1549"/>
      <c r="F353" s="1549"/>
      <c r="G353" s="1549"/>
      <c r="H353" s="1549"/>
      <c r="I353" s="1549"/>
      <c r="J353" s="1549"/>
      <c r="K353" s="1549"/>
      <c r="L353" s="1549"/>
      <c r="M353" s="1549"/>
      <c r="N353" s="1549"/>
      <c r="O353" s="1549"/>
      <c r="P353" s="1549"/>
      <c r="Q353" s="1549"/>
      <c r="R353" s="1549"/>
      <c r="S353" s="1549"/>
      <c r="T353" s="1549"/>
      <c r="U353" s="1549"/>
      <c r="V353" s="1549"/>
      <c r="W353" s="1549"/>
      <c r="X353" s="1549"/>
      <c r="Y353" s="1549"/>
      <c r="Z353" s="1549"/>
      <c r="AA353" s="1549"/>
      <c r="AB353" s="1549"/>
      <c r="AC353" s="1549"/>
      <c r="AD353" s="1549"/>
      <c r="AE353" s="1549"/>
      <c r="AF353" s="1549"/>
      <c r="AG353" s="1549"/>
      <c r="AH353" s="1549"/>
    </row>
    <row r="354" spans="1:34" ht="12.75" customHeight="1" x14ac:dyDescent="0.2">
      <c r="A354" s="1549"/>
      <c r="B354" s="1549"/>
      <c r="C354" s="1549"/>
      <c r="D354" s="1549"/>
      <c r="E354" s="1549"/>
      <c r="F354" s="1549"/>
      <c r="G354" s="1549"/>
      <c r="H354" s="1549"/>
      <c r="I354" s="1549"/>
      <c r="J354" s="1549"/>
      <c r="K354" s="1549"/>
      <c r="L354" s="1549"/>
      <c r="M354" s="1549"/>
      <c r="N354" s="1549"/>
      <c r="O354" s="1549"/>
      <c r="P354" s="1549"/>
      <c r="Q354" s="1549"/>
      <c r="R354" s="1549"/>
      <c r="S354" s="1549"/>
      <c r="T354" s="1549"/>
      <c r="U354" s="1549"/>
      <c r="V354" s="1549"/>
      <c r="W354" s="1549"/>
      <c r="X354" s="1549"/>
      <c r="Y354" s="1549"/>
      <c r="Z354" s="1549"/>
      <c r="AA354" s="1549"/>
      <c r="AB354" s="1549"/>
      <c r="AC354" s="1549"/>
      <c r="AD354" s="1549"/>
      <c r="AE354" s="1549"/>
      <c r="AF354" s="1549"/>
      <c r="AG354" s="1549"/>
      <c r="AH354" s="1549"/>
    </row>
    <row r="355" spans="1:34" ht="12.75" customHeight="1" x14ac:dyDescent="0.2">
      <c r="A355" s="1549"/>
      <c r="B355" s="1549"/>
      <c r="C355" s="1549"/>
      <c r="D355" s="1549"/>
      <c r="E355" s="1549"/>
      <c r="F355" s="1549"/>
      <c r="G355" s="1549"/>
      <c r="H355" s="1549"/>
      <c r="I355" s="1549"/>
      <c r="J355" s="1549"/>
      <c r="K355" s="1549"/>
      <c r="L355" s="1549"/>
      <c r="M355" s="1549"/>
      <c r="N355" s="1549"/>
      <c r="O355" s="1549"/>
      <c r="P355" s="1549"/>
      <c r="Q355" s="1549"/>
      <c r="R355" s="1549"/>
      <c r="S355" s="1549"/>
      <c r="T355" s="1549"/>
      <c r="U355" s="1549"/>
      <c r="V355" s="1549"/>
      <c r="W355" s="1549"/>
      <c r="X355" s="1549"/>
      <c r="Y355" s="1549"/>
      <c r="Z355" s="1549"/>
      <c r="AA355" s="1549"/>
      <c r="AB355" s="1549"/>
      <c r="AC355" s="1549"/>
      <c r="AD355" s="1549"/>
      <c r="AE355" s="1549"/>
      <c r="AF355" s="1549"/>
      <c r="AG355" s="1549"/>
      <c r="AH355" s="1549"/>
    </row>
    <row r="356" spans="1:34" ht="12.75" customHeight="1" x14ac:dyDescent="0.2">
      <c r="A356" s="1549"/>
      <c r="B356" s="1549"/>
      <c r="C356" s="1549"/>
      <c r="D356" s="1549"/>
      <c r="E356" s="1549"/>
      <c r="F356" s="1549"/>
      <c r="G356" s="1549"/>
      <c r="H356" s="1549"/>
      <c r="I356" s="1549"/>
      <c r="J356" s="1549"/>
      <c r="K356" s="1549"/>
      <c r="L356" s="1549"/>
      <c r="M356" s="1549"/>
      <c r="N356" s="1549"/>
      <c r="O356" s="1549"/>
      <c r="P356" s="1549"/>
      <c r="Q356" s="1549"/>
      <c r="R356" s="1549"/>
      <c r="S356" s="1549"/>
      <c r="T356" s="1549"/>
      <c r="U356" s="1549"/>
      <c r="V356" s="1549"/>
      <c r="W356" s="1549"/>
      <c r="X356" s="1549"/>
      <c r="Y356" s="1549"/>
      <c r="Z356" s="1549"/>
      <c r="AA356" s="1549"/>
      <c r="AB356" s="1549"/>
      <c r="AC356" s="1549"/>
      <c r="AD356" s="1549"/>
      <c r="AE356" s="1549"/>
      <c r="AF356" s="1549"/>
      <c r="AG356" s="1549"/>
      <c r="AH356" s="1549"/>
    </row>
    <row r="357" spans="1:34" ht="12.75" customHeight="1" x14ac:dyDescent="0.2">
      <c r="A357" s="1549"/>
      <c r="B357" s="1549"/>
      <c r="C357" s="1549"/>
      <c r="D357" s="1549"/>
      <c r="E357" s="1549"/>
      <c r="F357" s="1549"/>
      <c r="G357" s="1549"/>
      <c r="H357" s="1549"/>
      <c r="I357" s="1549"/>
      <c r="J357" s="1549"/>
      <c r="K357" s="1549"/>
      <c r="L357" s="1549"/>
      <c r="M357" s="1549"/>
      <c r="N357" s="1549"/>
      <c r="O357" s="1549"/>
      <c r="P357" s="1549"/>
      <c r="Q357" s="1549"/>
      <c r="R357" s="1549"/>
      <c r="S357" s="1549"/>
      <c r="T357" s="1549"/>
      <c r="U357" s="1549"/>
      <c r="V357" s="1549"/>
      <c r="W357" s="1549"/>
      <c r="X357" s="1549"/>
      <c r="Y357" s="1549"/>
      <c r="Z357" s="1549"/>
      <c r="AA357" s="1549"/>
      <c r="AB357" s="1549"/>
      <c r="AC357" s="1549"/>
      <c r="AD357" s="1549"/>
      <c r="AE357" s="1549"/>
      <c r="AF357" s="1549"/>
      <c r="AG357" s="1549"/>
      <c r="AH357" s="1549"/>
    </row>
    <row r="358" spans="1:34" ht="12.75" customHeight="1" x14ac:dyDescent="0.2">
      <c r="A358" s="1549"/>
      <c r="B358" s="1549"/>
      <c r="C358" s="1549"/>
      <c r="D358" s="1549"/>
      <c r="E358" s="1549"/>
      <c r="F358" s="1549"/>
      <c r="G358" s="1549"/>
      <c r="H358" s="1549"/>
      <c r="I358" s="1549"/>
      <c r="J358" s="1549"/>
      <c r="K358" s="1549"/>
      <c r="L358" s="1549"/>
      <c r="M358" s="1549"/>
      <c r="N358" s="1549"/>
      <c r="O358" s="1549"/>
      <c r="P358" s="1549"/>
      <c r="Q358" s="1549"/>
      <c r="R358" s="1549"/>
      <c r="S358" s="1549"/>
      <c r="T358" s="1549"/>
      <c r="U358" s="1549"/>
      <c r="V358" s="1549"/>
      <c r="W358" s="1549"/>
      <c r="X358" s="1549"/>
      <c r="Y358" s="1549"/>
      <c r="Z358" s="1549"/>
      <c r="AA358" s="1549"/>
      <c r="AB358" s="1549"/>
      <c r="AC358" s="1549"/>
      <c r="AD358" s="1549"/>
      <c r="AE358" s="1549"/>
      <c r="AF358" s="1549"/>
      <c r="AG358" s="1549"/>
      <c r="AH358" s="1549"/>
    </row>
    <row r="359" spans="1:34" ht="12.75" customHeight="1" x14ac:dyDescent="0.2">
      <c r="A359" s="1549"/>
      <c r="B359" s="1549"/>
      <c r="C359" s="1549"/>
      <c r="D359" s="1549"/>
      <c r="E359" s="1549"/>
      <c r="F359" s="1549"/>
      <c r="G359" s="1549"/>
      <c r="H359" s="1549"/>
      <c r="I359" s="1549"/>
      <c r="J359" s="1549"/>
      <c r="K359" s="1549"/>
      <c r="L359" s="1549"/>
      <c r="M359" s="1549"/>
      <c r="N359" s="1549"/>
      <c r="O359" s="1549"/>
      <c r="P359" s="1549"/>
      <c r="Q359" s="1549"/>
      <c r="R359" s="1549"/>
      <c r="S359" s="1549"/>
      <c r="T359" s="1549"/>
      <c r="U359" s="1549"/>
      <c r="V359" s="1549"/>
      <c r="W359" s="1549"/>
      <c r="X359" s="1549"/>
      <c r="Y359" s="1549"/>
      <c r="Z359" s="1549"/>
      <c r="AA359" s="1549"/>
      <c r="AB359" s="1549"/>
      <c r="AC359" s="1549"/>
      <c r="AD359" s="1549"/>
      <c r="AE359" s="1549"/>
      <c r="AF359" s="1549"/>
      <c r="AG359" s="1549"/>
      <c r="AH359" s="1549"/>
    </row>
    <row r="360" spans="1:34" ht="12.75" customHeight="1" x14ac:dyDescent="0.2">
      <c r="A360" s="1549"/>
      <c r="B360" s="1549"/>
      <c r="C360" s="1549"/>
      <c r="D360" s="1549"/>
      <c r="E360" s="1549"/>
      <c r="F360" s="1549"/>
      <c r="G360" s="1549"/>
      <c r="H360" s="1549"/>
      <c r="I360" s="1549"/>
      <c r="J360" s="1549"/>
      <c r="K360" s="1549"/>
      <c r="L360" s="1549"/>
      <c r="M360" s="1549"/>
      <c r="N360" s="1549"/>
      <c r="O360" s="1549"/>
      <c r="P360" s="1549"/>
      <c r="Q360" s="1549"/>
      <c r="R360" s="1549"/>
      <c r="S360" s="1549"/>
      <c r="T360" s="1549"/>
      <c r="U360" s="1549"/>
      <c r="V360" s="1549"/>
      <c r="W360" s="1549"/>
      <c r="X360" s="1549"/>
      <c r="Y360" s="1549"/>
      <c r="Z360" s="1549"/>
      <c r="AA360" s="1549"/>
      <c r="AB360" s="1549"/>
      <c r="AC360" s="1549"/>
      <c r="AD360" s="1549"/>
      <c r="AE360" s="1549"/>
      <c r="AF360" s="1549"/>
      <c r="AG360" s="1549"/>
      <c r="AH360" s="1549"/>
    </row>
    <row r="361" spans="1:34" ht="12.75" customHeight="1" x14ac:dyDescent="0.2">
      <c r="A361" s="1549"/>
      <c r="B361" s="1549"/>
      <c r="C361" s="1549"/>
      <c r="D361" s="1549"/>
      <c r="E361" s="1549"/>
      <c r="F361" s="1549"/>
      <c r="G361" s="1549"/>
      <c r="H361" s="1549"/>
      <c r="I361" s="1549"/>
      <c r="J361" s="1549"/>
      <c r="K361" s="1549"/>
      <c r="L361" s="1549"/>
      <c r="M361" s="1549"/>
      <c r="N361" s="1549"/>
      <c r="O361" s="1549"/>
      <c r="P361" s="1549"/>
      <c r="Q361" s="1549"/>
      <c r="R361" s="1549"/>
      <c r="S361" s="1549"/>
      <c r="T361" s="1549"/>
      <c r="U361" s="1549"/>
      <c r="V361" s="1549"/>
      <c r="W361" s="1549"/>
      <c r="X361" s="1549"/>
      <c r="Y361" s="1549"/>
      <c r="Z361" s="1549"/>
      <c r="AA361" s="1549"/>
      <c r="AB361" s="1549"/>
      <c r="AC361" s="1549"/>
      <c r="AD361" s="1549"/>
      <c r="AE361" s="1549"/>
      <c r="AF361" s="1549"/>
      <c r="AG361" s="1549"/>
      <c r="AH361" s="1549"/>
    </row>
    <row r="362" spans="1:34" ht="12.75" customHeight="1" x14ac:dyDescent="0.2">
      <c r="A362" s="1549"/>
      <c r="B362" s="1549"/>
      <c r="C362" s="1549"/>
      <c r="D362" s="1549"/>
      <c r="E362" s="1549"/>
      <c r="F362" s="1549"/>
      <c r="G362" s="1549"/>
      <c r="H362" s="1549"/>
      <c r="I362" s="1549"/>
      <c r="J362" s="1549"/>
      <c r="K362" s="1549"/>
      <c r="L362" s="1549"/>
      <c r="M362" s="1549"/>
      <c r="N362" s="1549"/>
      <c r="O362" s="1549"/>
      <c r="P362" s="1549"/>
      <c r="Q362" s="1549"/>
      <c r="R362" s="1549"/>
      <c r="S362" s="1549"/>
      <c r="T362" s="1549"/>
      <c r="U362" s="1549"/>
      <c r="V362" s="1549"/>
      <c r="W362" s="1549"/>
      <c r="X362" s="1549"/>
      <c r="Y362" s="1549"/>
      <c r="Z362" s="1549"/>
      <c r="AA362" s="1549"/>
      <c r="AB362" s="1549"/>
      <c r="AC362" s="1549"/>
      <c r="AD362" s="1549"/>
      <c r="AE362" s="1549"/>
      <c r="AF362" s="1549"/>
      <c r="AG362" s="1549"/>
      <c r="AH362" s="1549"/>
    </row>
    <row r="363" spans="1:34" ht="12.75" customHeight="1" x14ac:dyDescent="0.2">
      <c r="A363" s="1549"/>
      <c r="B363" s="1549"/>
      <c r="C363" s="1549"/>
      <c r="D363" s="1549"/>
      <c r="E363" s="1549"/>
      <c r="F363" s="1549"/>
      <c r="G363" s="1549"/>
      <c r="H363" s="1549"/>
      <c r="I363" s="1549"/>
      <c r="J363" s="1549"/>
      <c r="K363" s="1549"/>
      <c r="L363" s="1549"/>
      <c r="M363" s="1549"/>
      <c r="N363" s="1549"/>
      <c r="O363" s="1549"/>
      <c r="P363" s="1549"/>
      <c r="Q363" s="1549"/>
      <c r="R363" s="1549"/>
      <c r="S363" s="1549"/>
      <c r="T363" s="1549"/>
      <c r="U363" s="1549"/>
      <c r="V363" s="1549"/>
      <c r="W363" s="1549"/>
      <c r="X363" s="1549"/>
      <c r="Y363" s="1549"/>
      <c r="Z363" s="1549"/>
      <c r="AA363" s="1549"/>
      <c r="AB363" s="1549"/>
      <c r="AC363" s="1549"/>
      <c r="AD363" s="1549"/>
      <c r="AE363" s="1549"/>
      <c r="AF363" s="1549"/>
      <c r="AG363" s="1549"/>
      <c r="AH363" s="1549"/>
    </row>
    <row r="364" spans="1:34" ht="12.75" customHeight="1" x14ac:dyDescent="0.2">
      <c r="A364" s="1549"/>
      <c r="B364" s="1549"/>
      <c r="C364" s="1549"/>
      <c r="D364" s="1549"/>
      <c r="E364" s="1549"/>
      <c r="F364" s="1549"/>
      <c r="G364" s="1549"/>
      <c r="H364" s="1549"/>
      <c r="I364" s="1549"/>
      <c r="J364" s="1549"/>
      <c r="K364" s="1549"/>
      <c r="L364" s="1549"/>
      <c r="M364" s="1549"/>
      <c r="N364" s="1549"/>
      <c r="O364" s="1549"/>
      <c r="P364" s="1549"/>
      <c r="Q364" s="1549"/>
      <c r="R364" s="1549"/>
      <c r="S364" s="1549"/>
      <c r="T364" s="1549"/>
      <c r="U364" s="1549"/>
      <c r="V364" s="1549"/>
      <c r="W364" s="1549"/>
      <c r="X364" s="1549"/>
      <c r="Y364" s="1549"/>
      <c r="Z364" s="1549"/>
      <c r="AA364" s="1549"/>
      <c r="AB364" s="1549"/>
      <c r="AC364" s="1549"/>
      <c r="AD364" s="1549"/>
      <c r="AE364" s="1549"/>
      <c r="AF364" s="1549"/>
      <c r="AG364" s="1549"/>
      <c r="AH364" s="1549"/>
    </row>
    <row r="365" spans="1:34" ht="12.75" customHeight="1" x14ac:dyDescent="0.2">
      <c r="A365" s="1549"/>
      <c r="B365" s="1549"/>
      <c r="C365" s="1549"/>
      <c r="D365" s="1549"/>
      <c r="E365" s="1549"/>
      <c r="F365" s="1549"/>
      <c r="G365" s="1549"/>
      <c r="H365" s="1549"/>
      <c r="I365" s="1549"/>
      <c r="J365" s="1549"/>
      <c r="K365" s="1549"/>
      <c r="L365" s="1549"/>
      <c r="M365" s="1549"/>
      <c r="N365" s="1549"/>
      <c r="O365" s="1549"/>
      <c r="P365" s="1549"/>
      <c r="Q365" s="1549"/>
      <c r="R365" s="1549"/>
      <c r="S365" s="1549"/>
      <c r="T365" s="1549"/>
      <c r="U365" s="1549"/>
      <c r="V365" s="1549"/>
      <c r="W365" s="1549"/>
      <c r="X365" s="1549"/>
      <c r="Y365" s="1549"/>
      <c r="Z365" s="1549"/>
      <c r="AA365" s="1549"/>
      <c r="AB365" s="1549"/>
      <c r="AC365" s="1549"/>
      <c r="AD365" s="1549"/>
      <c r="AE365" s="1549"/>
      <c r="AF365" s="1549"/>
      <c r="AG365" s="1549"/>
      <c r="AH365" s="1549"/>
    </row>
    <row r="366" spans="1:34" ht="12.75" customHeight="1" x14ac:dyDescent="0.2">
      <c r="A366" s="1549"/>
      <c r="B366" s="1549"/>
      <c r="C366" s="1549"/>
      <c r="D366" s="1549"/>
      <c r="E366" s="1549"/>
      <c r="F366" s="1549"/>
      <c r="G366" s="1549"/>
      <c r="H366" s="1549"/>
      <c r="I366" s="1549"/>
      <c r="J366" s="1549"/>
      <c r="K366" s="1549"/>
      <c r="L366" s="1549"/>
      <c r="M366" s="1549"/>
      <c r="N366" s="1549"/>
      <c r="O366" s="1549"/>
      <c r="P366" s="1549"/>
      <c r="Q366" s="1549"/>
      <c r="R366" s="1549"/>
      <c r="S366" s="1549"/>
      <c r="T366" s="1549"/>
      <c r="U366" s="1549"/>
      <c r="V366" s="1549"/>
      <c r="W366" s="1549"/>
      <c r="X366" s="1549"/>
      <c r="Y366" s="1549"/>
      <c r="Z366" s="1549"/>
      <c r="AA366" s="1549"/>
      <c r="AB366" s="1549"/>
      <c r="AC366" s="1549"/>
      <c r="AD366" s="1549"/>
      <c r="AE366" s="1549"/>
      <c r="AF366" s="1549"/>
      <c r="AG366" s="1549"/>
      <c r="AH366" s="1549"/>
    </row>
    <row r="367" spans="1:34" ht="12.75" customHeight="1" x14ac:dyDescent="0.2">
      <c r="A367" s="1549"/>
      <c r="B367" s="1549"/>
      <c r="C367" s="1549"/>
      <c r="D367" s="1549"/>
      <c r="E367" s="1549"/>
      <c r="F367" s="1549"/>
      <c r="G367" s="1549"/>
      <c r="H367" s="1549"/>
      <c r="I367" s="1549"/>
      <c r="J367" s="1549"/>
      <c r="K367" s="1549"/>
      <c r="L367" s="1549"/>
      <c r="M367" s="1549"/>
      <c r="N367" s="1549"/>
      <c r="O367" s="1549"/>
      <c r="P367" s="1549"/>
      <c r="Q367" s="1549"/>
      <c r="R367" s="1549"/>
      <c r="S367" s="1549"/>
      <c r="T367" s="1549"/>
      <c r="U367" s="1549"/>
      <c r="V367" s="1549"/>
      <c r="W367" s="1549"/>
      <c r="X367" s="1549"/>
      <c r="Y367" s="1549"/>
      <c r="Z367" s="1549"/>
      <c r="AA367" s="1549"/>
      <c r="AB367" s="1549"/>
      <c r="AC367" s="1549"/>
      <c r="AD367" s="1549"/>
      <c r="AE367" s="1549"/>
      <c r="AF367" s="1549"/>
      <c r="AG367" s="1549"/>
      <c r="AH367" s="1549"/>
    </row>
    <row r="368" spans="1:34" ht="12.75" customHeight="1" x14ac:dyDescent="0.2">
      <c r="A368" s="1549"/>
      <c r="B368" s="1549"/>
      <c r="C368" s="1549"/>
      <c r="D368" s="1549"/>
      <c r="E368" s="1549"/>
      <c r="F368" s="1549"/>
      <c r="G368" s="1549"/>
      <c r="H368" s="1549"/>
      <c r="I368" s="1549"/>
      <c r="J368" s="1549"/>
      <c r="K368" s="1549"/>
      <c r="L368" s="1549"/>
      <c r="M368" s="1549"/>
      <c r="N368" s="1549"/>
      <c r="O368" s="1549"/>
      <c r="P368" s="1549"/>
      <c r="Q368" s="1549"/>
      <c r="R368" s="1549"/>
      <c r="S368" s="1549"/>
      <c r="T368" s="1549"/>
      <c r="U368" s="1549"/>
      <c r="V368" s="1549"/>
      <c r="W368" s="1549"/>
      <c r="X368" s="1549"/>
      <c r="Y368" s="1549"/>
      <c r="Z368" s="1549"/>
      <c r="AA368" s="1549"/>
      <c r="AB368" s="1549"/>
      <c r="AC368" s="1549"/>
      <c r="AD368" s="1549"/>
      <c r="AE368" s="1549"/>
      <c r="AF368" s="1549"/>
      <c r="AG368" s="1549"/>
      <c r="AH368" s="1549"/>
    </row>
    <row r="369" spans="1:34" ht="12.75" customHeight="1" x14ac:dyDescent="0.2">
      <c r="A369" s="1549"/>
      <c r="B369" s="1549"/>
      <c r="C369" s="1549"/>
      <c r="D369" s="1549"/>
      <c r="E369" s="1549"/>
      <c r="F369" s="1549"/>
      <c r="G369" s="1549"/>
      <c r="H369" s="1549"/>
      <c r="I369" s="1549"/>
      <c r="J369" s="1549"/>
      <c r="K369" s="1549"/>
      <c r="L369" s="1549"/>
      <c r="M369" s="1549"/>
      <c r="N369" s="1549"/>
      <c r="O369" s="1549"/>
      <c r="P369" s="1549"/>
      <c r="Q369" s="1549"/>
      <c r="R369" s="1549"/>
      <c r="S369" s="1549"/>
      <c r="T369" s="1549"/>
      <c r="U369" s="1549"/>
      <c r="V369" s="1549"/>
      <c r="W369" s="1549"/>
      <c r="X369" s="1549"/>
      <c r="Y369" s="1549"/>
      <c r="Z369" s="1549"/>
      <c r="AA369" s="1549"/>
      <c r="AB369" s="1549"/>
      <c r="AC369" s="1549"/>
      <c r="AD369" s="1549"/>
      <c r="AE369" s="1549"/>
      <c r="AF369" s="1549"/>
      <c r="AG369" s="1549"/>
      <c r="AH369" s="1549"/>
    </row>
    <row r="370" spans="1:34" ht="12.75" customHeight="1" x14ac:dyDescent="0.2">
      <c r="A370" s="1549"/>
      <c r="B370" s="1549"/>
      <c r="C370" s="1549"/>
      <c r="D370" s="1549"/>
      <c r="E370" s="1549"/>
      <c r="F370" s="1549"/>
      <c r="G370" s="1549"/>
      <c r="H370" s="1549"/>
      <c r="I370" s="1549"/>
      <c r="J370" s="1549"/>
      <c r="K370" s="1549"/>
      <c r="L370" s="1549"/>
      <c r="M370" s="1549"/>
      <c r="N370" s="1549"/>
      <c r="O370" s="1549"/>
      <c r="P370" s="1549"/>
      <c r="Q370" s="1549"/>
      <c r="R370" s="1549"/>
      <c r="S370" s="1549"/>
      <c r="T370" s="1549"/>
      <c r="U370" s="1549"/>
      <c r="V370" s="1549"/>
      <c r="W370" s="1549"/>
      <c r="X370" s="1549"/>
      <c r="Y370" s="1549"/>
      <c r="Z370" s="1549"/>
      <c r="AA370" s="1549"/>
      <c r="AB370" s="1549"/>
      <c r="AC370" s="1549"/>
      <c r="AD370" s="1549"/>
      <c r="AE370" s="1549"/>
      <c r="AF370" s="1549"/>
      <c r="AG370" s="1549"/>
      <c r="AH370" s="1549"/>
    </row>
    <row r="371" spans="1:34" ht="12.75" customHeight="1" x14ac:dyDescent="0.2">
      <c r="A371" s="1549"/>
      <c r="B371" s="1549"/>
      <c r="C371" s="1549"/>
      <c r="D371" s="1549"/>
      <c r="E371" s="1549"/>
      <c r="F371" s="1549"/>
      <c r="G371" s="1549"/>
      <c r="H371" s="1549"/>
      <c r="I371" s="1549"/>
      <c r="J371" s="1549"/>
      <c r="K371" s="1549"/>
      <c r="L371" s="1549"/>
      <c r="M371" s="1549"/>
      <c r="N371" s="1549"/>
      <c r="O371" s="1549"/>
      <c r="P371" s="1549"/>
      <c r="Q371" s="1549"/>
      <c r="R371" s="1549"/>
      <c r="S371" s="1549"/>
      <c r="T371" s="1549"/>
      <c r="U371" s="1549"/>
      <c r="V371" s="1549"/>
      <c r="W371" s="1549"/>
      <c r="X371" s="1549"/>
      <c r="Y371" s="1549"/>
      <c r="Z371" s="1549"/>
      <c r="AA371" s="1549"/>
      <c r="AB371" s="1549"/>
      <c r="AC371" s="1549"/>
      <c r="AD371" s="1549"/>
      <c r="AE371" s="1549"/>
      <c r="AF371" s="1549"/>
      <c r="AG371" s="1549"/>
      <c r="AH371" s="1549"/>
    </row>
    <row r="372" spans="1:34" ht="12.75" customHeight="1" x14ac:dyDescent="0.2">
      <c r="A372" s="1549"/>
      <c r="B372" s="1549"/>
      <c r="C372" s="1549"/>
      <c r="D372" s="1549"/>
      <c r="E372" s="1549"/>
      <c r="F372" s="1549"/>
      <c r="G372" s="1549"/>
      <c r="H372" s="1549"/>
      <c r="I372" s="1549"/>
      <c r="J372" s="1549"/>
      <c r="K372" s="1549"/>
      <c r="L372" s="1549"/>
      <c r="M372" s="1549"/>
      <c r="N372" s="1549"/>
      <c r="O372" s="1549"/>
      <c r="P372" s="1549"/>
      <c r="Q372" s="1549"/>
      <c r="R372" s="1549"/>
      <c r="S372" s="1549"/>
      <c r="T372" s="1549"/>
      <c r="U372" s="1549"/>
      <c r="V372" s="1549"/>
      <c r="W372" s="1549"/>
      <c r="X372" s="1549"/>
      <c r="Y372" s="1549"/>
      <c r="Z372" s="1549"/>
      <c r="AA372" s="1549"/>
      <c r="AB372" s="1549"/>
      <c r="AC372" s="1549"/>
      <c r="AD372" s="1549"/>
      <c r="AE372" s="1549"/>
      <c r="AF372" s="1549"/>
      <c r="AG372" s="1549"/>
      <c r="AH372" s="1549"/>
    </row>
    <row r="373" spans="1:34" ht="12.75" customHeight="1" x14ac:dyDescent="0.2">
      <c r="A373" s="1549"/>
      <c r="B373" s="1549"/>
      <c r="C373" s="1549"/>
      <c r="D373" s="1549"/>
      <c r="E373" s="1549"/>
      <c r="F373" s="1549"/>
      <c r="G373" s="1549"/>
      <c r="H373" s="1549"/>
      <c r="I373" s="1549"/>
      <c r="J373" s="1549"/>
      <c r="K373" s="1549"/>
      <c r="L373" s="1549"/>
      <c r="M373" s="1549"/>
      <c r="N373" s="1549"/>
      <c r="O373" s="1549"/>
      <c r="P373" s="1549"/>
      <c r="Q373" s="1549"/>
      <c r="R373" s="1549"/>
      <c r="S373" s="1549"/>
      <c r="T373" s="1549"/>
      <c r="U373" s="1549"/>
      <c r="V373" s="1549"/>
      <c r="W373" s="1549"/>
      <c r="X373" s="1549"/>
      <c r="Y373" s="1549"/>
      <c r="Z373" s="1549"/>
      <c r="AA373" s="1549"/>
      <c r="AB373" s="1549"/>
      <c r="AC373" s="1549"/>
      <c r="AD373" s="1549"/>
      <c r="AE373" s="1549"/>
      <c r="AF373" s="1549"/>
      <c r="AG373" s="1549"/>
      <c r="AH373" s="1549"/>
    </row>
    <row r="374" spans="1:34" ht="12.75" customHeight="1" x14ac:dyDescent="0.2">
      <c r="A374" s="1549"/>
      <c r="B374" s="1549"/>
      <c r="C374" s="1549"/>
      <c r="D374" s="1549"/>
      <c r="E374" s="1549"/>
      <c r="F374" s="1549"/>
      <c r="G374" s="1549"/>
      <c r="H374" s="1549"/>
      <c r="I374" s="1549"/>
      <c r="J374" s="1549"/>
      <c r="K374" s="1549"/>
      <c r="L374" s="1549"/>
      <c r="M374" s="1549"/>
      <c r="N374" s="1549"/>
      <c r="O374" s="1549"/>
      <c r="P374" s="1549"/>
      <c r="Q374" s="1549"/>
      <c r="R374" s="1549"/>
      <c r="S374" s="1549"/>
      <c r="T374" s="1549"/>
      <c r="U374" s="1549"/>
      <c r="V374" s="1549"/>
      <c r="W374" s="1549"/>
      <c r="X374" s="1549"/>
      <c r="Y374" s="1549"/>
      <c r="Z374" s="1549"/>
      <c r="AA374" s="1549"/>
      <c r="AB374" s="1549"/>
      <c r="AC374" s="1549"/>
      <c r="AD374" s="1549"/>
      <c r="AE374" s="1549"/>
      <c r="AF374" s="1549"/>
      <c r="AG374" s="1549"/>
      <c r="AH374" s="1549"/>
    </row>
    <row r="375" spans="1:34" ht="12.75" customHeight="1" x14ac:dyDescent="0.2">
      <c r="A375" s="1549"/>
      <c r="B375" s="1549"/>
      <c r="C375" s="1549"/>
      <c r="D375" s="1549"/>
      <c r="E375" s="1549"/>
      <c r="F375" s="1549"/>
      <c r="G375" s="1549"/>
      <c r="H375" s="1549"/>
      <c r="I375" s="1549"/>
      <c r="J375" s="1549"/>
      <c r="K375" s="1549"/>
      <c r="L375" s="1549"/>
      <c r="M375" s="1549"/>
      <c r="N375" s="1549"/>
      <c r="O375" s="1549"/>
      <c r="P375" s="1549"/>
      <c r="Q375" s="1549"/>
      <c r="R375" s="1549"/>
      <c r="S375" s="1549"/>
      <c r="T375" s="1549"/>
      <c r="U375" s="1549"/>
      <c r="V375" s="1549"/>
      <c r="W375" s="1549"/>
      <c r="X375" s="1549"/>
      <c r="Y375" s="1549"/>
      <c r="Z375" s="1549"/>
      <c r="AA375" s="1549"/>
      <c r="AB375" s="1549"/>
      <c r="AC375" s="1549"/>
      <c r="AD375" s="1549"/>
      <c r="AE375" s="1549"/>
      <c r="AF375" s="1549"/>
      <c r="AG375" s="1549"/>
      <c r="AH375" s="1549"/>
    </row>
    <row r="376" spans="1:34" ht="12.75" customHeight="1" x14ac:dyDescent="0.2">
      <c r="A376" s="1549"/>
      <c r="B376" s="1549"/>
      <c r="C376" s="1549"/>
      <c r="D376" s="1549"/>
      <c r="E376" s="1549"/>
      <c r="F376" s="1549"/>
      <c r="G376" s="1549"/>
      <c r="H376" s="1549"/>
      <c r="I376" s="1549"/>
      <c r="J376" s="1549"/>
      <c r="K376" s="1549"/>
      <c r="L376" s="1549"/>
      <c r="M376" s="1549"/>
      <c r="N376" s="1549"/>
      <c r="O376" s="1549"/>
      <c r="P376" s="1549"/>
      <c r="Q376" s="1549"/>
      <c r="R376" s="1549"/>
      <c r="S376" s="1549"/>
      <c r="T376" s="1549"/>
      <c r="U376" s="1549"/>
      <c r="V376" s="1549"/>
      <c r="W376" s="1549"/>
      <c r="X376" s="1549"/>
      <c r="Y376" s="1549"/>
      <c r="Z376" s="1549"/>
      <c r="AA376" s="1549"/>
      <c r="AB376" s="1549"/>
      <c r="AC376" s="1549"/>
      <c r="AD376" s="1549"/>
      <c r="AE376" s="1549"/>
      <c r="AF376" s="1549"/>
      <c r="AG376" s="1549"/>
      <c r="AH376" s="1549"/>
    </row>
    <row r="377" spans="1:34" ht="12.75" customHeight="1" x14ac:dyDescent="0.2">
      <c r="A377" s="1549"/>
      <c r="B377" s="1549"/>
      <c r="C377" s="1549"/>
      <c r="D377" s="1549"/>
      <c r="E377" s="1549"/>
      <c r="F377" s="1549"/>
      <c r="G377" s="1549"/>
      <c r="H377" s="1549"/>
      <c r="I377" s="1549"/>
      <c r="J377" s="1549"/>
      <c r="K377" s="1549"/>
      <c r="L377" s="1549"/>
      <c r="M377" s="1549"/>
      <c r="N377" s="1549"/>
      <c r="O377" s="1549"/>
      <c r="P377" s="1549"/>
      <c r="Q377" s="1549"/>
      <c r="R377" s="1549"/>
      <c r="S377" s="1549"/>
      <c r="T377" s="1549"/>
      <c r="U377" s="1549"/>
      <c r="V377" s="1549"/>
      <c r="W377" s="1549"/>
      <c r="X377" s="1549"/>
      <c r="Y377" s="1549"/>
      <c r="Z377" s="1549"/>
      <c r="AA377" s="1549"/>
      <c r="AB377" s="1549"/>
      <c r="AC377" s="1549"/>
      <c r="AD377" s="1549"/>
      <c r="AE377" s="1549"/>
      <c r="AF377" s="1549"/>
      <c r="AG377" s="1549"/>
      <c r="AH377" s="1549"/>
    </row>
    <row r="378" spans="1:34" ht="12.75" customHeight="1" x14ac:dyDescent="0.2">
      <c r="A378" s="1549"/>
      <c r="B378" s="1549"/>
      <c r="C378" s="1549"/>
      <c r="D378" s="1549"/>
      <c r="E378" s="1549"/>
      <c r="F378" s="1549"/>
      <c r="G378" s="1549"/>
      <c r="H378" s="1549"/>
      <c r="I378" s="1549"/>
      <c r="J378" s="1549"/>
      <c r="K378" s="1549"/>
      <c r="L378" s="1549"/>
      <c r="M378" s="1549"/>
      <c r="N378" s="1549"/>
      <c r="O378" s="1549"/>
      <c r="P378" s="1549"/>
      <c r="Q378" s="1549"/>
      <c r="R378" s="1549"/>
      <c r="S378" s="1549"/>
      <c r="T378" s="1549"/>
      <c r="U378" s="1549"/>
      <c r="V378" s="1549"/>
      <c r="W378" s="1549"/>
      <c r="X378" s="1549"/>
      <c r="Y378" s="1549"/>
      <c r="Z378" s="1549"/>
      <c r="AA378" s="1549"/>
      <c r="AB378" s="1549"/>
      <c r="AC378" s="1549"/>
      <c r="AD378" s="1549"/>
      <c r="AE378" s="1549"/>
      <c r="AF378" s="1549"/>
      <c r="AG378" s="1549"/>
      <c r="AH378" s="1549"/>
    </row>
    <row r="379" spans="1:34" ht="12.75" customHeight="1" x14ac:dyDescent="0.2">
      <c r="A379" s="1549"/>
      <c r="B379" s="1549"/>
      <c r="C379" s="1549"/>
      <c r="D379" s="1549"/>
      <c r="E379" s="1549"/>
      <c r="F379" s="1549"/>
      <c r="G379" s="1549"/>
      <c r="H379" s="1549"/>
      <c r="I379" s="1549"/>
      <c r="J379" s="1549"/>
      <c r="K379" s="1549"/>
      <c r="L379" s="1549"/>
      <c r="M379" s="1549"/>
      <c r="N379" s="1549"/>
      <c r="O379" s="1549"/>
      <c r="P379" s="1549"/>
      <c r="Q379" s="1549"/>
      <c r="R379" s="1549"/>
      <c r="S379" s="1549"/>
      <c r="T379" s="1549"/>
      <c r="U379" s="1549"/>
      <c r="V379" s="1549"/>
      <c r="W379" s="1549"/>
      <c r="X379" s="1549"/>
      <c r="Y379" s="1549"/>
      <c r="Z379" s="1549"/>
      <c r="AA379" s="1549"/>
      <c r="AB379" s="1549"/>
      <c r="AC379" s="1549"/>
      <c r="AD379" s="1549"/>
      <c r="AE379" s="1549"/>
      <c r="AF379" s="1549"/>
      <c r="AG379" s="1549"/>
      <c r="AH379" s="1549"/>
    </row>
    <row r="380" spans="1:34" ht="12.75" customHeight="1" x14ac:dyDescent="0.2">
      <c r="A380" s="1549"/>
      <c r="B380" s="1549"/>
      <c r="C380" s="1549"/>
      <c r="D380" s="1549"/>
      <c r="E380" s="1549"/>
      <c r="F380" s="1549"/>
      <c r="G380" s="1549"/>
      <c r="H380" s="1549"/>
      <c r="I380" s="1549"/>
      <c r="J380" s="1549"/>
      <c r="K380" s="1549"/>
      <c r="L380" s="1549"/>
      <c r="M380" s="1549"/>
      <c r="N380" s="1549"/>
      <c r="O380" s="1549"/>
      <c r="P380" s="1549"/>
      <c r="Q380" s="1549"/>
      <c r="R380" s="1549"/>
      <c r="S380" s="1549"/>
      <c r="T380" s="1549"/>
      <c r="U380" s="1549"/>
      <c r="V380" s="1549"/>
      <c r="W380" s="1549"/>
      <c r="X380" s="1549"/>
      <c r="Y380" s="1549"/>
      <c r="Z380" s="1549"/>
      <c r="AA380" s="1549"/>
      <c r="AB380" s="1549"/>
      <c r="AC380" s="1549"/>
      <c r="AD380" s="1549"/>
      <c r="AE380" s="1549"/>
      <c r="AF380" s="1549"/>
      <c r="AG380" s="1549"/>
      <c r="AH380" s="1549"/>
    </row>
    <row r="381" spans="1:34" ht="12.75" customHeight="1" x14ac:dyDescent="0.2">
      <c r="A381" s="1549"/>
      <c r="B381" s="1549"/>
      <c r="C381" s="1549"/>
      <c r="D381" s="1549"/>
      <c r="E381" s="1549"/>
      <c r="F381" s="1549"/>
      <c r="G381" s="1549"/>
      <c r="H381" s="1549"/>
      <c r="I381" s="1549"/>
      <c r="J381" s="1549"/>
      <c r="K381" s="1549"/>
      <c r="L381" s="1549"/>
      <c r="M381" s="1549"/>
      <c r="N381" s="1549"/>
      <c r="O381" s="1549"/>
      <c r="P381" s="1549"/>
      <c r="Q381" s="1549"/>
      <c r="R381" s="1549"/>
      <c r="S381" s="1549"/>
      <c r="T381" s="1549"/>
      <c r="U381" s="1549"/>
      <c r="V381" s="1549"/>
      <c r="W381" s="1549"/>
      <c r="X381" s="1549"/>
      <c r="Y381" s="1549"/>
      <c r="Z381" s="1549"/>
      <c r="AA381" s="1549"/>
      <c r="AB381" s="1549"/>
      <c r="AC381" s="1549"/>
      <c r="AD381" s="1549"/>
      <c r="AE381" s="1549"/>
      <c r="AF381" s="1549"/>
      <c r="AG381" s="1549"/>
      <c r="AH381" s="1549"/>
    </row>
    <row r="382" spans="1:34" ht="12.75" customHeight="1" x14ac:dyDescent="0.2">
      <c r="A382" s="1549"/>
      <c r="B382" s="1549"/>
      <c r="C382" s="1549"/>
      <c r="D382" s="1549"/>
      <c r="E382" s="1549"/>
      <c r="F382" s="1549"/>
      <c r="G382" s="1549"/>
      <c r="H382" s="1549"/>
      <c r="I382" s="1549"/>
      <c r="J382" s="1549"/>
      <c r="K382" s="1549"/>
      <c r="L382" s="1549"/>
      <c r="M382" s="1549"/>
      <c r="N382" s="1549"/>
      <c r="O382" s="1549"/>
      <c r="P382" s="1549"/>
      <c r="Q382" s="1549"/>
      <c r="R382" s="1549"/>
      <c r="S382" s="1549"/>
      <c r="T382" s="1549"/>
      <c r="U382" s="1549"/>
      <c r="V382" s="1549"/>
      <c r="W382" s="1549"/>
      <c r="X382" s="1549"/>
      <c r="Y382" s="1549"/>
      <c r="Z382" s="1549"/>
      <c r="AA382" s="1549"/>
      <c r="AB382" s="1549"/>
      <c r="AC382" s="1549"/>
      <c r="AD382" s="1549"/>
      <c r="AE382" s="1549"/>
      <c r="AF382" s="1549"/>
      <c r="AG382" s="1549"/>
      <c r="AH382" s="1549"/>
    </row>
    <row r="383" spans="1:34" ht="12.75" customHeight="1" x14ac:dyDescent="0.2">
      <c r="A383" s="1549"/>
      <c r="B383" s="1549"/>
      <c r="C383" s="1549"/>
      <c r="D383" s="1549"/>
      <c r="E383" s="1549"/>
      <c r="F383" s="1549"/>
      <c r="G383" s="1549"/>
      <c r="H383" s="1549"/>
      <c r="I383" s="1549"/>
      <c r="J383" s="1549"/>
      <c r="K383" s="1549"/>
      <c r="L383" s="1549"/>
      <c r="M383" s="1549"/>
      <c r="N383" s="1549"/>
      <c r="O383" s="1549"/>
      <c r="P383" s="1549"/>
      <c r="Q383" s="1549"/>
      <c r="R383" s="1549"/>
      <c r="S383" s="1549"/>
      <c r="T383" s="1549"/>
      <c r="U383" s="1549"/>
      <c r="V383" s="1549"/>
      <c r="W383" s="1549"/>
      <c r="X383" s="1549"/>
      <c r="Y383" s="1549"/>
      <c r="Z383" s="1549"/>
      <c r="AA383" s="1549"/>
      <c r="AB383" s="1549"/>
      <c r="AC383" s="1549"/>
      <c r="AD383" s="1549"/>
      <c r="AE383" s="1549"/>
      <c r="AF383" s="1549"/>
      <c r="AG383" s="1549"/>
      <c r="AH383" s="1549"/>
    </row>
    <row r="384" spans="1:34" ht="12.75" customHeight="1" x14ac:dyDescent="0.2">
      <c r="A384" s="1549"/>
      <c r="B384" s="1549"/>
      <c r="C384" s="1549"/>
      <c r="D384" s="1549"/>
      <c r="E384" s="1549"/>
      <c r="F384" s="1549"/>
      <c r="G384" s="1549"/>
      <c r="H384" s="1549"/>
      <c r="I384" s="1549"/>
      <c r="J384" s="1549"/>
      <c r="K384" s="1549"/>
      <c r="L384" s="1549"/>
      <c r="M384" s="1549"/>
      <c r="N384" s="1549"/>
      <c r="O384" s="1549"/>
      <c r="P384" s="1549"/>
      <c r="Q384" s="1549"/>
      <c r="R384" s="1549"/>
      <c r="S384" s="1549"/>
      <c r="T384" s="1549"/>
      <c r="U384" s="1549"/>
      <c r="V384" s="1549"/>
      <c r="W384" s="1549"/>
      <c r="X384" s="1549"/>
      <c r="Y384" s="1549"/>
      <c r="Z384" s="1549"/>
      <c r="AA384" s="1549"/>
      <c r="AB384" s="1549"/>
      <c r="AC384" s="1549"/>
      <c r="AD384" s="1549"/>
      <c r="AE384" s="1549"/>
      <c r="AF384" s="1549"/>
      <c r="AG384" s="1549"/>
      <c r="AH384" s="1549"/>
    </row>
    <row r="385" spans="1:34" ht="12.75" customHeight="1" x14ac:dyDescent="0.2">
      <c r="A385" s="1549"/>
      <c r="B385" s="1549"/>
      <c r="C385" s="1549"/>
      <c r="D385" s="1549"/>
      <c r="E385" s="1549"/>
      <c r="F385" s="1549"/>
      <c r="G385" s="1549"/>
      <c r="H385" s="1549"/>
      <c r="I385" s="1549"/>
      <c r="J385" s="1549"/>
      <c r="K385" s="1549"/>
      <c r="L385" s="1549"/>
      <c r="M385" s="1549"/>
      <c r="N385" s="1549"/>
      <c r="O385" s="1549"/>
      <c r="P385" s="1549"/>
      <c r="Q385" s="1549"/>
      <c r="R385" s="1549"/>
      <c r="S385" s="1549"/>
      <c r="T385" s="1549"/>
      <c r="U385" s="1549"/>
      <c r="V385" s="1549"/>
      <c r="W385" s="1549"/>
      <c r="X385" s="1549"/>
      <c r="Y385" s="1549"/>
      <c r="Z385" s="1549"/>
      <c r="AA385" s="1549"/>
      <c r="AB385" s="1549"/>
      <c r="AC385" s="1549"/>
      <c r="AD385" s="1549"/>
      <c r="AE385" s="1549"/>
      <c r="AF385" s="1549"/>
      <c r="AG385" s="1549"/>
      <c r="AH385" s="1549"/>
    </row>
    <row r="386" spans="1:34" ht="12.75" customHeight="1" x14ac:dyDescent="0.2">
      <c r="A386" s="1549"/>
      <c r="B386" s="1549"/>
      <c r="C386" s="1549"/>
      <c r="D386" s="1549"/>
      <c r="E386" s="1549"/>
      <c r="F386" s="1549"/>
      <c r="G386" s="1549"/>
      <c r="H386" s="1549"/>
      <c r="I386" s="1549"/>
      <c r="J386" s="1549"/>
      <c r="K386" s="1549"/>
      <c r="L386" s="1549"/>
      <c r="M386" s="1549"/>
      <c r="N386" s="1549"/>
      <c r="O386" s="1549"/>
      <c r="P386" s="1549"/>
      <c r="Q386" s="1549"/>
      <c r="R386" s="1549"/>
      <c r="S386" s="1549"/>
      <c r="T386" s="1549"/>
      <c r="U386" s="1549"/>
      <c r="V386" s="1549"/>
      <c r="W386" s="1549"/>
      <c r="X386" s="1549"/>
      <c r="Y386" s="1549"/>
      <c r="Z386" s="1549"/>
      <c r="AA386" s="1549"/>
      <c r="AB386" s="1549"/>
      <c r="AC386" s="1549"/>
      <c r="AD386" s="1549"/>
      <c r="AE386" s="1549"/>
      <c r="AF386" s="1549"/>
      <c r="AG386" s="1549"/>
      <c r="AH386" s="1549"/>
    </row>
    <row r="387" spans="1:34" ht="12.75" customHeight="1" x14ac:dyDescent="0.2">
      <c r="A387" s="1549"/>
      <c r="B387" s="1549"/>
      <c r="C387" s="1549"/>
      <c r="D387" s="1549"/>
      <c r="E387" s="1549"/>
      <c r="F387" s="1549"/>
      <c r="G387" s="1549"/>
      <c r="H387" s="1549"/>
      <c r="I387" s="1549"/>
      <c r="J387" s="1549"/>
      <c r="K387" s="1549"/>
      <c r="L387" s="1549"/>
      <c r="M387" s="1549"/>
      <c r="N387" s="1549"/>
      <c r="O387" s="1549"/>
      <c r="P387" s="1549"/>
      <c r="Q387" s="1549"/>
      <c r="R387" s="1549"/>
      <c r="S387" s="1549"/>
      <c r="T387" s="1549"/>
      <c r="U387" s="1549"/>
      <c r="V387" s="1549"/>
      <c r="W387" s="1549"/>
      <c r="X387" s="1549"/>
      <c r="Y387" s="1549"/>
      <c r="Z387" s="1549"/>
      <c r="AA387" s="1549"/>
      <c r="AB387" s="1549"/>
      <c r="AC387" s="1549"/>
      <c r="AD387" s="1549"/>
      <c r="AE387" s="1549"/>
      <c r="AF387" s="1549"/>
      <c r="AG387" s="1549"/>
      <c r="AH387" s="1549"/>
    </row>
    <row r="388" spans="1:34" ht="12.75" customHeight="1" x14ac:dyDescent="0.2">
      <c r="A388" s="1549"/>
      <c r="B388" s="1549"/>
      <c r="C388" s="1549"/>
      <c r="D388" s="1549"/>
      <c r="E388" s="1549"/>
      <c r="F388" s="1549"/>
      <c r="G388" s="1549"/>
      <c r="H388" s="1549"/>
      <c r="I388" s="1549"/>
      <c r="J388" s="1549"/>
      <c r="K388" s="1549"/>
      <c r="L388" s="1549"/>
      <c r="M388" s="1549"/>
      <c r="N388" s="1549"/>
      <c r="O388" s="1549"/>
      <c r="P388" s="1549"/>
      <c r="Q388" s="1549"/>
      <c r="R388" s="1549"/>
      <c r="S388" s="1549"/>
      <c r="T388" s="1549"/>
      <c r="U388" s="1549"/>
      <c r="V388" s="1549"/>
      <c r="W388" s="1549"/>
      <c r="X388" s="1549"/>
      <c r="Y388" s="1549"/>
      <c r="Z388" s="1549"/>
      <c r="AA388" s="1549"/>
      <c r="AB388" s="1549"/>
      <c r="AC388" s="1549"/>
      <c r="AD388" s="1549"/>
      <c r="AE388" s="1549"/>
      <c r="AF388" s="1549"/>
      <c r="AG388" s="1549"/>
      <c r="AH388" s="1549"/>
    </row>
    <row r="389" spans="1:34" ht="12.75" customHeight="1" x14ac:dyDescent="0.2">
      <c r="A389" s="1549"/>
      <c r="B389" s="1549"/>
      <c r="C389" s="1549"/>
      <c r="D389" s="1549"/>
      <c r="E389" s="1549"/>
      <c r="F389" s="1549"/>
      <c r="G389" s="1549"/>
      <c r="H389" s="1549"/>
      <c r="I389" s="1549"/>
      <c r="J389" s="1549"/>
      <c r="K389" s="1549"/>
      <c r="L389" s="1549"/>
      <c r="M389" s="1549"/>
      <c r="N389" s="1549"/>
      <c r="O389" s="1549"/>
      <c r="P389" s="1549"/>
      <c r="Q389" s="1549"/>
      <c r="R389" s="1549"/>
      <c r="S389" s="1549"/>
      <c r="T389" s="1549"/>
      <c r="U389" s="1549"/>
      <c r="V389" s="1549"/>
      <c r="W389" s="1549"/>
      <c r="X389" s="1549"/>
      <c r="Y389" s="1549"/>
      <c r="Z389" s="1549"/>
      <c r="AA389" s="1549"/>
      <c r="AB389" s="1549"/>
      <c r="AC389" s="1549"/>
      <c r="AD389" s="1549"/>
      <c r="AE389" s="1549"/>
      <c r="AF389" s="1549"/>
      <c r="AG389" s="1549"/>
      <c r="AH389" s="1549"/>
    </row>
    <row r="390" spans="1:34" ht="12.75" customHeight="1" x14ac:dyDescent="0.2">
      <c r="A390" s="1549"/>
      <c r="B390" s="1549"/>
      <c r="C390" s="1549"/>
      <c r="D390" s="1549"/>
      <c r="E390" s="1549"/>
      <c r="F390" s="1549"/>
      <c r="G390" s="1549"/>
      <c r="H390" s="1549"/>
      <c r="I390" s="1549"/>
      <c r="J390" s="1549"/>
      <c r="K390" s="1549"/>
      <c r="L390" s="1549"/>
      <c r="M390" s="1549"/>
      <c r="N390" s="1549"/>
      <c r="O390" s="1549"/>
      <c r="P390" s="1549"/>
      <c r="Q390" s="1549"/>
      <c r="R390" s="1549"/>
      <c r="S390" s="1549"/>
      <c r="T390" s="1549"/>
      <c r="U390" s="1549"/>
      <c r="V390" s="1549"/>
      <c r="W390" s="1549"/>
      <c r="X390" s="1549"/>
      <c r="Y390" s="1549"/>
      <c r="Z390" s="1549"/>
      <c r="AA390" s="1549"/>
      <c r="AB390" s="1549"/>
      <c r="AC390" s="1549"/>
      <c r="AD390" s="1549"/>
      <c r="AE390" s="1549"/>
      <c r="AF390" s="1549"/>
      <c r="AG390" s="1549"/>
      <c r="AH390" s="1549"/>
    </row>
    <row r="391" spans="1:34" ht="12.75" customHeight="1" x14ac:dyDescent="0.2">
      <c r="A391" s="1549"/>
      <c r="B391" s="1549"/>
      <c r="C391" s="1549"/>
      <c r="D391" s="1549"/>
      <c r="E391" s="1549"/>
      <c r="F391" s="1549"/>
      <c r="G391" s="1549"/>
      <c r="H391" s="1549"/>
      <c r="I391" s="1549"/>
      <c r="J391" s="1549"/>
      <c r="K391" s="1549"/>
      <c r="L391" s="1549"/>
      <c r="M391" s="1549"/>
      <c r="N391" s="1549"/>
      <c r="O391" s="1549"/>
      <c r="P391" s="1549"/>
      <c r="Q391" s="1549"/>
      <c r="R391" s="1549"/>
      <c r="S391" s="1549"/>
      <c r="T391" s="1549"/>
      <c r="U391" s="1549"/>
      <c r="V391" s="1549"/>
      <c r="W391" s="1549"/>
      <c r="X391" s="1549"/>
      <c r="Y391" s="1549"/>
      <c r="Z391" s="1549"/>
      <c r="AA391" s="1549"/>
      <c r="AB391" s="1549"/>
      <c r="AC391" s="1549"/>
      <c r="AD391" s="1549"/>
      <c r="AE391" s="1549"/>
      <c r="AF391" s="1549"/>
      <c r="AG391" s="1549"/>
      <c r="AH391" s="1549"/>
    </row>
    <row r="392" spans="1:34" ht="12.75" customHeight="1" x14ac:dyDescent="0.2">
      <c r="A392" s="1549"/>
      <c r="B392" s="1549"/>
      <c r="C392" s="1549"/>
      <c r="D392" s="1549"/>
      <c r="E392" s="1549"/>
      <c r="F392" s="1549"/>
      <c r="G392" s="1549"/>
      <c r="H392" s="1549"/>
      <c r="I392" s="1549"/>
      <c r="J392" s="1549"/>
      <c r="K392" s="1549"/>
      <c r="L392" s="1549"/>
      <c r="M392" s="1549"/>
      <c r="N392" s="1549"/>
      <c r="O392" s="1549"/>
      <c r="P392" s="1549"/>
      <c r="Q392" s="1549"/>
      <c r="R392" s="1549"/>
      <c r="S392" s="1549"/>
      <c r="T392" s="1549"/>
      <c r="U392" s="1549"/>
      <c r="V392" s="1549"/>
      <c r="W392" s="1549"/>
      <c r="X392" s="1549"/>
      <c r="Y392" s="1549"/>
      <c r="Z392" s="1549"/>
      <c r="AA392" s="1549"/>
      <c r="AB392" s="1549"/>
      <c r="AC392" s="1549"/>
      <c r="AD392" s="1549"/>
      <c r="AE392" s="1549"/>
      <c r="AF392" s="1549"/>
      <c r="AG392" s="1549"/>
      <c r="AH392" s="1549"/>
    </row>
    <row r="393" spans="1:34" ht="12.75" customHeight="1" x14ac:dyDescent="0.2">
      <c r="A393" s="1549"/>
      <c r="B393" s="1549"/>
      <c r="C393" s="1549"/>
      <c r="D393" s="1549"/>
      <c r="E393" s="1549"/>
      <c r="F393" s="1549"/>
      <c r="G393" s="1549"/>
      <c r="H393" s="1549"/>
      <c r="I393" s="1549"/>
      <c r="J393" s="1549"/>
      <c r="K393" s="1549"/>
      <c r="L393" s="1549"/>
      <c r="M393" s="1549"/>
      <c r="N393" s="1549"/>
      <c r="O393" s="1549"/>
      <c r="P393" s="1549"/>
      <c r="Q393" s="1549"/>
      <c r="R393" s="1549"/>
      <c r="S393" s="1549"/>
      <c r="T393" s="1549"/>
      <c r="U393" s="1549"/>
      <c r="V393" s="1549"/>
      <c r="W393" s="1549"/>
      <c r="X393" s="1549"/>
      <c r="Y393" s="1549"/>
      <c r="Z393" s="1549"/>
      <c r="AA393" s="1549"/>
      <c r="AB393" s="1549"/>
      <c r="AC393" s="1549"/>
      <c r="AD393" s="1549"/>
      <c r="AE393" s="1549"/>
      <c r="AF393" s="1549"/>
      <c r="AG393" s="1549"/>
      <c r="AH393" s="1549"/>
    </row>
    <row r="394" spans="1:34" ht="12.75" customHeight="1" x14ac:dyDescent="0.2">
      <c r="A394" s="1549"/>
      <c r="B394" s="1549"/>
      <c r="C394" s="1549"/>
      <c r="D394" s="1549"/>
      <c r="E394" s="1549"/>
      <c r="F394" s="1549"/>
      <c r="G394" s="1549"/>
      <c r="H394" s="1549"/>
      <c r="I394" s="1549"/>
      <c r="J394" s="1549"/>
      <c r="K394" s="1549"/>
      <c r="L394" s="1549"/>
      <c r="M394" s="1549"/>
      <c r="N394" s="1549"/>
      <c r="O394" s="1549"/>
      <c r="P394" s="1549"/>
      <c r="Q394" s="1549"/>
      <c r="R394" s="1549"/>
      <c r="S394" s="1549"/>
      <c r="T394" s="1549"/>
      <c r="U394" s="1549"/>
      <c r="V394" s="1549"/>
      <c r="W394" s="1549"/>
      <c r="X394" s="1549"/>
      <c r="Y394" s="1549"/>
      <c r="Z394" s="1549"/>
      <c r="AA394" s="1549"/>
      <c r="AB394" s="1549"/>
      <c r="AC394" s="1549"/>
      <c r="AD394" s="1549"/>
      <c r="AE394" s="1549"/>
      <c r="AF394" s="1549"/>
      <c r="AG394" s="1549"/>
      <c r="AH394" s="1549"/>
    </row>
    <row r="395" spans="1:34" ht="12.75" customHeight="1" x14ac:dyDescent="0.2">
      <c r="A395" s="1549"/>
      <c r="B395" s="1549"/>
      <c r="C395" s="1549"/>
      <c r="D395" s="1549"/>
      <c r="E395" s="1549"/>
      <c r="F395" s="1549"/>
      <c r="G395" s="1549"/>
      <c r="H395" s="1549"/>
      <c r="I395" s="1549"/>
      <c r="J395" s="1549"/>
      <c r="K395" s="1549"/>
      <c r="L395" s="1549"/>
      <c r="M395" s="1549"/>
      <c r="N395" s="1549"/>
      <c r="O395" s="1549"/>
      <c r="P395" s="1549"/>
      <c r="Q395" s="1549"/>
      <c r="R395" s="1549"/>
      <c r="S395" s="1549"/>
      <c r="T395" s="1549"/>
      <c r="U395" s="1549"/>
      <c r="V395" s="1549"/>
      <c r="W395" s="1549"/>
      <c r="X395" s="1549"/>
      <c r="Y395" s="1549"/>
      <c r="Z395" s="1549"/>
      <c r="AA395" s="1549"/>
      <c r="AB395" s="1549"/>
      <c r="AC395" s="1549"/>
      <c r="AD395" s="1549"/>
      <c r="AE395" s="1549"/>
      <c r="AF395" s="1549"/>
      <c r="AG395" s="1549"/>
      <c r="AH395" s="1549"/>
    </row>
    <row r="396" spans="1:34" ht="12.75" customHeight="1" x14ac:dyDescent="0.2">
      <c r="A396" s="1549"/>
      <c r="B396" s="1549"/>
      <c r="C396" s="1549"/>
      <c r="D396" s="1549"/>
      <c r="E396" s="1549"/>
      <c r="F396" s="1549"/>
      <c r="G396" s="1549"/>
      <c r="H396" s="1549"/>
      <c r="I396" s="1549"/>
      <c r="J396" s="1549"/>
      <c r="K396" s="1549"/>
      <c r="L396" s="1549"/>
      <c r="M396" s="1549"/>
      <c r="N396" s="1549"/>
      <c r="O396" s="1549"/>
      <c r="P396" s="1549"/>
      <c r="Q396" s="1549"/>
      <c r="R396" s="1549"/>
      <c r="S396" s="1549"/>
      <c r="T396" s="1549"/>
      <c r="U396" s="1549"/>
      <c r="V396" s="1549"/>
      <c r="W396" s="1549"/>
      <c r="X396" s="1549"/>
      <c r="Y396" s="1549"/>
      <c r="Z396" s="1549"/>
      <c r="AA396" s="1549"/>
      <c r="AB396" s="1549"/>
      <c r="AC396" s="1549"/>
      <c r="AD396" s="1549"/>
      <c r="AE396" s="1549"/>
      <c r="AF396" s="1549"/>
      <c r="AG396" s="1549"/>
      <c r="AH396" s="1549"/>
    </row>
    <row r="397" spans="1:34" ht="12.75" customHeight="1" x14ac:dyDescent="0.2">
      <c r="A397" s="1549"/>
      <c r="B397" s="1549"/>
      <c r="C397" s="1549"/>
      <c r="D397" s="1549"/>
      <c r="E397" s="1549"/>
      <c r="F397" s="1549"/>
      <c r="G397" s="1549"/>
      <c r="H397" s="1549"/>
      <c r="I397" s="1549"/>
      <c r="J397" s="1549"/>
      <c r="K397" s="1549"/>
      <c r="L397" s="1549"/>
      <c r="M397" s="1549"/>
      <c r="N397" s="1549"/>
      <c r="O397" s="1549"/>
      <c r="P397" s="1549"/>
      <c r="Q397" s="1549"/>
      <c r="R397" s="1549"/>
      <c r="S397" s="1549"/>
      <c r="T397" s="1549"/>
      <c r="U397" s="1549"/>
      <c r="V397" s="1549"/>
      <c r="W397" s="1549"/>
      <c r="X397" s="1549"/>
      <c r="Y397" s="1549"/>
      <c r="Z397" s="1549"/>
      <c r="AA397" s="1549"/>
      <c r="AB397" s="1549"/>
      <c r="AC397" s="1549"/>
      <c r="AD397" s="1549"/>
      <c r="AE397" s="1549"/>
      <c r="AF397" s="1549"/>
      <c r="AG397" s="1549"/>
      <c r="AH397" s="1549"/>
    </row>
    <row r="398" spans="1:34" ht="12.75" customHeight="1" x14ac:dyDescent="0.2">
      <c r="A398" s="1549"/>
      <c r="B398" s="1549"/>
      <c r="C398" s="1549"/>
      <c r="D398" s="1549"/>
      <c r="E398" s="1549"/>
      <c r="F398" s="1549"/>
      <c r="G398" s="1549"/>
      <c r="H398" s="1549"/>
      <c r="I398" s="1549"/>
      <c r="J398" s="1549"/>
      <c r="K398" s="1549"/>
      <c r="L398" s="1549"/>
      <c r="M398" s="1549"/>
      <c r="N398" s="1549"/>
      <c r="O398" s="1549"/>
      <c r="P398" s="1549"/>
      <c r="Q398" s="1549"/>
      <c r="R398" s="1549"/>
      <c r="S398" s="1549"/>
      <c r="T398" s="1549"/>
      <c r="U398" s="1549"/>
      <c r="V398" s="1549"/>
      <c r="W398" s="1549"/>
      <c r="X398" s="1549"/>
      <c r="Y398" s="1549"/>
      <c r="Z398" s="1549"/>
      <c r="AA398" s="1549"/>
      <c r="AB398" s="1549"/>
      <c r="AC398" s="1549"/>
      <c r="AD398" s="1549"/>
      <c r="AE398" s="1549"/>
      <c r="AF398" s="1549"/>
      <c r="AG398" s="1549"/>
      <c r="AH398" s="1549"/>
    </row>
    <row r="399" spans="1:34" ht="12.75" customHeight="1" x14ac:dyDescent="0.2">
      <c r="A399" s="1549"/>
      <c r="B399" s="1549"/>
      <c r="C399" s="1549"/>
      <c r="D399" s="1549"/>
      <c r="E399" s="1549"/>
      <c r="F399" s="1549"/>
      <c r="G399" s="1549"/>
      <c r="H399" s="1549"/>
      <c r="I399" s="1549"/>
      <c r="J399" s="1549"/>
      <c r="K399" s="1549"/>
      <c r="L399" s="1549"/>
      <c r="M399" s="1549"/>
      <c r="N399" s="1549"/>
      <c r="O399" s="1549"/>
      <c r="P399" s="1549"/>
      <c r="Q399" s="1549"/>
      <c r="R399" s="1549"/>
      <c r="S399" s="1549"/>
      <c r="T399" s="1549"/>
      <c r="U399" s="1549"/>
      <c r="V399" s="1549"/>
      <c r="W399" s="1549"/>
      <c r="X399" s="1549"/>
      <c r="Y399" s="1549"/>
      <c r="Z399" s="1549"/>
      <c r="AA399" s="1549"/>
      <c r="AB399" s="1549"/>
      <c r="AC399" s="1549"/>
      <c r="AD399" s="1549"/>
      <c r="AE399" s="1549"/>
      <c r="AF399" s="1549"/>
      <c r="AG399" s="1549"/>
      <c r="AH399" s="1549"/>
    </row>
    <row r="400" spans="1:34" ht="12.75" customHeight="1" x14ac:dyDescent="0.2">
      <c r="A400" s="1549"/>
      <c r="B400" s="1549"/>
      <c r="C400" s="1549"/>
      <c r="D400" s="1549"/>
      <c r="E400" s="1549"/>
      <c r="F400" s="1549"/>
      <c r="G400" s="1549"/>
      <c r="H400" s="1549"/>
      <c r="I400" s="1549"/>
      <c r="J400" s="1549"/>
      <c r="K400" s="1549"/>
      <c r="L400" s="1549"/>
      <c r="M400" s="1549"/>
      <c r="N400" s="1549"/>
      <c r="O400" s="1549"/>
      <c r="P400" s="1549"/>
      <c r="Q400" s="1549"/>
      <c r="R400" s="1549"/>
      <c r="S400" s="1549"/>
      <c r="T400" s="1549"/>
      <c r="U400" s="1549"/>
      <c r="V400" s="1549"/>
      <c r="W400" s="1549"/>
      <c r="X400" s="1549"/>
      <c r="Y400" s="1549"/>
      <c r="Z400" s="1549"/>
      <c r="AA400" s="1549"/>
      <c r="AB400" s="1549"/>
      <c r="AC400" s="1549"/>
      <c r="AD400" s="1549"/>
      <c r="AE400" s="1549"/>
      <c r="AF400" s="1549"/>
      <c r="AG400" s="1549"/>
      <c r="AH400" s="1549"/>
    </row>
    <row r="401" spans="1:34" ht="12.75" customHeight="1" x14ac:dyDescent="0.2">
      <c r="A401" s="1549"/>
      <c r="B401" s="1549"/>
      <c r="C401" s="1549"/>
      <c r="D401" s="1549"/>
      <c r="E401" s="1549"/>
      <c r="F401" s="1549"/>
      <c r="G401" s="1549"/>
      <c r="H401" s="1549"/>
      <c r="I401" s="1549"/>
      <c r="J401" s="1549"/>
      <c r="K401" s="1549"/>
      <c r="L401" s="1549"/>
      <c r="M401" s="1549"/>
      <c r="N401" s="1549"/>
      <c r="O401" s="1549"/>
      <c r="P401" s="1549"/>
      <c r="Q401" s="1549"/>
      <c r="R401" s="1549"/>
      <c r="S401" s="1549"/>
      <c r="T401" s="1549"/>
      <c r="U401" s="1549"/>
      <c r="V401" s="1549"/>
      <c r="W401" s="1549"/>
      <c r="X401" s="1549"/>
      <c r="Y401" s="1549"/>
      <c r="Z401" s="1549"/>
      <c r="AA401" s="1549"/>
      <c r="AB401" s="1549"/>
      <c r="AC401" s="1549"/>
      <c r="AD401" s="1549"/>
      <c r="AE401" s="1549"/>
      <c r="AF401" s="1549"/>
      <c r="AG401" s="1549"/>
      <c r="AH401" s="1549"/>
    </row>
    <row r="402" spans="1:34" ht="12.75" customHeight="1" x14ac:dyDescent="0.2">
      <c r="A402" s="1549"/>
      <c r="B402" s="1549"/>
      <c r="C402" s="1549"/>
      <c r="D402" s="1549"/>
      <c r="E402" s="1549"/>
      <c r="F402" s="1549"/>
      <c r="G402" s="1549"/>
      <c r="H402" s="1549"/>
      <c r="I402" s="1549"/>
      <c r="J402" s="1549"/>
      <c r="K402" s="1549"/>
      <c r="L402" s="1549"/>
      <c r="M402" s="1549"/>
      <c r="N402" s="1549"/>
      <c r="O402" s="1549"/>
      <c r="P402" s="1549"/>
      <c r="Q402" s="1549"/>
      <c r="R402" s="1549"/>
      <c r="S402" s="1549"/>
      <c r="T402" s="1549"/>
      <c r="U402" s="1549"/>
      <c r="V402" s="1549"/>
      <c r="W402" s="1549"/>
      <c r="X402" s="1549"/>
      <c r="Y402" s="1549"/>
      <c r="Z402" s="1549"/>
      <c r="AA402" s="1549"/>
      <c r="AB402" s="1549"/>
      <c r="AC402" s="1549"/>
      <c r="AD402" s="1549"/>
      <c r="AE402" s="1549"/>
      <c r="AF402" s="1549"/>
      <c r="AG402" s="1549"/>
      <c r="AH402" s="1549"/>
    </row>
    <row r="403" spans="1:34" ht="12.75" customHeight="1" x14ac:dyDescent="0.2">
      <c r="A403" s="1549"/>
      <c r="B403" s="1549"/>
      <c r="C403" s="1549"/>
      <c r="D403" s="1549"/>
      <c r="E403" s="1549"/>
      <c r="F403" s="1549"/>
      <c r="G403" s="1549"/>
      <c r="H403" s="1549"/>
      <c r="I403" s="1549"/>
      <c r="J403" s="1549"/>
      <c r="K403" s="1549"/>
      <c r="L403" s="1549"/>
      <c r="M403" s="1549"/>
      <c r="N403" s="1549"/>
      <c r="O403" s="1549"/>
      <c r="P403" s="1549"/>
      <c r="Q403" s="1549"/>
      <c r="R403" s="1549"/>
      <c r="S403" s="1549"/>
      <c r="T403" s="1549"/>
      <c r="U403" s="1549"/>
      <c r="V403" s="1549"/>
      <c r="W403" s="1549"/>
      <c r="X403" s="1549"/>
      <c r="Y403" s="1549"/>
      <c r="Z403" s="1549"/>
      <c r="AA403" s="1549"/>
      <c r="AB403" s="1549"/>
      <c r="AC403" s="1549"/>
      <c r="AD403" s="1549"/>
      <c r="AE403" s="1549"/>
      <c r="AF403" s="1549"/>
      <c r="AG403" s="1549"/>
      <c r="AH403" s="1549"/>
    </row>
    <row r="404" spans="1:34" ht="12.75" customHeight="1" x14ac:dyDescent="0.2">
      <c r="A404" s="1549"/>
      <c r="B404" s="1549"/>
      <c r="C404" s="1549"/>
      <c r="D404" s="1549"/>
      <c r="E404" s="1549"/>
      <c r="F404" s="1549"/>
      <c r="G404" s="1549"/>
      <c r="H404" s="1549"/>
      <c r="I404" s="1549"/>
      <c r="J404" s="1549"/>
      <c r="K404" s="1549"/>
      <c r="L404" s="1549"/>
      <c r="M404" s="1549"/>
      <c r="N404" s="1549"/>
      <c r="O404" s="1549"/>
      <c r="P404" s="1549"/>
      <c r="Q404" s="1549"/>
      <c r="R404" s="1549"/>
      <c r="S404" s="1549"/>
      <c r="T404" s="1549"/>
      <c r="U404" s="1549"/>
      <c r="V404" s="1549"/>
      <c r="W404" s="1549"/>
      <c r="X404" s="1549"/>
      <c r="Y404" s="1549"/>
      <c r="Z404" s="1549"/>
      <c r="AA404" s="1549"/>
      <c r="AB404" s="1549"/>
      <c r="AC404" s="1549"/>
      <c r="AD404" s="1549"/>
      <c r="AE404" s="1549"/>
      <c r="AF404" s="1549"/>
      <c r="AG404" s="1549"/>
      <c r="AH404" s="1549"/>
    </row>
    <row r="405" spans="1:34" ht="12.75" customHeight="1" x14ac:dyDescent="0.2">
      <c r="A405" s="1549"/>
      <c r="B405" s="1549"/>
      <c r="C405" s="1549"/>
      <c r="D405" s="1549"/>
      <c r="E405" s="1549"/>
      <c r="F405" s="1549"/>
      <c r="G405" s="1549"/>
      <c r="H405" s="1549"/>
      <c r="I405" s="1549"/>
      <c r="J405" s="1549"/>
      <c r="K405" s="1549"/>
      <c r="L405" s="1549"/>
      <c r="M405" s="1549"/>
      <c r="N405" s="1549"/>
      <c r="O405" s="1549"/>
      <c r="P405" s="1549"/>
      <c r="Q405" s="1549"/>
      <c r="R405" s="1549"/>
      <c r="S405" s="1549"/>
      <c r="T405" s="1549"/>
      <c r="U405" s="1549"/>
      <c r="V405" s="1549"/>
      <c r="W405" s="1549"/>
      <c r="X405" s="1549"/>
      <c r="Y405" s="1549"/>
      <c r="Z405" s="1549"/>
      <c r="AA405" s="1549"/>
      <c r="AB405" s="1549"/>
      <c r="AC405" s="1549"/>
      <c r="AD405" s="1549"/>
      <c r="AE405" s="1549"/>
      <c r="AF405" s="1549"/>
      <c r="AG405" s="1549"/>
      <c r="AH405" s="1549"/>
    </row>
    <row r="406" spans="1:34" ht="12.75" customHeight="1" x14ac:dyDescent="0.2">
      <c r="A406" s="1549"/>
      <c r="B406" s="1549"/>
      <c r="C406" s="1549"/>
      <c r="D406" s="1549"/>
      <c r="E406" s="1549"/>
      <c r="F406" s="1549"/>
      <c r="G406" s="1549"/>
      <c r="H406" s="1549"/>
      <c r="I406" s="1549"/>
      <c r="J406" s="1549"/>
      <c r="K406" s="1549"/>
      <c r="L406" s="1549"/>
      <c r="M406" s="1549"/>
      <c r="N406" s="1549"/>
      <c r="O406" s="1549"/>
      <c r="P406" s="1549"/>
      <c r="Q406" s="1549"/>
      <c r="R406" s="1549"/>
      <c r="S406" s="1549"/>
      <c r="T406" s="1549"/>
      <c r="U406" s="1549"/>
      <c r="V406" s="1549"/>
      <c r="W406" s="1549"/>
      <c r="X406" s="1549"/>
      <c r="Y406" s="1549"/>
      <c r="Z406" s="1549"/>
      <c r="AA406" s="1549"/>
      <c r="AB406" s="1549"/>
      <c r="AC406" s="1549"/>
      <c r="AD406" s="1549"/>
      <c r="AE406" s="1549"/>
      <c r="AF406" s="1549"/>
      <c r="AG406" s="1549"/>
      <c r="AH406" s="1549"/>
    </row>
    <row r="407" spans="1:34" ht="12.75" customHeight="1" x14ac:dyDescent="0.2">
      <c r="A407" s="1549"/>
      <c r="B407" s="1549"/>
      <c r="C407" s="1549"/>
      <c r="D407" s="1549"/>
      <c r="E407" s="1549"/>
      <c r="F407" s="1549"/>
      <c r="G407" s="1549"/>
      <c r="H407" s="1549"/>
      <c r="I407" s="1549"/>
      <c r="J407" s="1549"/>
      <c r="K407" s="1549"/>
      <c r="L407" s="1549"/>
      <c r="M407" s="1549"/>
      <c r="N407" s="1549"/>
      <c r="O407" s="1549"/>
      <c r="P407" s="1549"/>
      <c r="Q407" s="1549"/>
      <c r="R407" s="1549"/>
      <c r="S407" s="1549"/>
      <c r="T407" s="1549"/>
      <c r="U407" s="1549"/>
      <c r="V407" s="1549"/>
      <c r="W407" s="1549"/>
      <c r="X407" s="1549"/>
      <c r="Y407" s="1549"/>
      <c r="Z407" s="1549"/>
      <c r="AA407" s="1549"/>
      <c r="AB407" s="1549"/>
      <c r="AC407" s="1549"/>
      <c r="AD407" s="1549"/>
      <c r="AE407" s="1549"/>
      <c r="AF407" s="1549"/>
      <c r="AG407" s="1549"/>
      <c r="AH407" s="1549"/>
    </row>
    <row r="408" spans="1:34" ht="12.75" customHeight="1" x14ac:dyDescent="0.2">
      <c r="A408" s="1549"/>
      <c r="B408" s="1549"/>
      <c r="C408" s="1549"/>
      <c r="D408" s="1549"/>
      <c r="E408" s="1549"/>
      <c r="F408" s="1549"/>
      <c r="G408" s="1549"/>
      <c r="H408" s="1549"/>
      <c r="I408" s="1549"/>
      <c r="J408" s="1549"/>
      <c r="K408" s="1549"/>
      <c r="L408" s="1549"/>
      <c r="M408" s="1549"/>
      <c r="N408" s="1549"/>
      <c r="O408" s="1549"/>
      <c r="P408" s="1549"/>
      <c r="Q408" s="1549"/>
      <c r="R408" s="1549"/>
      <c r="S408" s="1549"/>
      <c r="T408" s="1549"/>
      <c r="U408" s="1549"/>
      <c r="V408" s="1549"/>
      <c r="W408" s="1549"/>
      <c r="X408" s="1549"/>
      <c r="Y408" s="1549"/>
      <c r="Z408" s="1549"/>
      <c r="AA408" s="1549"/>
      <c r="AB408" s="1549"/>
      <c r="AC408" s="1549"/>
      <c r="AD408" s="1549"/>
      <c r="AE408" s="1549"/>
      <c r="AF408" s="1549"/>
      <c r="AG408" s="1549"/>
      <c r="AH408" s="1549"/>
    </row>
    <row r="409" spans="1:34" ht="12.75" customHeight="1" x14ac:dyDescent="0.2">
      <c r="A409" s="1549"/>
      <c r="B409" s="1549"/>
      <c r="C409" s="1549"/>
      <c r="D409" s="1549"/>
      <c r="E409" s="1549"/>
      <c r="F409" s="1549"/>
      <c r="G409" s="1549"/>
      <c r="H409" s="1549"/>
      <c r="I409" s="1549"/>
      <c r="J409" s="1549"/>
      <c r="K409" s="1549"/>
      <c r="L409" s="1549"/>
      <c r="M409" s="1549"/>
      <c r="N409" s="1549"/>
      <c r="O409" s="1549"/>
      <c r="P409" s="1549"/>
      <c r="Q409" s="1549"/>
      <c r="R409" s="1549"/>
      <c r="S409" s="1549"/>
      <c r="T409" s="1549"/>
      <c r="U409" s="1549"/>
      <c r="V409" s="1549"/>
      <c r="W409" s="1549"/>
      <c r="X409" s="1549"/>
      <c r="Y409" s="1549"/>
      <c r="Z409" s="1549"/>
      <c r="AA409" s="1549"/>
      <c r="AB409" s="1549"/>
      <c r="AC409" s="1549"/>
      <c r="AD409" s="1549"/>
      <c r="AE409" s="1549"/>
      <c r="AF409" s="1549"/>
      <c r="AG409" s="1549"/>
      <c r="AH409" s="1549"/>
    </row>
    <row r="410" spans="1:34" ht="12.75" customHeight="1" x14ac:dyDescent="0.2">
      <c r="A410" s="1549"/>
      <c r="B410" s="1549"/>
      <c r="C410" s="1549"/>
      <c r="D410" s="1549"/>
      <c r="E410" s="1549"/>
      <c r="F410" s="1549"/>
      <c r="G410" s="1549"/>
      <c r="H410" s="1549"/>
      <c r="I410" s="1549"/>
      <c r="J410" s="1549"/>
      <c r="K410" s="1549"/>
      <c r="L410" s="1549"/>
      <c r="M410" s="1549"/>
      <c r="N410" s="1549"/>
      <c r="O410" s="1549"/>
      <c r="P410" s="1549"/>
      <c r="Q410" s="1549"/>
      <c r="R410" s="1549"/>
      <c r="S410" s="1549"/>
      <c r="T410" s="1549"/>
      <c r="U410" s="1549"/>
      <c r="V410" s="1549"/>
      <c r="W410" s="1549"/>
      <c r="X410" s="1549"/>
      <c r="Y410" s="1549"/>
      <c r="Z410" s="1549"/>
      <c r="AA410" s="1549"/>
      <c r="AB410" s="1549"/>
      <c r="AC410" s="1549"/>
      <c r="AD410" s="1549"/>
      <c r="AE410" s="1549"/>
      <c r="AF410" s="1549"/>
      <c r="AG410" s="1549"/>
      <c r="AH410" s="1549"/>
    </row>
    <row r="411" spans="1:34" ht="12.75" customHeight="1" x14ac:dyDescent="0.2">
      <c r="A411" s="1549"/>
      <c r="B411" s="1549"/>
      <c r="C411" s="1549"/>
      <c r="D411" s="1549"/>
      <c r="E411" s="1549"/>
      <c r="F411" s="1549"/>
      <c r="G411" s="1549"/>
      <c r="H411" s="1549"/>
      <c r="I411" s="1549"/>
      <c r="J411" s="1549"/>
      <c r="K411" s="1549"/>
      <c r="L411" s="1549"/>
      <c r="M411" s="1549"/>
      <c r="N411" s="1549"/>
      <c r="O411" s="1549"/>
      <c r="P411" s="1549"/>
      <c r="Q411" s="1549"/>
      <c r="R411" s="1549"/>
      <c r="S411" s="1549"/>
      <c r="T411" s="1549"/>
      <c r="U411" s="1549"/>
      <c r="V411" s="1549"/>
      <c r="W411" s="1549"/>
      <c r="X411" s="1549"/>
      <c r="Y411" s="1549"/>
      <c r="Z411" s="1549"/>
      <c r="AA411" s="1549"/>
      <c r="AB411" s="1549"/>
      <c r="AC411" s="1549"/>
      <c r="AD411" s="1549"/>
      <c r="AE411" s="1549"/>
      <c r="AF411" s="1549"/>
      <c r="AG411" s="1549"/>
      <c r="AH411" s="1549"/>
    </row>
    <row r="412" spans="1:34" ht="12.75" customHeight="1" x14ac:dyDescent="0.2">
      <c r="A412" s="1549"/>
      <c r="B412" s="1549"/>
      <c r="C412" s="1549"/>
      <c r="D412" s="1549"/>
      <c r="E412" s="1549"/>
      <c r="F412" s="1549"/>
      <c r="G412" s="1549"/>
      <c r="H412" s="1549"/>
      <c r="I412" s="1549"/>
      <c r="J412" s="1549"/>
      <c r="K412" s="1549"/>
      <c r="L412" s="1549"/>
      <c r="M412" s="1549"/>
      <c r="N412" s="1549"/>
      <c r="O412" s="1549"/>
      <c r="P412" s="1549"/>
      <c r="Q412" s="1549"/>
      <c r="R412" s="1549"/>
      <c r="S412" s="1549"/>
      <c r="T412" s="1549"/>
      <c r="U412" s="1549"/>
      <c r="V412" s="1549"/>
      <c r="W412" s="1549"/>
      <c r="X412" s="1549"/>
      <c r="Y412" s="1549"/>
      <c r="Z412" s="1549"/>
      <c r="AA412" s="1549"/>
      <c r="AB412" s="1549"/>
      <c r="AC412" s="1549"/>
      <c r="AD412" s="1549"/>
      <c r="AE412" s="1549"/>
      <c r="AF412" s="1549"/>
      <c r="AG412" s="1549"/>
      <c r="AH412" s="1549"/>
    </row>
    <row r="413" spans="1:34" ht="12.75" customHeight="1" x14ac:dyDescent="0.2">
      <c r="A413" s="1549"/>
      <c r="B413" s="1549"/>
      <c r="C413" s="1549"/>
      <c r="D413" s="1549"/>
      <c r="E413" s="1549"/>
      <c r="F413" s="1549"/>
      <c r="G413" s="1549"/>
      <c r="H413" s="1549"/>
      <c r="I413" s="1549"/>
      <c r="J413" s="1549"/>
      <c r="K413" s="1549"/>
      <c r="L413" s="1549"/>
      <c r="M413" s="1549"/>
      <c r="N413" s="1549"/>
      <c r="O413" s="1549"/>
      <c r="P413" s="1549"/>
      <c r="Q413" s="1549"/>
      <c r="R413" s="1549"/>
      <c r="S413" s="1549"/>
      <c r="T413" s="1549"/>
      <c r="U413" s="1549"/>
      <c r="V413" s="1549"/>
      <c r="W413" s="1549"/>
      <c r="X413" s="1549"/>
      <c r="Y413" s="1549"/>
      <c r="Z413" s="1549"/>
      <c r="AA413" s="1549"/>
      <c r="AB413" s="1549"/>
      <c r="AC413" s="1549"/>
      <c r="AD413" s="1549"/>
      <c r="AE413" s="1549"/>
      <c r="AF413" s="1549"/>
      <c r="AG413" s="1549"/>
      <c r="AH413" s="1549"/>
    </row>
    <row r="414" spans="1:34" ht="12.75" customHeight="1" x14ac:dyDescent="0.2">
      <c r="A414" s="1549"/>
      <c r="B414" s="1549"/>
      <c r="C414" s="1549"/>
      <c r="D414" s="1549"/>
      <c r="E414" s="1549"/>
      <c r="F414" s="1549"/>
      <c r="G414" s="1549"/>
      <c r="H414" s="1549"/>
      <c r="I414" s="1549"/>
      <c r="J414" s="1549"/>
      <c r="K414" s="1549"/>
      <c r="L414" s="1549"/>
      <c r="M414" s="1549"/>
      <c r="N414" s="1549"/>
      <c r="O414" s="1549"/>
      <c r="P414" s="1549"/>
      <c r="Q414" s="1549"/>
      <c r="R414" s="1549"/>
      <c r="S414" s="1549"/>
      <c r="T414" s="1549"/>
      <c r="U414" s="1549"/>
      <c r="V414" s="1549"/>
      <c r="W414" s="1549"/>
      <c r="X414" s="1549"/>
      <c r="Y414" s="1549"/>
      <c r="Z414" s="1549"/>
      <c r="AA414" s="1549"/>
      <c r="AB414" s="1549"/>
      <c r="AC414" s="1549"/>
      <c r="AD414" s="1549"/>
      <c r="AE414" s="1549"/>
      <c r="AF414" s="1549"/>
      <c r="AG414" s="1549"/>
      <c r="AH414" s="1549"/>
    </row>
    <row r="415" spans="1:34" ht="12.75" customHeight="1" x14ac:dyDescent="0.2">
      <c r="A415" s="1549"/>
      <c r="B415" s="1549"/>
      <c r="C415" s="1549"/>
      <c r="D415" s="1549"/>
      <c r="E415" s="1549"/>
      <c r="F415" s="1549"/>
      <c r="G415" s="1549"/>
      <c r="H415" s="1549"/>
      <c r="I415" s="1549"/>
      <c r="J415" s="1549"/>
      <c r="K415" s="1549"/>
      <c r="L415" s="1549"/>
      <c r="M415" s="1549"/>
      <c r="N415" s="1549"/>
      <c r="O415" s="1549"/>
      <c r="P415" s="1549"/>
      <c r="Q415" s="1549"/>
      <c r="R415" s="1549"/>
      <c r="S415" s="1549"/>
      <c r="T415" s="1549"/>
      <c r="U415" s="1549"/>
      <c r="V415" s="1549"/>
      <c r="W415" s="1549"/>
      <c r="X415" s="1549"/>
      <c r="Y415" s="1549"/>
      <c r="Z415" s="1549"/>
      <c r="AA415" s="1549"/>
      <c r="AB415" s="1549"/>
      <c r="AC415" s="1549"/>
      <c r="AD415" s="1549"/>
      <c r="AE415" s="1549"/>
      <c r="AF415" s="1549"/>
      <c r="AG415" s="1549"/>
      <c r="AH415" s="1549"/>
    </row>
    <row r="416" spans="1:34" ht="12.75" customHeight="1" x14ac:dyDescent="0.2">
      <c r="A416" s="1549"/>
      <c r="B416" s="1549"/>
      <c r="C416" s="1549"/>
      <c r="D416" s="1549"/>
      <c r="E416" s="1549"/>
      <c r="F416" s="1549"/>
      <c r="G416" s="1549"/>
      <c r="H416" s="1549"/>
      <c r="I416" s="1549"/>
      <c r="J416" s="1549"/>
      <c r="K416" s="1549"/>
      <c r="L416" s="1549"/>
      <c r="M416" s="1549"/>
      <c r="N416" s="1549"/>
      <c r="O416" s="1549"/>
      <c r="P416" s="1549"/>
      <c r="Q416" s="1549"/>
      <c r="R416" s="1549"/>
      <c r="S416" s="1549"/>
      <c r="T416" s="1549"/>
      <c r="U416" s="1549"/>
      <c r="V416" s="1549"/>
      <c r="W416" s="1549"/>
      <c r="X416" s="1549"/>
      <c r="Y416" s="1549"/>
      <c r="Z416" s="1549"/>
      <c r="AA416" s="1549"/>
      <c r="AB416" s="1549"/>
      <c r="AC416" s="1549"/>
      <c r="AD416" s="1549"/>
      <c r="AE416" s="1549"/>
      <c r="AF416" s="1549"/>
      <c r="AG416" s="1549"/>
      <c r="AH416" s="1549"/>
    </row>
    <row r="417" spans="1:34" ht="12.75" customHeight="1" x14ac:dyDescent="0.2">
      <c r="A417" s="1549"/>
      <c r="B417" s="1549"/>
      <c r="C417" s="1549"/>
      <c r="D417" s="1549"/>
      <c r="E417" s="1549"/>
      <c r="F417" s="1549"/>
      <c r="G417" s="1549"/>
      <c r="H417" s="1549"/>
      <c r="I417" s="1549"/>
      <c r="J417" s="1549"/>
      <c r="K417" s="1549"/>
      <c r="L417" s="1549"/>
      <c r="M417" s="1549"/>
      <c r="N417" s="1549"/>
      <c r="O417" s="1549"/>
      <c r="P417" s="1549"/>
      <c r="Q417" s="1549"/>
      <c r="R417" s="1549"/>
      <c r="S417" s="1549"/>
      <c r="T417" s="1549"/>
      <c r="U417" s="1549"/>
      <c r="V417" s="1549"/>
      <c r="W417" s="1549"/>
      <c r="X417" s="1549"/>
      <c r="Y417" s="1549"/>
      <c r="Z417" s="1549"/>
      <c r="AA417" s="1549"/>
      <c r="AB417" s="1549"/>
      <c r="AC417" s="1549"/>
      <c r="AD417" s="1549"/>
      <c r="AE417" s="1549"/>
      <c r="AF417" s="1549"/>
      <c r="AG417" s="1549"/>
      <c r="AH417" s="1549"/>
    </row>
    <row r="418" spans="1:34" ht="12.75" customHeight="1" x14ac:dyDescent="0.2">
      <c r="A418" s="1549"/>
      <c r="B418" s="1549"/>
      <c r="C418" s="1549"/>
      <c r="D418" s="1549"/>
      <c r="E418" s="1549"/>
      <c r="F418" s="1549"/>
      <c r="G418" s="1549"/>
      <c r="H418" s="1549"/>
      <c r="I418" s="1549"/>
      <c r="J418" s="1549"/>
      <c r="K418" s="1549"/>
      <c r="L418" s="1549"/>
      <c r="M418" s="1549"/>
      <c r="N418" s="1549"/>
      <c r="O418" s="1549"/>
      <c r="P418" s="1549"/>
      <c r="Q418" s="1549"/>
      <c r="R418" s="1549"/>
      <c r="S418" s="1549"/>
      <c r="T418" s="1549"/>
      <c r="U418" s="1549"/>
      <c r="V418" s="1549"/>
      <c r="W418" s="1549"/>
      <c r="X418" s="1549"/>
      <c r="Y418" s="1549"/>
      <c r="Z418" s="1549"/>
      <c r="AA418" s="1549"/>
      <c r="AB418" s="1549"/>
      <c r="AC418" s="1549"/>
      <c r="AD418" s="1549"/>
      <c r="AE418" s="1549"/>
      <c r="AF418" s="1549"/>
      <c r="AG418" s="1549"/>
      <c r="AH418" s="1549"/>
    </row>
    <row r="419" spans="1:34" ht="12.75" customHeight="1" x14ac:dyDescent="0.2">
      <c r="A419" s="1549"/>
      <c r="B419" s="1549"/>
      <c r="C419" s="1549"/>
      <c r="D419" s="1549"/>
      <c r="E419" s="1549"/>
      <c r="F419" s="1549"/>
      <c r="G419" s="1549"/>
      <c r="H419" s="1549"/>
      <c r="I419" s="1549"/>
      <c r="J419" s="1549"/>
      <c r="K419" s="1549"/>
      <c r="L419" s="1549"/>
      <c r="M419" s="1549"/>
      <c r="N419" s="1549"/>
      <c r="O419" s="1549"/>
      <c r="P419" s="1549"/>
      <c r="Q419" s="1549"/>
      <c r="R419" s="1549"/>
      <c r="S419" s="1549"/>
      <c r="T419" s="1549"/>
      <c r="U419" s="1549"/>
      <c r="V419" s="1549"/>
      <c r="W419" s="1549"/>
      <c r="X419" s="1549"/>
      <c r="Y419" s="1549"/>
      <c r="Z419" s="1549"/>
      <c r="AA419" s="1549"/>
      <c r="AB419" s="1549"/>
      <c r="AC419" s="1549"/>
      <c r="AD419" s="1549"/>
      <c r="AE419" s="1549"/>
      <c r="AF419" s="1549"/>
      <c r="AG419" s="1549"/>
      <c r="AH419" s="1549"/>
    </row>
    <row r="420" spans="1:34" ht="12.75" customHeight="1" x14ac:dyDescent="0.2">
      <c r="A420" s="1549"/>
      <c r="B420" s="1549"/>
      <c r="C420" s="1549"/>
      <c r="D420" s="1549"/>
      <c r="E420" s="1549"/>
      <c r="F420" s="1549"/>
      <c r="G420" s="1549"/>
      <c r="H420" s="1549"/>
      <c r="I420" s="1549"/>
      <c r="J420" s="1549"/>
      <c r="K420" s="1549"/>
      <c r="L420" s="1549"/>
      <c r="M420" s="1549"/>
      <c r="N420" s="1549"/>
      <c r="O420" s="1549"/>
      <c r="P420" s="1549"/>
      <c r="Q420" s="1549"/>
      <c r="R420" s="1549"/>
      <c r="S420" s="1549"/>
      <c r="T420" s="1549"/>
      <c r="U420" s="1549"/>
      <c r="V420" s="1549"/>
      <c r="W420" s="1549"/>
      <c r="X420" s="1549"/>
      <c r="Y420" s="1549"/>
      <c r="Z420" s="1549"/>
      <c r="AA420" s="1549"/>
      <c r="AB420" s="1549"/>
      <c r="AC420" s="1549"/>
      <c r="AD420" s="1549"/>
      <c r="AE420" s="1549"/>
      <c r="AF420" s="1549"/>
      <c r="AG420" s="1549"/>
      <c r="AH420" s="1549"/>
    </row>
    <row r="421" spans="1:34" ht="12.75" customHeight="1" x14ac:dyDescent="0.2">
      <c r="A421" s="1549"/>
      <c r="B421" s="1549"/>
      <c r="C421" s="1549"/>
      <c r="D421" s="1549"/>
      <c r="E421" s="1549"/>
      <c r="F421" s="1549"/>
      <c r="G421" s="1549"/>
      <c r="H421" s="1549"/>
      <c r="I421" s="1549"/>
      <c r="J421" s="1549"/>
      <c r="K421" s="1549"/>
      <c r="L421" s="1549"/>
      <c r="M421" s="1549"/>
      <c r="N421" s="1549"/>
      <c r="O421" s="1549"/>
      <c r="P421" s="1549"/>
      <c r="Q421" s="1549"/>
      <c r="R421" s="1549"/>
      <c r="S421" s="1549"/>
      <c r="T421" s="1549"/>
      <c r="U421" s="1549"/>
      <c r="V421" s="1549"/>
      <c r="W421" s="1549"/>
      <c r="X421" s="1549"/>
      <c r="Y421" s="1549"/>
      <c r="Z421" s="1549"/>
      <c r="AA421" s="1549"/>
      <c r="AB421" s="1549"/>
      <c r="AC421" s="1549"/>
      <c r="AD421" s="1549"/>
      <c r="AE421" s="1549"/>
      <c r="AF421" s="1549"/>
      <c r="AG421" s="1549"/>
      <c r="AH421" s="1549"/>
    </row>
    <row r="422" spans="1:34" ht="12.75" customHeight="1" x14ac:dyDescent="0.2">
      <c r="A422" s="1549"/>
      <c r="B422" s="1549"/>
      <c r="C422" s="1549"/>
      <c r="D422" s="1549"/>
      <c r="E422" s="1549"/>
      <c r="F422" s="1549"/>
      <c r="G422" s="1549"/>
      <c r="H422" s="1549"/>
      <c r="I422" s="1549"/>
      <c r="J422" s="1549"/>
      <c r="K422" s="1549"/>
      <c r="L422" s="1549"/>
      <c r="M422" s="1549"/>
      <c r="N422" s="1549"/>
      <c r="O422" s="1549"/>
      <c r="P422" s="1549"/>
      <c r="Q422" s="1549"/>
      <c r="R422" s="1549"/>
      <c r="S422" s="1549"/>
      <c r="T422" s="1549"/>
      <c r="U422" s="1549"/>
      <c r="V422" s="1549"/>
      <c r="W422" s="1549"/>
      <c r="X422" s="1549"/>
      <c r="Y422" s="1549"/>
      <c r="Z422" s="1549"/>
      <c r="AA422" s="1549"/>
      <c r="AB422" s="1549"/>
      <c r="AC422" s="1549"/>
      <c r="AD422" s="1549"/>
      <c r="AE422" s="1549"/>
      <c r="AF422" s="1549"/>
      <c r="AG422" s="1549"/>
      <c r="AH422" s="1549"/>
    </row>
    <row r="423" spans="1:34" ht="12.75" customHeight="1" x14ac:dyDescent="0.2">
      <c r="A423" s="1549"/>
      <c r="B423" s="1549"/>
      <c r="C423" s="1549"/>
      <c r="D423" s="1549"/>
      <c r="E423" s="1549"/>
      <c r="F423" s="1549"/>
      <c r="G423" s="1549"/>
      <c r="H423" s="1549"/>
      <c r="I423" s="1549"/>
      <c r="J423" s="1549"/>
      <c r="K423" s="1549"/>
      <c r="L423" s="1549"/>
      <c r="M423" s="1549"/>
      <c r="N423" s="1549"/>
      <c r="O423" s="1549"/>
      <c r="P423" s="1549"/>
      <c r="Q423" s="1549"/>
      <c r="R423" s="1549"/>
      <c r="S423" s="1549"/>
      <c r="T423" s="1549"/>
      <c r="U423" s="1549"/>
      <c r="V423" s="1549"/>
      <c r="W423" s="1549"/>
      <c r="X423" s="1549"/>
      <c r="Y423" s="1549"/>
      <c r="Z423" s="1549"/>
      <c r="AA423" s="1549"/>
      <c r="AB423" s="1549"/>
      <c r="AC423" s="1549"/>
      <c r="AD423" s="1549"/>
      <c r="AE423" s="1549"/>
      <c r="AF423" s="1549"/>
      <c r="AG423" s="1549"/>
      <c r="AH423" s="1549"/>
    </row>
    <row r="424" spans="1:34" ht="12.75" customHeight="1" x14ac:dyDescent="0.2">
      <c r="A424" s="1549"/>
      <c r="B424" s="1549"/>
      <c r="C424" s="1549"/>
      <c r="D424" s="1549"/>
      <c r="E424" s="1549"/>
      <c r="F424" s="1549"/>
      <c r="G424" s="1549"/>
      <c r="H424" s="1549"/>
      <c r="I424" s="1549"/>
      <c r="J424" s="1549"/>
      <c r="K424" s="1549"/>
      <c r="L424" s="1549"/>
      <c r="M424" s="1549"/>
      <c r="N424" s="1549"/>
      <c r="O424" s="1549"/>
      <c r="P424" s="1549"/>
      <c r="Q424" s="1549"/>
      <c r="R424" s="1549"/>
      <c r="S424" s="1549"/>
      <c r="T424" s="1549"/>
      <c r="U424" s="1549"/>
      <c r="V424" s="1549"/>
      <c r="W424" s="1549"/>
      <c r="X424" s="1549"/>
      <c r="Y424" s="1549"/>
      <c r="Z424" s="1549"/>
      <c r="AA424" s="1549"/>
      <c r="AB424" s="1549"/>
      <c r="AC424" s="1549"/>
      <c r="AD424" s="1549"/>
      <c r="AE424" s="1549"/>
      <c r="AF424" s="1549"/>
      <c r="AG424" s="1549"/>
      <c r="AH424" s="1549"/>
    </row>
    <row r="425" spans="1:34" ht="12.75" customHeight="1" x14ac:dyDescent="0.2">
      <c r="A425" s="1549"/>
      <c r="B425" s="1549"/>
      <c r="C425" s="1549"/>
      <c r="D425" s="1549"/>
      <c r="E425" s="1549"/>
      <c r="F425" s="1549"/>
      <c r="G425" s="1549"/>
      <c r="H425" s="1549"/>
      <c r="I425" s="1549"/>
      <c r="J425" s="1549"/>
      <c r="K425" s="1549"/>
      <c r="L425" s="1549"/>
      <c r="M425" s="1549"/>
      <c r="N425" s="1549"/>
      <c r="O425" s="1549"/>
      <c r="P425" s="1549"/>
      <c r="Q425" s="1549"/>
      <c r="R425" s="1549"/>
      <c r="S425" s="1549"/>
      <c r="T425" s="1549"/>
      <c r="U425" s="1549"/>
      <c r="V425" s="1549"/>
      <c r="W425" s="1549"/>
      <c r="X425" s="1549"/>
      <c r="Y425" s="1549"/>
      <c r="Z425" s="1549"/>
      <c r="AA425" s="1549"/>
      <c r="AB425" s="1549"/>
      <c r="AC425" s="1549"/>
      <c r="AD425" s="1549"/>
      <c r="AE425" s="1549"/>
      <c r="AF425" s="1549"/>
      <c r="AG425" s="1549"/>
      <c r="AH425" s="1549"/>
    </row>
    <row r="426" spans="1:34" ht="12.75" customHeight="1" x14ac:dyDescent="0.2">
      <c r="A426" s="1549"/>
      <c r="B426" s="1549"/>
      <c r="C426" s="1549"/>
      <c r="D426" s="1549"/>
      <c r="E426" s="1549"/>
      <c r="F426" s="1549"/>
      <c r="G426" s="1549"/>
      <c r="H426" s="1549"/>
      <c r="I426" s="1549"/>
      <c r="J426" s="1549"/>
      <c r="K426" s="1549"/>
      <c r="L426" s="1549"/>
      <c r="M426" s="1549"/>
      <c r="N426" s="1549"/>
      <c r="O426" s="1549"/>
      <c r="P426" s="1549"/>
      <c r="Q426" s="1549"/>
      <c r="R426" s="1549"/>
      <c r="S426" s="1549"/>
      <c r="T426" s="1549"/>
      <c r="U426" s="1549"/>
      <c r="V426" s="1549"/>
      <c r="W426" s="1549"/>
      <c r="X426" s="1549"/>
      <c r="Y426" s="1549"/>
      <c r="Z426" s="1549"/>
      <c r="AA426" s="1549"/>
      <c r="AB426" s="1549"/>
      <c r="AC426" s="1549"/>
      <c r="AD426" s="1549"/>
      <c r="AE426" s="1549"/>
      <c r="AF426" s="1549"/>
      <c r="AG426" s="1549"/>
      <c r="AH426" s="1549"/>
    </row>
    <row r="427" spans="1:34" ht="12.75" customHeight="1" x14ac:dyDescent="0.2">
      <c r="A427" s="1549"/>
      <c r="B427" s="1549"/>
      <c r="C427" s="1549"/>
      <c r="D427" s="1549"/>
      <c r="E427" s="1549"/>
      <c r="F427" s="1549"/>
      <c r="G427" s="1549"/>
      <c r="H427" s="1549"/>
      <c r="I427" s="1549"/>
      <c r="J427" s="1549"/>
      <c r="K427" s="1549"/>
      <c r="L427" s="1549"/>
      <c r="M427" s="1549"/>
      <c r="N427" s="1549"/>
      <c r="O427" s="1549"/>
      <c r="P427" s="1549"/>
      <c r="Q427" s="1549"/>
      <c r="R427" s="1549"/>
      <c r="S427" s="1549"/>
      <c r="T427" s="1549"/>
      <c r="U427" s="1549"/>
      <c r="V427" s="1549"/>
      <c r="W427" s="1549"/>
      <c r="X427" s="1549"/>
      <c r="Y427" s="1549"/>
      <c r="Z427" s="1549"/>
      <c r="AA427" s="1549"/>
      <c r="AB427" s="1549"/>
      <c r="AC427" s="1549"/>
      <c r="AD427" s="1549"/>
      <c r="AE427" s="1549"/>
      <c r="AF427" s="1549"/>
      <c r="AG427" s="1549"/>
      <c r="AH427" s="1549"/>
    </row>
    <row r="428" spans="1:34" ht="12.75" customHeight="1" x14ac:dyDescent="0.2">
      <c r="A428" s="1549"/>
      <c r="B428" s="1549"/>
      <c r="C428" s="1549"/>
      <c r="D428" s="1549"/>
      <c r="E428" s="1549"/>
      <c r="F428" s="1549"/>
      <c r="G428" s="1549"/>
      <c r="H428" s="1549"/>
      <c r="I428" s="1549"/>
      <c r="J428" s="1549"/>
      <c r="K428" s="1549"/>
      <c r="L428" s="1549"/>
      <c r="M428" s="1549"/>
      <c r="N428" s="1549"/>
      <c r="O428" s="1549"/>
      <c r="P428" s="1549"/>
      <c r="Q428" s="1549"/>
      <c r="R428" s="1549"/>
      <c r="S428" s="1549"/>
      <c r="T428" s="1549"/>
      <c r="U428" s="1549"/>
      <c r="V428" s="1549"/>
      <c r="W428" s="1549"/>
      <c r="X428" s="1549"/>
      <c r="Y428" s="1549"/>
      <c r="Z428" s="1549"/>
      <c r="AA428" s="1549"/>
      <c r="AB428" s="1549"/>
      <c r="AC428" s="1549"/>
      <c r="AD428" s="1549"/>
      <c r="AE428" s="1549"/>
      <c r="AF428" s="1549"/>
      <c r="AG428" s="1549"/>
      <c r="AH428" s="1549"/>
    </row>
    <row r="429" spans="1:34" ht="12.75" customHeight="1" x14ac:dyDescent="0.2">
      <c r="A429" s="1549"/>
      <c r="B429" s="1549"/>
      <c r="C429" s="1549"/>
      <c r="D429" s="1549"/>
      <c r="E429" s="1549"/>
      <c r="F429" s="1549"/>
      <c r="G429" s="1549"/>
      <c r="H429" s="1549"/>
      <c r="I429" s="1549"/>
      <c r="J429" s="1549"/>
      <c r="K429" s="1549"/>
      <c r="L429" s="1549"/>
      <c r="M429" s="1549"/>
      <c r="N429" s="1549"/>
      <c r="O429" s="1549"/>
      <c r="P429" s="1549"/>
      <c r="Q429" s="1549"/>
      <c r="R429" s="1549"/>
      <c r="S429" s="1549"/>
      <c r="T429" s="1549"/>
      <c r="U429" s="1549"/>
      <c r="V429" s="1549"/>
      <c r="W429" s="1549"/>
      <c r="X429" s="1549"/>
      <c r="Y429" s="1549"/>
      <c r="Z429" s="1549"/>
      <c r="AA429" s="1549"/>
      <c r="AB429" s="1549"/>
      <c r="AC429" s="1549"/>
      <c r="AD429" s="1549"/>
      <c r="AE429" s="1549"/>
      <c r="AF429" s="1549"/>
      <c r="AG429" s="1549"/>
      <c r="AH429" s="1549"/>
    </row>
    <row r="430" spans="1:34" ht="12.75" customHeight="1" x14ac:dyDescent="0.2">
      <c r="A430" s="1549"/>
      <c r="B430" s="1549"/>
      <c r="C430" s="1549"/>
      <c r="D430" s="1549"/>
      <c r="E430" s="1549"/>
      <c r="F430" s="1549"/>
      <c r="G430" s="1549"/>
      <c r="H430" s="1549"/>
      <c r="I430" s="1549"/>
      <c r="J430" s="1549"/>
      <c r="K430" s="1549"/>
      <c r="L430" s="1549"/>
      <c r="M430" s="1549"/>
      <c r="N430" s="1549"/>
      <c r="O430" s="1549"/>
      <c r="P430" s="1549"/>
      <c r="Q430" s="1549"/>
      <c r="R430" s="1549"/>
      <c r="S430" s="1549"/>
      <c r="T430" s="1549"/>
      <c r="U430" s="1549"/>
      <c r="V430" s="1549"/>
      <c r="W430" s="1549"/>
      <c r="X430" s="1549"/>
      <c r="Y430" s="1549"/>
      <c r="Z430" s="1549"/>
      <c r="AA430" s="1549"/>
      <c r="AB430" s="1549"/>
      <c r="AC430" s="1549"/>
      <c r="AD430" s="1549"/>
      <c r="AE430" s="1549"/>
      <c r="AF430" s="1549"/>
      <c r="AG430" s="1549"/>
      <c r="AH430" s="1549"/>
    </row>
    <row r="431" spans="1:34" ht="12.75" customHeight="1" x14ac:dyDescent="0.2">
      <c r="A431" s="1549"/>
      <c r="B431" s="1549"/>
      <c r="C431" s="1549"/>
      <c r="D431" s="1549"/>
      <c r="E431" s="1549"/>
      <c r="F431" s="1549"/>
      <c r="G431" s="1549"/>
      <c r="H431" s="1549"/>
      <c r="I431" s="1549"/>
      <c r="J431" s="1549"/>
      <c r="K431" s="1549"/>
      <c r="L431" s="1549"/>
      <c r="M431" s="1549"/>
      <c r="N431" s="1549"/>
      <c r="O431" s="1549"/>
      <c r="P431" s="1549"/>
      <c r="Q431" s="1549"/>
      <c r="R431" s="1549"/>
      <c r="S431" s="1549"/>
      <c r="T431" s="1549"/>
      <c r="U431" s="1549"/>
      <c r="V431" s="1549"/>
      <c r="W431" s="1549"/>
      <c r="X431" s="1549"/>
      <c r="Y431" s="1549"/>
      <c r="Z431" s="1549"/>
      <c r="AA431" s="1549"/>
      <c r="AB431" s="1549"/>
      <c r="AC431" s="1549"/>
      <c r="AD431" s="1549"/>
      <c r="AE431" s="1549"/>
      <c r="AF431" s="1549"/>
      <c r="AG431" s="1549"/>
      <c r="AH431" s="1549"/>
    </row>
    <row r="432" spans="1:34" ht="12.75" customHeight="1" x14ac:dyDescent="0.2">
      <c r="A432" s="1549"/>
      <c r="B432" s="1549"/>
      <c r="C432" s="1549"/>
      <c r="D432" s="1549"/>
      <c r="E432" s="1549"/>
      <c r="F432" s="1549"/>
      <c r="G432" s="1549"/>
      <c r="H432" s="1549"/>
      <c r="I432" s="1549"/>
      <c r="J432" s="1549"/>
      <c r="K432" s="1549"/>
      <c r="L432" s="1549"/>
      <c r="M432" s="1549"/>
      <c r="N432" s="1549"/>
      <c r="O432" s="1549"/>
      <c r="P432" s="1549"/>
      <c r="Q432" s="1549"/>
      <c r="R432" s="1549"/>
      <c r="S432" s="1549"/>
      <c r="T432" s="1549"/>
      <c r="U432" s="1549"/>
      <c r="V432" s="1549"/>
      <c r="W432" s="1549"/>
      <c r="X432" s="1549"/>
      <c r="Y432" s="1549"/>
      <c r="Z432" s="1549"/>
      <c r="AA432" s="1549"/>
      <c r="AB432" s="1549"/>
      <c r="AC432" s="1549"/>
      <c r="AD432" s="1549"/>
      <c r="AE432" s="1549"/>
      <c r="AF432" s="1549"/>
      <c r="AG432" s="1549"/>
      <c r="AH432" s="1549"/>
    </row>
    <row r="433" spans="1:34" ht="12.75" customHeight="1" x14ac:dyDescent="0.2">
      <c r="A433" s="1549"/>
      <c r="B433" s="1549"/>
      <c r="C433" s="1549"/>
      <c r="D433" s="1549"/>
      <c r="E433" s="1549"/>
      <c r="F433" s="1549"/>
      <c r="G433" s="1549"/>
      <c r="H433" s="1549"/>
      <c r="I433" s="1549"/>
      <c r="J433" s="1549"/>
      <c r="K433" s="1549"/>
      <c r="L433" s="1549"/>
      <c r="M433" s="1549"/>
      <c r="N433" s="1549"/>
      <c r="O433" s="1549"/>
      <c r="P433" s="1549"/>
      <c r="Q433" s="1549"/>
      <c r="R433" s="1549"/>
      <c r="S433" s="1549"/>
      <c r="T433" s="1549"/>
      <c r="U433" s="1549"/>
      <c r="V433" s="1549"/>
      <c r="W433" s="1549"/>
      <c r="X433" s="1549"/>
      <c r="Y433" s="1549"/>
      <c r="Z433" s="1549"/>
      <c r="AA433" s="1549"/>
      <c r="AB433" s="1549"/>
      <c r="AC433" s="1549"/>
      <c r="AD433" s="1549"/>
      <c r="AE433" s="1549"/>
      <c r="AF433" s="1549"/>
      <c r="AG433" s="1549"/>
      <c r="AH433" s="1549"/>
    </row>
    <row r="434" spans="1:34" ht="12.75" customHeight="1" x14ac:dyDescent="0.2">
      <c r="A434" s="1549"/>
      <c r="B434" s="1549"/>
      <c r="C434" s="1549"/>
      <c r="D434" s="1549"/>
      <c r="E434" s="1549"/>
      <c r="F434" s="1549"/>
      <c r="G434" s="1549"/>
      <c r="H434" s="1549"/>
      <c r="I434" s="1549"/>
      <c r="J434" s="1549"/>
      <c r="K434" s="1549"/>
      <c r="L434" s="1549"/>
      <c r="M434" s="1549"/>
      <c r="N434" s="1549"/>
      <c r="O434" s="1549"/>
      <c r="P434" s="1549"/>
      <c r="Q434" s="1549"/>
      <c r="R434" s="1549"/>
      <c r="S434" s="1549"/>
      <c r="T434" s="1549"/>
      <c r="U434" s="1549"/>
      <c r="V434" s="1549"/>
      <c r="W434" s="1549"/>
      <c r="X434" s="1549"/>
      <c r="Y434" s="1549"/>
      <c r="Z434" s="1549"/>
      <c r="AA434" s="1549"/>
      <c r="AB434" s="1549"/>
      <c r="AC434" s="1549"/>
      <c r="AD434" s="1549"/>
      <c r="AE434" s="1549"/>
      <c r="AF434" s="1549"/>
      <c r="AG434" s="1549"/>
      <c r="AH434" s="1549"/>
    </row>
    <row r="435" spans="1:34" ht="12.75" customHeight="1" x14ac:dyDescent="0.2">
      <c r="A435" s="1549"/>
      <c r="B435" s="1549"/>
      <c r="C435" s="1549"/>
      <c r="D435" s="1549"/>
      <c r="E435" s="1549"/>
      <c r="F435" s="1549"/>
      <c r="G435" s="1549"/>
      <c r="H435" s="1549"/>
      <c r="I435" s="1549"/>
      <c r="J435" s="1549"/>
      <c r="K435" s="1549"/>
      <c r="L435" s="1549"/>
      <c r="M435" s="1549"/>
      <c r="N435" s="1549"/>
      <c r="O435" s="1549"/>
      <c r="P435" s="1549"/>
      <c r="Q435" s="1549"/>
      <c r="R435" s="1549"/>
      <c r="S435" s="1549"/>
      <c r="T435" s="1549"/>
      <c r="U435" s="1549"/>
      <c r="V435" s="1549"/>
      <c r="W435" s="1549"/>
      <c r="X435" s="1549"/>
      <c r="Y435" s="1549"/>
      <c r="Z435" s="1549"/>
      <c r="AA435" s="1549"/>
      <c r="AB435" s="1549"/>
      <c r="AC435" s="1549"/>
      <c r="AD435" s="1549"/>
      <c r="AE435" s="1549"/>
      <c r="AF435" s="1549"/>
      <c r="AG435" s="1549"/>
      <c r="AH435" s="1549"/>
    </row>
    <row r="436" spans="1:34" ht="12.75" customHeight="1" x14ac:dyDescent="0.2">
      <c r="A436" s="1549"/>
      <c r="B436" s="1549"/>
      <c r="C436" s="1549"/>
      <c r="D436" s="1549"/>
      <c r="E436" s="1549"/>
      <c r="F436" s="1549"/>
      <c r="G436" s="1549"/>
      <c r="H436" s="1549"/>
      <c r="I436" s="1549"/>
      <c r="J436" s="1549"/>
      <c r="K436" s="1549"/>
      <c r="L436" s="1549"/>
      <c r="M436" s="1549"/>
      <c r="N436" s="1549"/>
      <c r="O436" s="1549"/>
      <c r="P436" s="1549"/>
      <c r="Q436" s="1549"/>
      <c r="R436" s="1549"/>
      <c r="S436" s="1549"/>
      <c r="T436" s="1549"/>
      <c r="U436" s="1549"/>
      <c r="V436" s="1549"/>
      <c r="W436" s="1549"/>
      <c r="X436" s="1549"/>
      <c r="Y436" s="1549"/>
      <c r="Z436" s="1549"/>
      <c r="AA436" s="1549"/>
      <c r="AB436" s="1549"/>
      <c r="AC436" s="1549"/>
      <c r="AD436" s="1549"/>
      <c r="AE436" s="1549"/>
      <c r="AF436" s="1549"/>
      <c r="AG436" s="1549"/>
      <c r="AH436" s="1549"/>
    </row>
    <row r="437" spans="1:34" ht="12.75" customHeight="1" x14ac:dyDescent="0.2">
      <c r="A437" s="1549"/>
      <c r="B437" s="1549"/>
      <c r="C437" s="1549"/>
      <c r="D437" s="1549"/>
      <c r="E437" s="1549"/>
      <c r="F437" s="1549"/>
      <c r="G437" s="1549"/>
      <c r="H437" s="1549"/>
      <c r="I437" s="1549"/>
      <c r="J437" s="1549"/>
      <c r="K437" s="1549"/>
      <c r="L437" s="1549"/>
      <c r="M437" s="1549"/>
      <c r="N437" s="1549"/>
      <c r="O437" s="1549"/>
      <c r="P437" s="1549"/>
      <c r="Q437" s="1549"/>
      <c r="R437" s="1549"/>
      <c r="S437" s="1549"/>
      <c r="T437" s="1549"/>
      <c r="U437" s="1549"/>
      <c r="V437" s="1549"/>
      <c r="W437" s="1549"/>
      <c r="X437" s="1549"/>
      <c r="Y437" s="1549"/>
      <c r="Z437" s="1549"/>
      <c r="AA437" s="1549"/>
      <c r="AB437" s="1549"/>
      <c r="AC437" s="1549"/>
      <c r="AD437" s="1549"/>
      <c r="AE437" s="1549"/>
      <c r="AF437" s="1549"/>
      <c r="AG437" s="1549"/>
      <c r="AH437" s="1549"/>
    </row>
    <row r="438" spans="1:34" ht="12.75" customHeight="1" x14ac:dyDescent="0.2">
      <c r="A438" s="1549"/>
      <c r="B438" s="1549"/>
      <c r="C438" s="1549"/>
      <c r="D438" s="1549"/>
      <c r="E438" s="1549"/>
      <c r="F438" s="1549"/>
      <c r="G438" s="1549"/>
      <c r="H438" s="1549"/>
      <c r="I438" s="1549"/>
      <c r="J438" s="1549"/>
      <c r="K438" s="1549"/>
      <c r="L438" s="1549"/>
      <c r="M438" s="1549"/>
      <c r="N438" s="1549"/>
      <c r="O438" s="1549"/>
      <c r="P438" s="1549"/>
      <c r="Q438" s="1549"/>
      <c r="R438" s="1549"/>
      <c r="S438" s="1549"/>
      <c r="T438" s="1549"/>
      <c r="U438" s="1549"/>
      <c r="V438" s="1549"/>
      <c r="W438" s="1549"/>
      <c r="X438" s="1549"/>
      <c r="Y438" s="1549"/>
      <c r="Z438" s="1549"/>
      <c r="AA438" s="1549"/>
      <c r="AB438" s="1549"/>
      <c r="AC438" s="1549"/>
      <c r="AD438" s="1549"/>
      <c r="AE438" s="1549"/>
      <c r="AF438" s="1549"/>
      <c r="AG438" s="1549"/>
      <c r="AH438" s="1549"/>
    </row>
    <row r="439" spans="1:34" ht="12.75" customHeight="1" x14ac:dyDescent="0.2">
      <c r="A439" s="1549"/>
      <c r="B439" s="1549"/>
      <c r="C439" s="1549"/>
      <c r="D439" s="1549"/>
      <c r="E439" s="1549"/>
      <c r="F439" s="1549"/>
      <c r="G439" s="1549"/>
      <c r="H439" s="1549"/>
      <c r="I439" s="1549"/>
      <c r="J439" s="1549"/>
      <c r="K439" s="1549"/>
      <c r="L439" s="1549"/>
      <c r="M439" s="1549"/>
      <c r="N439" s="1549"/>
      <c r="O439" s="1549"/>
      <c r="P439" s="1549"/>
      <c r="Q439" s="1549"/>
      <c r="R439" s="1549"/>
      <c r="S439" s="1549"/>
      <c r="T439" s="1549"/>
      <c r="U439" s="1549"/>
      <c r="V439" s="1549"/>
      <c r="W439" s="1549"/>
      <c r="X439" s="1549"/>
      <c r="Y439" s="1549"/>
      <c r="Z439" s="1549"/>
      <c r="AA439" s="1549"/>
      <c r="AB439" s="1549"/>
      <c r="AC439" s="1549"/>
      <c r="AD439" s="1549"/>
      <c r="AE439" s="1549"/>
      <c r="AF439" s="1549"/>
      <c r="AG439" s="1549"/>
      <c r="AH439" s="1549"/>
    </row>
    <row r="440" spans="1:34" ht="12.75" customHeight="1" x14ac:dyDescent="0.2">
      <c r="A440" s="1549"/>
      <c r="B440" s="1549"/>
      <c r="C440" s="1549"/>
      <c r="D440" s="1549"/>
      <c r="E440" s="1549"/>
      <c r="F440" s="1549"/>
      <c r="G440" s="1549"/>
      <c r="H440" s="1549"/>
      <c r="I440" s="1549"/>
      <c r="J440" s="1549"/>
      <c r="K440" s="1549"/>
      <c r="L440" s="1549"/>
      <c r="M440" s="1549"/>
      <c r="N440" s="1549"/>
      <c r="O440" s="1549"/>
      <c r="P440" s="1549"/>
      <c r="Q440" s="1549"/>
      <c r="R440" s="1549"/>
      <c r="S440" s="1549"/>
      <c r="T440" s="1549"/>
      <c r="U440" s="1549"/>
      <c r="V440" s="1549"/>
      <c r="W440" s="1549"/>
      <c r="X440" s="1549"/>
      <c r="Y440" s="1549"/>
      <c r="Z440" s="1549"/>
      <c r="AA440" s="1549"/>
      <c r="AB440" s="1549"/>
      <c r="AC440" s="1549"/>
      <c r="AD440" s="1549"/>
      <c r="AE440" s="1549"/>
      <c r="AF440" s="1549"/>
      <c r="AG440" s="1549"/>
      <c r="AH440" s="1549"/>
    </row>
    <row r="441" spans="1:34" ht="12.75" customHeight="1" x14ac:dyDescent="0.2">
      <c r="A441" s="1549"/>
      <c r="B441" s="1549"/>
      <c r="C441" s="1549"/>
      <c r="D441" s="1549"/>
      <c r="E441" s="1549"/>
      <c r="F441" s="1549"/>
      <c r="G441" s="1549"/>
      <c r="H441" s="1549"/>
      <c r="I441" s="1549"/>
      <c r="J441" s="1549"/>
      <c r="K441" s="1549"/>
      <c r="L441" s="1549"/>
      <c r="M441" s="1549"/>
      <c r="N441" s="1549"/>
      <c r="O441" s="1549"/>
      <c r="P441" s="1549"/>
      <c r="Q441" s="1549"/>
      <c r="R441" s="1549"/>
      <c r="S441" s="1549"/>
      <c r="T441" s="1549"/>
      <c r="U441" s="1549"/>
      <c r="V441" s="1549"/>
      <c r="W441" s="1549"/>
      <c r="X441" s="1549"/>
      <c r="Y441" s="1549"/>
      <c r="Z441" s="1549"/>
      <c r="AA441" s="1549"/>
      <c r="AB441" s="1549"/>
      <c r="AC441" s="1549"/>
      <c r="AD441" s="1549"/>
      <c r="AE441" s="1549"/>
      <c r="AF441" s="1549"/>
      <c r="AG441" s="1549"/>
      <c r="AH441" s="1549"/>
    </row>
    <row r="442" spans="1:34" ht="12.75" customHeight="1" x14ac:dyDescent="0.2">
      <c r="A442" s="1549"/>
      <c r="B442" s="1549"/>
      <c r="C442" s="1549"/>
      <c r="D442" s="1549"/>
      <c r="E442" s="1549"/>
      <c r="F442" s="1549"/>
      <c r="G442" s="1549"/>
      <c r="H442" s="1549"/>
      <c r="I442" s="1549"/>
      <c r="J442" s="1549"/>
      <c r="K442" s="1549"/>
      <c r="L442" s="1549"/>
      <c r="M442" s="1549"/>
      <c r="N442" s="1549"/>
      <c r="O442" s="1549"/>
      <c r="P442" s="1549"/>
      <c r="Q442" s="1549"/>
      <c r="R442" s="1549"/>
      <c r="S442" s="1549"/>
      <c r="T442" s="1549"/>
      <c r="U442" s="1549"/>
      <c r="V442" s="1549"/>
      <c r="W442" s="1549"/>
      <c r="X442" s="1549"/>
      <c r="Y442" s="1549"/>
      <c r="Z442" s="1549"/>
      <c r="AA442" s="1549"/>
      <c r="AB442" s="1549"/>
      <c r="AC442" s="1549"/>
      <c r="AD442" s="1549"/>
      <c r="AE442" s="1549"/>
      <c r="AF442" s="1549"/>
      <c r="AG442" s="1549"/>
      <c r="AH442" s="1549"/>
    </row>
    <row r="443" spans="1:34" ht="12.75" customHeight="1" x14ac:dyDescent="0.2">
      <c r="A443" s="1549"/>
      <c r="B443" s="1549"/>
      <c r="C443" s="1549"/>
      <c r="D443" s="1549"/>
      <c r="E443" s="1549"/>
      <c r="F443" s="1549"/>
      <c r="G443" s="1549"/>
      <c r="H443" s="1549"/>
      <c r="I443" s="1549"/>
      <c r="J443" s="1549"/>
      <c r="K443" s="1549"/>
      <c r="L443" s="1549"/>
      <c r="M443" s="1549"/>
      <c r="N443" s="1549"/>
      <c r="O443" s="1549"/>
      <c r="P443" s="1549"/>
      <c r="Q443" s="1549"/>
      <c r="R443" s="1549"/>
      <c r="S443" s="1549"/>
      <c r="T443" s="1549"/>
      <c r="U443" s="1549"/>
      <c r="V443" s="1549"/>
      <c r="W443" s="1549"/>
      <c r="X443" s="1549"/>
      <c r="Y443" s="1549"/>
      <c r="Z443" s="1549"/>
      <c r="AA443" s="1549"/>
      <c r="AB443" s="1549"/>
      <c r="AC443" s="1549"/>
      <c r="AD443" s="1549"/>
      <c r="AE443" s="1549"/>
      <c r="AF443" s="1549"/>
      <c r="AG443" s="1549"/>
      <c r="AH443" s="1549"/>
    </row>
    <row r="444" spans="1:34" ht="12.75" customHeight="1" x14ac:dyDescent="0.2">
      <c r="A444" s="1549"/>
      <c r="B444" s="1549"/>
      <c r="C444" s="1549"/>
      <c r="D444" s="1549"/>
      <c r="E444" s="1549"/>
      <c r="F444" s="1549"/>
      <c r="G444" s="1549"/>
      <c r="H444" s="1549"/>
      <c r="I444" s="1549"/>
      <c r="J444" s="1549"/>
      <c r="K444" s="1549"/>
      <c r="L444" s="1549"/>
      <c r="M444" s="1549"/>
      <c r="N444" s="1549"/>
      <c r="O444" s="1549"/>
      <c r="P444" s="1549"/>
      <c r="Q444" s="1549"/>
      <c r="R444" s="1549"/>
      <c r="S444" s="1549"/>
      <c r="T444" s="1549"/>
      <c r="U444" s="1549"/>
      <c r="V444" s="1549"/>
      <c r="W444" s="1549"/>
      <c r="X444" s="1549"/>
      <c r="Y444" s="1549"/>
      <c r="Z444" s="1549"/>
      <c r="AA444" s="1549"/>
      <c r="AB444" s="1549"/>
      <c r="AC444" s="1549"/>
      <c r="AD444" s="1549"/>
      <c r="AE444" s="1549"/>
      <c r="AF444" s="1549"/>
      <c r="AG444" s="1549"/>
      <c r="AH444" s="1549"/>
    </row>
    <row r="445" spans="1:34" ht="12.75" customHeight="1" x14ac:dyDescent="0.2">
      <c r="A445" s="1549"/>
      <c r="B445" s="1549"/>
      <c r="C445" s="1549"/>
      <c r="D445" s="1549"/>
      <c r="E445" s="1549"/>
      <c r="F445" s="1549"/>
      <c r="G445" s="1549"/>
      <c r="H445" s="1549"/>
      <c r="I445" s="1549"/>
      <c r="J445" s="1549"/>
      <c r="K445" s="1549"/>
      <c r="L445" s="1549"/>
      <c r="M445" s="1549"/>
      <c r="N445" s="1549"/>
      <c r="O445" s="1549"/>
      <c r="P445" s="1549"/>
      <c r="Q445" s="1549"/>
      <c r="R445" s="1549"/>
      <c r="S445" s="1549"/>
      <c r="T445" s="1549"/>
      <c r="U445" s="1549"/>
      <c r="V445" s="1549"/>
      <c r="W445" s="1549"/>
      <c r="X445" s="1549"/>
      <c r="Y445" s="1549"/>
      <c r="Z445" s="1549"/>
      <c r="AA445" s="1549"/>
      <c r="AB445" s="1549"/>
      <c r="AC445" s="1549"/>
      <c r="AD445" s="1549"/>
      <c r="AE445" s="1549"/>
      <c r="AF445" s="1549"/>
      <c r="AG445" s="1549"/>
      <c r="AH445" s="1549"/>
    </row>
    <row r="446" spans="1:34" ht="12.75" customHeight="1" x14ac:dyDescent="0.2">
      <c r="A446" s="1549"/>
      <c r="B446" s="1549"/>
      <c r="C446" s="1549"/>
      <c r="D446" s="1549"/>
      <c r="E446" s="1549"/>
      <c r="F446" s="1549"/>
      <c r="G446" s="1549"/>
      <c r="H446" s="1549"/>
      <c r="I446" s="1549"/>
      <c r="J446" s="1549"/>
      <c r="K446" s="1549"/>
      <c r="L446" s="1549"/>
      <c r="M446" s="1549"/>
      <c r="N446" s="1549"/>
      <c r="O446" s="1549"/>
      <c r="P446" s="1549"/>
      <c r="Q446" s="1549"/>
      <c r="R446" s="1549"/>
      <c r="S446" s="1549"/>
      <c r="T446" s="1549"/>
      <c r="U446" s="1549"/>
      <c r="V446" s="1549"/>
      <c r="W446" s="1549"/>
      <c r="X446" s="1549"/>
      <c r="Y446" s="1549"/>
      <c r="Z446" s="1549"/>
      <c r="AA446" s="1549"/>
      <c r="AB446" s="1549"/>
      <c r="AC446" s="1549"/>
      <c r="AD446" s="1549"/>
      <c r="AE446" s="1549"/>
      <c r="AF446" s="1549"/>
      <c r="AG446" s="1549"/>
      <c r="AH446" s="1549"/>
    </row>
    <row r="447" spans="1:34" ht="12.75" customHeight="1" x14ac:dyDescent="0.2">
      <c r="A447" s="1549"/>
      <c r="B447" s="1549"/>
      <c r="C447" s="1549"/>
      <c r="D447" s="1549"/>
      <c r="E447" s="1549"/>
      <c r="F447" s="1549"/>
      <c r="G447" s="1549"/>
      <c r="H447" s="1549"/>
      <c r="I447" s="1549"/>
      <c r="J447" s="1549"/>
      <c r="K447" s="1549"/>
      <c r="L447" s="1549"/>
      <c r="M447" s="1549"/>
      <c r="N447" s="1549"/>
      <c r="O447" s="1549"/>
      <c r="P447" s="1549"/>
      <c r="Q447" s="1549"/>
      <c r="R447" s="1549"/>
      <c r="S447" s="1549"/>
      <c r="T447" s="1549"/>
      <c r="U447" s="1549"/>
      <c r="V447" s="1549"/>
      <c r="W447" s="1549"/>
      <c r="X447" s="1549"/>
      <c r="Y447" s="1549"/>
      <c r="Z447" s="1549"/>
      <c r="AA447" s="1549"/>
      <c r="AB447" s="1549"/>
      <c r="AC447" s="1549"/>
      <c r="AD447" s="1549"/>
      <c r="AE447" s="1549"/>
      <c r="AF447" s="1549"/>
      <c r="AG447" s="1549"/>
      <c r="AH447" s="1549"/>
    </row>
    <row r="448" spans="1:34" ht="12.75" customHeight="1" x14ac:dyDescent="0.2">
      <c r="A448" s="1549"/>
      <c r="B448" s="1549"/>
      <c r="C448" s="1549"/>
      <c r="D448" s="1549"/>
      <c r="E448" s="1549"/>
      <c r="F448" s="1549"/>
      <c r="G448" s="1549"/>
      <c r="H448" s="1549"/>
      <c r="I448" s="1549"/>
      <c r="J448" s="1549"/>
      <c r="K448" s="1549"/>
      <c r="L448" s="1549"/>
      <c r="M448" s="1549"/>
      <c r="N448" s="1549"/>
      <c r="O448" s="1549"/>
      <c r="P448" s="1549"/>
      <c r="Q448" s="1549"/>
      <c r="R448" s="1549"/>
      <c r="S448" s="1549"/>
      <c r="T448" s="1549"/>
      <c r="U448" s="1549"/>
      <c r="V448" s="1549"/>
      <c r="W448" s="1549"/>
      <c r="X448" s="1549"/>
      <c r="Y448" s="1549"/>
      <c r="Z448" s="1549"/>
      <c r="AA448" s="1549"/>
      <c r="AB448" s="1549"/>
      <c r="AC448" s="1549"/>
      <c r="AD448" s="1549"/>
      <c r="AE448" s="1549"/>
      <c r="AF448" s="1549"/>
      <c r="AG448" s="1549"/>
      <c r="AH448" s="1549"/>
    </row>
    <row r="449" spans="1:34" ht="12.75" customHeight="1" x14ac:dyDescent="0.2">
      <c r="A449" s="1549"/>
      <c r="B449" s="1549"/>
      <c r="C449" s="1549"/>
      <c r="D449" s="1549"/>
      <c r="E449" s="1549"/>
      <c r="F449" s="1549"/>
      <c r="G449" s="1549"/>
      <c r="H449" s="1549"/>
      <c r="I449" s="1549"/>
      <c r="J449" s="1549"/>
      <c r="K449" s="1549"/>
      <c r="L449" s="1549"/>
      <c r="M449" s="1549"/>
      <c r="N449" s="1549"/>
      <c r="O449" s="1549"/>
      <c r="P449" s="1549"/>
      <c r="Q449" s="1549"/>
      <c r="R449" s="1549"/>
      <c r="S449" s="1549"/>
      <c r="T449" s="1549"/>
      <c r="U449" s="1549"/>
      <c r="V449" s="1549"/>
      <c r="W449" s="1549"/>
      <c r="X449" s="1549"/>
      <c r="Y449" s="1549"/>
      <c r="Z449" s="1549"/>
      <c r="AA449" s="1549"/>
      <c r="AB449" s="1549"/>
      <c r="AC449" s="1549"/>
      <c r="AD449" s="1549"/>
      <c r="AE449" s="1549"/>
      <c r="AF449" s="1549"/>
      <c r="AG449" s="1549"/>
      <c r="AH449" s="1549"/>
    </row>
    <row r="450" spans="1:34" ht="12.75" customHeight="1" x14ac:dyDescent="0.2">
      <c r="A450" s="1549"/>
      <c r="B450" s="1549"/>
      <c r="C450" s="1549"/>
      <c r="D450" s="1549"/>
      <c r="E450" s="1549"/>
      <c r="F450" s="1549"/>
      <c r="G450" s="1549"/>
      <c r="H450" s="1549"/>
      <c r="I450" s="1549"/>
      <c r="J450" s="1549"/>
      <c r="K450" s="1549"/>
      <c r="L450" s="1549"/>
      <c r="M450" s="1549"/>
      <c r="N450" s="1549"/>
      <c r="O450" s="1549"/>
      <c r="P450" s="1549"/>
      <c r="Q450" s="1549"/>
      <c r="R450" s="1549"/>
      <c r="S450" s="1549"/>
      <c r="T450" s="1549"/>
      <c r="U450" s="1549"/>
      <c r="V450" s="1549"/>
      <c r="W450" s="1549"/>
      <c r="X450" s="1549"/>
      <c r="Y450" s="1549"/>
      <c r="Z450" s="1549"/>
      <c r="AA450" s="1549"/>
      <c r="AB450" s="1549"/>
      <c r="AC450" s="1549"/>
      <c r="AD450" s="1549"/>
      <c r="AE450" s="1549"/>
      <c r="AF450" s="1549"/>
      <c r="AG450" s="1549"/>
      <c r="AH450" s="1549"/>
    </row>
    <row r="451" spans="1:34" ht="12.75" customHeight="1" x14ac:dyDescent="0.2">
      <c r="A451" s="1549"/>
      <c r="B451" s="1549"/>
      <c r="C451" s="1549"/>
      <c r="D451" s="1549"/>
      <c r="E451" s="1549"/>
      <c r="F451" s="1549"/>
      <c r="G451" s="1549"/>
      <c r="H451" s="1549"/>
      <c r="I451" s="1549"/>
      <c r="J451" s="1549"/>
      <c r="K451" s="1549"/>
      <c r="L451" s="1549"/>
      <c r="M451" s="1549"/>
      <c r="N451" s="1549"/>
      <c r="O451" s="1549"/>
      <c r="P451" s="1549"/>
      <c r="Q451" s="1549"/>
      <c r="R451" s="1549"/>
      <c r="S451" s="1549"/>
      <c r="T451" s="1549"/>
      <c r="U451" s="1549"/>
      <c r="V451" s="1549"/>
      <c r="W451" s="1549"/>
      <c r="X451" s="1549"/>
      <c r="Y451" s="1549"/>
      <c r="Z451" s="1549"/>
      <c r="AA451" s="1549"/>
      <c r="AB451" s="1549"/>
      <c r="AC451" s="1549"/>
      <c r="AD451" s="1549"/>
      <c r="AE451" s="1549"/>
      <c r="AF451" s="1549"/>
      <c r="AG451" s="1549"/>
      <c r="AH451" s="1549"/>
    </row>
    <row r="452" spans="1:34" ht="12.75" customHeight="1" x14ac:dyDescent="0.2">
      <c r="A452" s="1549"/>
      <c r="B452" s="1549"/>
      <c r="C452" s="1549"/>
      <c r="D452" s="1549"/>
      <c r="E452" s="1549"/>
      <c r="F452" s="1549"/>
      <c r="G452" s="1549"/>
      <c r="H452" s="1549"/>
      <c r="I452" s="1549"/>
      <c r="J452" s="1549"/>
      <c r="K452" s="1549"/>
      <c r="L452" s="1549"/>
      <c r="M452" s="1549"/>
      <c r="N452" s="1549"/>
      <c r="O452" s="1549"/>
      <c r="P452" s="1549"/>
      <c r="Q452" s="1549"/>
      <c r="R452" s="1549"/>
      <c r="S452" s="1549"/>
      <c r="T452" s="1549"/>
      <c r="U452" s="1549"/>
      <c r="V452" s="1549"/>
      <c r="W452" s="1549"/>
      <c r="X452" s="1549"/>
      <c r="Y452" s="1549"/>
      <c r="Z452" s="1549"/>
      <c r="AA452" s="1549"/>
      <c r="AB452" s="1549"/>
      <c r="AC452" s="1549"/>
      <c r="AD452" s="1549"/>
      <c r="AE452" s="1549"/>
      <c r="AF452" s="1549"/>
      <c r="AG452" s="1549"/>
      <c r="AH452" s="1549"/>
    </row>
    <row r="453" spans="1:34" ht="12.75" customHeight="1" x14ac:dyDescent="0.2">
      <c r="A453" s="1549"/>
      <c r="B453" s="1549"/>
      <c r="C453" s="1549"/>
      <c r="D453" s="1549"/>
      <c r="E453" s="1549"/>
      <c r="F453" s="1549"/>
      <c r="G453" s="1549"/>
      <c r="H453" s="1549"/>
      <c r="I453" s="1549"/>
      <c r="J453" s="1549"/>
      <c r="K453" s="1549"/>
      <c r="L453" s="1549"/>
      <c r="M453" s="1549"/>
      <c r="N453" s="1549"/>
      <c r="O453" s="1549"/>
      <c r="P453" s="1549"/>
      <c r="Q453" s="1549"/>
      <c r="R453" s="1549"/>
      <c r="S453" s="1549"/>
      <c r="T453" s="1549"/>
      <c r="U453" s="1549"/>
      <c r="V453" s="1549"/>
      <c r="W453" s="1549"/>
      <c r="X453" s="1549"/>
      <c r="Y453" s="1549"/>
      <c r="Z453" s="1549"/>
      <c r="AA453" s="1549"/>
      <c r="AB453" s="1549"/>
      <c r="AC453" s="1549"/>
      <c r="AD453" s="1549"/>
      <c r="AE453" s="1549"/>
      <c r="AF453" s="1549"/>
      <c r="AG453" s="1549"/>
      <c r="AH453" s="1549"/>
    </row>
    <row r="454" spans="1:34" ht="12.75" customHeight="1" x14ac:dyDescent="0.2">
      <c r="A454" s="1549"/>
      <c r="B454" s="1549"/>
      <c r="C454" s="1549"/>
      <c r="D454" s="1549"/>
      <c r="E454" s="1549"/>
      <c r="F454" s="1549"/>
      <c r="G454" s="1549"/>
      <c r="H454" s="1549"/>
      <c r="I454" s="1549"/>
      <c r="J454" s="1549"/>
      <c r="K454" s="1549"/>
      <c r="L454" s="1549"/>
      <c r="M454" s="1549"/>
      <c r="N454" s="1549"/>
      <c r="O454" s="1549"/>
      <c r="P454" s="1549"/>
      <c r="Q454" s="1549"/>
      <c r="R454" s="1549"/>
      <c r="S454" s="1549"/>
      <c r="T454" s="1549"/>
      <c r="U454" s="1549"/>
      <c r="V454" s="1549"/>
      <c r="W454" s="1549"/>
      <c r="X454" s="1549"/>
      <c r="Y454" s="1549"/>
      <c r="Z454" s="1549"/>
      <c r="AA454" s="1549"/>
      <c r="AB454" s="1549"/>
      <c r="AC454" s="1549"/>
      <c r="AD454" s="1549"/>
      <c r="AE454" s="1549"/>
      <c r="AF454" s="1549"/>
      <c r="AG454" s="1549"/>
      <c r="AH454" s="1549"/>
    </row>
    <row r="455" spans="1:34" ht="12.75" customHeight="1" x14ac:dyDescent="0.2">
      <c r="A455" s="1549"/>
      <c r="B455" s="1549"/>
      <c r="C455" s="1549"/>
      <c r="D455" s="1549"/>
      <c r="E455" s="1549"/>
      <c r="F455" s="1549"/>
      <c r="G455" s="1549"/>
      <c r="H455" s="1549"/>
      <c r="I455" s="1549"/>
      <c r="J455" s="1549"/>
      <c r="K455" s="1549"/>
      <c r="L455" s="1549"/>
      <c r="M455" s="1549"/>
      <c r="N455" s="1549"/>
      <c r="O455" s="1549"/>
      <c r="P455" s="1549"/>
      <c r="Q455" s="1549"/>
      <c r="R455" s="1549"/>
      <c r="S455" s="1549"/>
      <c r="T455" s="1549"/>
      <c r="U455" s="1549"/>
      <c r="V455" s="1549"/>
      <c r="W455" s="1549"/>
      <c r="X455" s="1549"/>
      <c r="Y455" s="1549"/>
      <c r="Z455" s="1549"/>
      <c r="AA455" s="1549"/>
      <c r="AB455" s="1549"/>
      <c r="AC455" s="1549"/>
      <c r="AD455" s="1549"/>
      <c r="AE455" s="1549"/>
      <c r="AF455" s="1549"/>
      <c r="AG455" s="1549"/>
      <c r="AH455" s="1549"/>
    </row>
    <row r="456" spans="1:34" ht="12.75" customHeight="1" x14ac:dyDescent="0.2">
      <c r="A456" s="1549"/>
      <c r="B456" s="1549"/>
      <c r="C456" s="1549"/>
      <c r="D456" s="1549"/>
      <c r="E456" s="1549"/>
      <c r="F456" s="1549"/>
      <c r="G456" s="1549"/>
      <c r="H456" s="1549"/>
      <c r="I456" s="1549"/>
      <c r="J456" s="1549"/>
      <c r="K456" s="1549"/>
      <c r="L456" s="1549"/>
      <c r="M456" s="1549"/>
      <c r="N456" s="1549"/>
      <c r="O456" s="1549"/>
      <c r="P456" s="1549"/>
      <c r="Q456" s="1549"/>
      <c r="R456" s="1549"/>
      <c r="S456" s="1549"/>
      <c r="T456" s="1549"/>
      <c r="U456" s="1549"/>
      <c r="V456" s="1549"/>
      <c r="W456" s="1549"/>
      <c r="X456" s="1549"/>
      <c r="Y456" s="1549"/>
      <c r="Z456" s="1549"/>
      <c r="AA456" s="1549"/>
      <c r="AB456" s="1549"/>
      <c r="AC456" s="1549"/>
      <c r="AD456" s="1549"/>
      <c r="AE456" s="1549"/>
      <c r="AF456" s="1549"/>
      <c r="AG456" s="1549"/>
      <c r="AH456" s="1549"/>
    </row>
    <row r="457" spans="1:34" ht="12.75" customHeight="1" x14ac:dyDescent="0.2">
      <c r="A457" s="1549"/>
      <c r="B457" s="1549"/>
      <c r="C457" s="1549"/>
      <c r="D457" s="1549"/>
      <c r="E457" s="1549"/>
      <c r="F457" s="1549"/>
      <c r="G457" s="1549"/>
      <c r="H457" s="1549"/>
      <c r="I457" s="1549"/>
      <c r="J457" s="1549"/>
      <c r="K457" s="1549"/>
      <c r="L457" s="1549"/>
      <c r="M457" s="1549"/>
      <c r="N457" s="1549"/>
      <c r="O457" s="1549"/>
      <c r="P457" s="1549"/>
      <c r="Q457" s="1549"/>
      <c r="R457" s="1549"/>
      <c r="S457" s="1549"/>
      <c r="T457" s="1549"/>
      <c r="U457" s="1549"/>
      <c r="V457" s="1549"/>
      <c r="W457" s="1549"/>
      <c r="X457" s="1549"/>
      <c r="Y457" s="1549"/>
      <c r="Z457" s="1549"/>
      <c r="AA457" s="1549"/>
      <c r="AB457" s="1549"/>
      <c r="AC457" s="1549"/>
      <c r="AD457" s="1549"/>
      <c r="AE457" s="1549"/>
      <c r="AF457" s="1549"/>
      <c r="AG457" s="1549"/>
      <c r="AH457" s="1549"/>
    </row>
    <row r="458" spans="1:34" ht="12.75" customHeight="1" x14ac:dyDescent="0.2">
      <c r="A458" s="1549"/>
      <c r="B458" s="1549"/>
      <c r="C458" s="1549"/>
      <c r="D458" s="1549"/>
      <c r="E458" s="1549"/>
      <c r="F458" s="1549"/>
      <c r="G458" s="1549"/>
      <c r="H458" s="1549"/>
      <c r="I458" s="1549"/>
      <c r="J458" s="1549"/>
      <c r="K458" s="1549"/>
      <c r="L458" s="1549"/>
      <c r="M458" s="1549"/>
      <c r="N458" s="1549"/>
      <c r="O458" s="1549"/>
      <c r="P458" s="1549"/>
      <c r="Q458" s="1549"/>
      <c r="R458" s="1549"/>
      <c r="S458" s="1549"/>
      <c r="T458" s="1549"/>
      <c r="U458" s="1549"/>
      <c r="V458" s="1549"/>
      <c r="W458" s="1549"/>
      <c r="X458" s="1549"/>
      <c r="Y458" s="1549"/>
      <c r="Z458" s="1549"/>
      <c r="AA458" s="1549"/>
      <c r="AB458" s="1549"/>
      <c r="AC458" s="1549"/>
      <c r="AD458" s="1549"/>
      <c r="AE458" s="1549"/>
      <c r="AF458" s="1549"/>
      <c r="AG458" s="1549"/>
      <c r="AH458" s="1549"/>
    </row>
    <row r="459" spans="1:34" ht="12.75" customHeight="1" x14ac:dyDescent="0.2">
      <c r="A459" s="1549"/>
      <c r="B459" s="1549"/>
      <c r="C459" s="1549"/>
      <c r="D459" s="1549"/>
      <c r="E459" s="1549"/>
      <c r="F459" s="1549"/>
      <c r="G459" s="1549"/>
      <c r="H459" s="1549"/>
      <c r="I459" s="1549"/>
      <c r="J459" s="1549"/>
      <c r="K459" s="1549"/>
      <c r="L459" s="1549"/>
      <c r="M459" s="1549"/>
      <c r="N459" s="1549"/>
      <c r="O459" s="1549"/>
      <c r="P459" s="1549"/>
      <c r="Q459" s="1549"/>
      <c r="R459" s="1549"/>
      <c r="S459" s="1549"/>
      <c r="T459" s="1549"/>
      <c r="U459" s="1549"/>
      <c r="V459" s="1549"/>
      <c r="W459" s="1549"/>
      <c r="X459" s="1549"/>
      <c r="Y459" s="1549"/>
      <c r="Z459" s="1549"/>
      <c r="AA459" s="1549"/>
      <c r="AB459" s="1549"/>
      <c r="AC459" s="1549"/>
      <c r="AD459" s="1549"/>
      <c r="AE459" s="1549"/>
      <c r="AF459" s="1549"/>
      <c r="AG459" s="1549"/>
      <c r="AH459" s="1549"/>
    </row>
    <row r="460" spans="1:34" ht="12.75" customHeight="1" x14ac:dyDescent="0.2">
      <c r="A460" s="1549"/>
      <c r="B460" s="1549"/>
      <c r="C460" s="1549"/>
      <c r="D460" s="1549"/>
      <c r="E460" s="1549"/>
      <c r="F460" s="1549"/>
      <c r="G460" s="1549"/>
      <c r="H460" s="1549"/>
      <c r="I460" s="1549"/>
      <c r="J460" s="1549"/>
      <c r="K460" s="1549"/>
      <c r="L460" s="1549"/>
      <c r="M460" s="1549"/>
      <c r="N460" s="1549"/>
      <c r="O460" s="1549"/>
      <c r="P460" s="1549"/>
      <c r="Q460" s="1549"/>
      <c r="R460" s="1549"/>
      <c r="S460" s="1549"/>
      <c r="T460" s="1549"/>
      <c r="U460" s="1549"/>
      <c r="V460" s="1549"/>
      <c r="W460" s="1549"/>
      <c r="X460" s="1549"/>
      <c r="Y460" s="1549"/>
      <c r="Z460" s="1549"/>
      <c r="AA460" s="1549"/>
      <c r="AB460" s="1549"/>
      <c r="AC460" s="1549"/>
      <c r="AD460" s="1549"/>
      <c r="AE460" s="1549"/>
      <c r="AF460" s="1549"/>
      <c r="AG460" s="1549"/>
      <c r="AH460" s="1549"/>
    </row>
    <row r="461" spans="1:34" ht="12.75" customHeight="1" x14ac:dyDescent="0.2">
      <c r="A461" s="1549"/>
      <c r="B461" s="1549"/>
      <c r="C461" s="1549"/>
      <c r="D461" s="1549"/>
      <c r="E461" s="1549"/>
      <c r="F461" s="1549"/>
      <c r="G461" s="1549"/>
      <c r="H461" s="1549"/>
      <c r="I461" s="1549"/>
      <c r="J461" s="1549"/>
      <c r="K461" s="1549"/>
      <c r="L461" s="1549"/>
      <c r="M461" s="1549"/>
      <c r="N461" s="1549"/>
      <c r="O461" s="1549"/>
      <c r="P461" s="1549"/>
      <c r="Q461" s="1549"/>
      <c r="R461" s="1549"/>
      <c r="S461" s="1549"/>
      <c r="T461" s="1549"/>
      <c r="U461" s="1549"/>
      <c r="V461" s="1549"/>
      <c r="W461" s="1549"/>
      <c r="X461" s="1549"/>
      <c r="Y461" s="1549"/>
      <c r="Z461" s="1549"/>
      <c r="AA461" s="1549"/>
      <c r="AB461" s="1549"/>
      <c r="AC461" s="1549"/>
      <c r="AD461" s="1549"/>
      <c r="AE461" s="1549"/>
      <c r="AF461" s="1549"/>
      <c r="AG461" s="1549"/>
      <c r="AH461" s="1549"/>
    </row>
    <row r="462" spans="1:34" ht="12.75" customHeight="1" x14ac:dyDescent="0.2">
      <c r="A462" s="1549"/>
      <c r="B462" s="1549"/>
      <c r="C462" s="1549"/>
      <c r="D462" s="1549"/>
      <c r="E462" s="1549"/>
      <c r="F462" s="1549"/>
      <c r="G462" s="1549"/>
      <c r="H462" s="1549"/>
      <c r="I462" s="1549"/>
      <c r="J462" s="1549"/>
      <c r="K462" s="1549"/>
      <c r="L462" s="1549"/>
      <c r="M462" s="1549"/>
      <c r="N462" s="1549"/>
      <c r="O462" s="1549"/>
      <c r="P462" s="1549"/>
      <c r="Q462" s="1549"/>
      <c r="R462" s="1549"/>
      <c r="S462" s="1549"/>
      <c r="T462" s="1549"/>
      <c r="U462" s="1549"/>
      <c r="V462" s="1549"/>
      <c r="W462" s="1549"/>
      <c r="X462" s="1549"/>
      <c r="Y462" s="1549"/>
      <c r="Z462" s="1549"/>
      <c r="AA462" s="1549"/>
      <c r="AB462" s="1549"/>
      <c r="AC462" s="1549"/>
      <c r="AD462" s="1549"/>
      <c r="AE462" s="1549"/>
      <c r="AF462" s="1549"/>
      <c r="AG462" s="1549"/>
      <c r="AH462" s="1549"/>
    </row>
    <row r="463" spans="1:34" ht="12.75" customHeight="1" x14ac:dyDescent="0.2">
      <c r="A463" s="1549"/>
      <c r="B463" s="1549"/>
      <c r="C463" s="1549"/>
      <c r="D463" s="1549"/>
      <c r="E463" s="1549"/>
      <c r="F463" s="1549"/>
      <c r="G463" s="1549"/>
      <c r="H463" s="1549"/>
      <c r="I463" s="1549"/>
      <c r="J463" s="1549"/>
      <c r="K463" s="1549"/>
      <c r="L463" s="1549"/>
      <c r="M463" s="1549"/>
      <c r="N463" s="1549"/>
      <c r="O463" s="1549"/>
      <c r="P463" s="1549"/>
      <c r="Q463" s="1549"/>
      <c r="R463" s="1549"/>
      <c r="S463" s="1549"/>
      <c r="T463" s="1549"/>
      <c r="U463" s="1549"/>
      <c r="V463" s="1549"/>
      <c r="W463" s="1549"/>
      <c r="X463" s="1549"/>
      <c r="Y463" s="1549"/>
      <c r="Z463" s="1549"/>
      <c r="AA463" s="1549"/>
      <c r="AB463" s="1549"/>
      <c r="AC463" s="1549"/>
      <c r="AD463" s="1549"/>
      <c r="AE463" s="1549"/>
      <c r="AF463" s="1549"/>
      <c r="AG463" s="1549"/>
      <c r="AH463" s="1549"/>
    </row>
    <row r="464" spans="1:34" ht="12.75" customHeight="1" x14ac:dyDescent="0.2">
      <c r="A464" s="1549"/>
      <c r="B464" s="1549"/>
      <c r="C464" s="1549"/>
      <c r="D464" s="1549"/>
      <c r="E464" s="1549"/>
      <c r="F464" s="1549"/>
      <c r="G464" s="1549"/>
      <c r="H464" s="1549"/>
      <c r="I464" s="1549"/>
      <c r="J464" s="1549"/>
      <c r="K464" s="1549"/>
      <c r="L464" s="1549"/>
      <c r="M464" s="1549"/>
      <c r="N464" s="1549"/>
      <c r="O464" s="1549"/>
      <c r="P464" s="1549"/>
      <c r="Q464" s="1549"/>
      <c r="R464" s="1549"/>
      <c r="S464" s="1549"/>
      <c r="T464" s="1549"/>
      <c r="U464" s="1549"/>
      <c r="V464" s="1549"/>
      <c r="W464" s="1549"/>
      <c r="X464" s="1549"/>
      <c r="Y464" s="1549"/>
      <c r="Z464" s="1549"/>
      <c r="AA464" s="1549"/>
      <c r="AB464" s="1549"/>
      <c r="AC464" s="1549"/>
      <c r="AD464" s="1549"/>
      <c r="AE464" s="1549"/>
      <c r="AF464" s="1549"/>
      <c r="AG464" s="1549"/>
      <c r="AH464" s="1549"/>
    </row>
    <row r="465" spans="1:34" ht="12.75" customHeight="1" x14ac:dyDescent="0.2">
      <c r="A465" s="1549"/>
      <c r="B465" s="1549"/>
      <c r="C465" s="1549"/>
      <c r="D465" s="1549"/>
      <c r="E465" s="1549"/>
      <c r="F465" s="1549"/>
      <c r="G465" s="1549"/>
      <c r="H465" s="1549"/>
      <c r="I465" s="1549"/>
      <c r="J465" s="1549"/>
      <c r="K465" s="1549"/>
      <c r="L465" s="1549"/>
      <c r="M465" s="1549"/>
      <c r="N465" s="1549"/>
      <c r="O465" s="1549"/>
      <c r="P465" s="1549"/>
      <c r="Q465" s="1549"/>
      <c r="R465" s="1549"/>
      <c r="S465" s="1549"/>
      <c r="T465" s="1549"/>
      <c r="U465" s="1549"/>
      <c r="V465" s="1549"/>
      <c r="W465" s="1549"/>
      <c r="X465" s="1549"/>
      <c r="Y465" s="1549"/>
      <c r="Z465" s="1549"/>
      <c r="AA465" s="1549"/>
      <c r="AB465" s="1549"/>
      <c r="AC465" s="1549"/>
      <c r="AD465" s="1549"/>
      <c r="AE465" s="1549"/>
      <c r="AF465" s="1549"/>
      <c r="AG465" s="1549"/>
      <c r="AH465" s="1549"/>
    </row>
    <row r="466" spans="1:34" ht="12.75" customHeight="1" x14ac:dyDescent="0.2">
      <c r="A466" s="1549"/>
      <c r="B466" s="1549"/>
      <c r="C466" s="1549"/>
      <c r="D466" s="1549"/>
      <c r="E466" s="1549"/>
      <c r="F466" s="1549"/>
      <c r="G466" s="1549"/>
      <c r="H466" s="1549"/>
      <c r="I466" s="1549"/>
      <c r="J466" s="1549"/>
      <c r="K466" s="1549"/>
      <c r="L466" s="1549"/>
      <c r="M466" s="1549"/>
      <c r="N466" s="1549"/>
      <c r="O466" s="1549"/>
      <c r="P466" s="1549"/>
      <c r="Q466" s="1549"/>
      <c r="R466" s="1549"/>
      <c r="S466" s="1549"/>
      <c r="T466" s="1549"/>
      <c r="U466" s="1549"/>
      <c r="V466" s="1549"/>
      <c r="W466" s="1549"/>
      <c r="X466" s="1549"/>
      <c r="Y466" s="1549"/>
      <c r="Z466" s="1549"/>
      <c r="AA466" s="1549"/>
      <c r="AB466" s="1549"/>
      <c r="AC466" s="1549"/>
      <c r="AD466" s="1549"/>
      <c r="AE466" s="1549"/>
      <c r="AF466" s="1549"/>
      <c r="AG466" s="1549"/>
      <c r="AH466" s="1549"/>
    </row>
    <row r="467" spans="1:34" ht="12.75" customHeight="1" x14ac:dyDescent="0.2">
      <c r="A467" s="1549"/>
      <c r="B467" s="1549"/>
      <c r="C467" s="1549"/>
      <c r="D467" s="1549"/>
      <c r="E467" s="1549"/>
      <c r="F467" s="1549"/>
      <c r="G467" s="1549"/>
      <c r="H467" s="1549"/>
      <c r="I467" s="1549"/>
      <c r="J467" s="1549"/>
      <c r="K467" s="1549"/>
      <c r="L467" s="1549"/>
      <c r="M467" s="1549"/>
      <c r="N467" s="1549"/>
      <c r="O467" s="1549"/>
      <c r="P467" s="1549"/>
      <c r="Q467" s="1549"/>
      <c r="R467" s="1549"/>
      <c r="S467" s="1549"/>
      <c r="T467" s="1549"/>
      <c r="U467" s="1549"/>
      <c r="V467" s="1549"/>
      <c r="W467" s="1549"/>
      <c r="X467" s="1549"/>
      <c r="Y467" s="1549"/>
      <c r="Z467" s="1549"/>
      <c r="AA467" s="1549"/>
      <c r="AB467" s="1549"/>
      <c r="AC467" s="1549"/>
      <c r="AD467" s="1549"/>
      <c r="AE467" s="1549"/>
      <c r="AF467" s="1549"/>
      <c r="AG467" s="1549"/>
      <c r="AH467" s="1549"/>
    </row>
    <row r="468" spans="1:34" ht="12.75" customHeight="1" x14ac:dyDescent="0.2">
      <c r="A468" s="1549"/>
      <c r="B468" s="1549"/>
      <c r="C468" s="1549"/>
      <c r="D468" s="1549"/>
      <c r="E468" s="1549"/>
      <c r="F468" s="1549"/>
      <c r="G468" s="1549"/>
      <c r="H468" s="1549"/>
      <c r="I468" s="1549"/>
      <c r="J468" s="1549"/>
      <c r="K468" s="1549"/>
      <c r="L468" s="1549"/>
      <c r="M468" s="1549"/>
      <c r="N468" s="1549"/>
      <c r="O468" s="1549"/>
      <c r="P468" s="1549"/>
      <c r="Q468" s="1549"/>
      <c r="R468" s="1549"/>
      <c r="S468" s="1549"/>
      <c r="T468" s="1549"/>
      <c r="U468" s="1549"/>
      <c r="V468" s="1549"/>
      <c r="W468" s="1549"/>
      <c r="X468" s="1549"/>
      <c r="Y468" s="1549"/>
      <c r="Z468" s="1549"/>
      <c r="AA468" s="1549"/>
      <c r="AB468" s="1549"/>
      <c r="AC468" s="1549"/>
      <c r="AD468" s="1549"/>
      <c r="AE468" s="1549"/>
      <c r="AF468" s="1549"/>
      <c r="AG468" s="1549"/>
      <c r="AH468" s="1549"/>
    </row>
    <row r="469" spans="1:34" ht="12.75" customHeight="1" x14ac:dyDescent="0.2">
      <c r="A469" s="1549"/>
      <c r="B469" s="1549"/>
      <c r="C469" s="1549"/>
      <c r="D469" s="1549"/>
      <c r="E469" s="1549"/>
      <c r="F469" s="1549"/>
      <c r="G469" s="1549"/>
      <c r="H469" s="1549"/>
      <c r="I469" s="1549"/>
      <c r="J469" s="1549"/>
      <c r="K469" s="1549"/>
      <c r="L469" s="1549"/>
      <c r="M469" s="1549"/>
      <c r="N469" s="1549"/>
      <c r="O469" s="1549"/>
      <c r="P469" s="1549"/>
      <c r="Q469" s="1549"/>
      <c r="R469" s="1549"/>
      <c r="S469" s="1549"/>
      <c r="T469" s="1549"/>
      <c r="U469" s="1549"/>
      <c r="V469" s="1549"/>
      <c r="W469" s="1549"/>
      <c r="X469" s="1549"/>
      <c r="Y469" s="1549"/>
      <c r="Z469" s="1549"/>
      <c r="AA469" s="1549"/>
      <c r="AB469" s="1549"/>
      <c r="AC469" s="1549"/>
      <c r="AD469" s="1549"/>
      <c r="AE469" s="1549"/>
      <c r="AF469" s="1549"/>
      <c r="AG469" s="1549"/>
      <c r="AH469" s="1549"/>
    </row>
    <row r="470" spans="1:34" ht="12.75" customHeight="1" x14ac:dyDescent="0.2">
      <c r="A470" s="1549"/>
      <c r="B470" s="1549"/>
      <c r="C470" s="1549"/>
      <c r="D470" s="1549"/>
      <c r="E470" s="1549"/>
      <c r="F470" s="1549"/>
      <c r="G470" s="1549"/>
      <c r="H470" s="1549"/>
      <c r="I470" s="1549"/>
      <c r="J470" s="1549"/>
      <c r="K470" s="1549"/>
      <c r="L470" s="1549"/>
      <c r="M470" s="1549"/>
      <c r="N470" s="1549"/>
      <c r="O470" s="1549"/>
      <c r="P470" s="1549"/>
      <c r="Q470" s="1549"/>
      <c r="R470" s="1549"/>
      <c r="S470" s="1549"/>
      <c r="T470" s="1549"/>
      <c r="U470" s="1549"/>
      <c r="V470" s="1549"/>
      <c r="W470" s="1549"/>
      <c r="X470" s="1549"/>
      <c r="Y470" s="1549"/>
      <c r="Z470" s="1549"/>
      <c r="AA470" s="1549"/>
      <c r="AB470" s="1549"/>
      <c r="AC470" s="1549"/>
      <c r="AD470" s="1549"/>
      <c r="AE470" s="1549"/>
      <c r="AF470" s="1549"/>
      <c r="AG470" s="1549"/>
      <c r="AH470" s="1549"/>
    </row>
    <row r="471" spans="1:34" ht="12.75" customHeight="1" x14ac:dyDescent="0.2">
      <c r="A471" s="1549"/>
      <c r="B471" s="1549"/>
      <c r="C471" s="1549"/>
      <c r="D471" s="1549"/>
      <c r="E471" s="1549"/>
      <c r="F471" s="1549"/>
      <c r="G471" s="1549"/>
      <c r="H471" s="1549"/>
      <c r="I471" s="1549"/>
      <c r="J471" s="1549"/>
      <c r="K471" s="1549"/>
      <c r="L471" s="1549"/>
      <c r="M471" s="1549"/>
      <c r="N471" s="1549"/>
      <c r="O471" s="1549"/>
      <c r="P471" s="1549"/>
      <c r="Q471" s="1549"/>
      <c r="R471" s="1549"/>
      <c r="S471" s="1549"/>
      <c r="T471" s="1549"/>
      <c r="U471" s="1549"/>
      <c r="V471" s="1549"/>
      <c r="W471" s="1549"/>
      <c r="X471" s="1549"/>
      <c r="Y471" s="1549"/>
      <c r="Z471" s="1549"/>
      <c r="AA471" s="1549"/>
      <c r="AB471" s="1549"/>
      <c r="AC471" s="1549"/>
      <c r="AD471" s="1549"/>
      <c r="AE471" s="1549"/>
      <c r="AF471" s="1549"/>
      <c r="AG471" s="1549"/>
      <c r="AH471" s="1549"/>
    </row>
    <row r="472" spans="1:34" ht="12.75" customHeight="1" x14ac:dyDescent="0.2">
      <c r="A472" s="1549"/>
      <c r="B472" s="1549"/>
      <c r="C472" s="1549"/>
      <c r="D472" s="1549"/>
      <c r="E472" s="1549"/>
      <c r="F472" s="1549"/>
      <c r="G472" s="1549"/>
      <c r="H472" s="1549"/>
      <c r="I472" s="1549"/>
      <c r="J472" s="1549"/>
      <c r="K472" s="1549"/>
      <c r="L472" s="1549"/>
      <c r="M472" s="1549"/>
      <c r="N472" s="1549"/>
      <c r="O472" s="1549"/>
      <c r="P472" s="1549"/>
      <c r="Q472" s="1549"/>
      <c r="R472" s="1549"/>
      <c r="S472" s="1549"/>
      <c r="T472" s="1549"/>
      <c r="U472" s="1549"/>
      <c r="V472" s="1549"/>
      <c r="W472" s="1549"/>
      <c r="X472" s="1549"/>
      <c r="Y472" s="1549"/>
      <c r="Z472" s="1549"/>
      <c r="AA472" s="1549"/>
      <c r="AB472" s="1549"/>
      <c r="AC472" s="1549"/>
      <c r="AD472" s="1549"/>
      <c r="AE472" s="1549"/>
      <c r="AF472" s="1549"/>
      <c r="AG472" s="1549"/>
      <c r="AH472" s="1549"/>
    </row>
    <row r="473" spans="1:34" ht="12.75" customHeight="1" x14ac:dyDescent="0.2">
      <c r="A473" s="1549"/>
      <c r="B473" s="1549"/>
      <c r="C473" s="1549"/>
      <c r="D473" s="1549"/>
      <c r="E473" s="1549"/>
      <c r="F473" s="1549"/>
      <c r="G473" s="1549"/>
      <c r="H473" s="1549"/>
      <c r="I473" s="1549"/>
      <c r="J473" s="1549"/>
      <c r="K473" s="1549"/>
      <c r="L473" s="1549"/>
      <c r="M473" s="1549"/>
      <c r="N473" s="1549"/>
      <c r="O473" s="1549"/>
      <c r="P473" s="1549"/>
      <c r="Q473" s="1549"/>
      <c r="R473" s="1549"/>
      <c r="S473" s="1549"/>
      <c r="T473" s="1549"/>
      <c r="U473" s="1549"/>
      <c r="V473" s="1549"/>
      <c r="W473" s="1549"/>
      <c r="X473" s="1549"/>
      <c r="Y473" s="1549"/>
      <c r="Z473" s="1549"/>
      <c r="AA473" s="1549"/>
      <c r="AB473" s="1549"/>
      <c r="AC473" s="1549"/>
      <c r="AD473" s="1549"/>
      <c r="AE473" s="1549"/>
      <c r="AF473" s="1549"/>
      <c r="AG473" s="1549"/>
      <c r="AH473" s="1549"/>
    </row>
    <row r="474" spans="1:34" ht="12.75" customHeight="1" x14ac:dyDescent="0.2">
      <c r="A474" s="1549"/>
      <c r="B474" s="1549"/>
      <c r="C474" s="1549"/>
      <c r="D474" s="1549"/>
      <c r="E474" s="1549"/>
      <c r="F474" s="1549"/>
      <c r="G474" s="1549"/>
      <c r="H474" s="1549"/>
      <c r="I474" s="1549"/>
      <c r="J474" s="1549"/>
      <c r="K474" s="1549"/>
      <c r="L474" s="1549"/>
      <c r="M474" s="1549"/>
      <c r="N474" s="1549"/>
      <c r="O474" s="1549"/>
      <c r="P474" s="1549"/>
      <c r="Q474" s="1549"/>
      <c r="R474" s="1549"/>
      <c r="S474" s="1549"/>
      <c r="T474" s="1549"/>
      <c r="U474" s="1549"/>
      <c r="V474" s="1549"/>
      <c r="W474" s="1549"/>
      <c r="X474" s="1549"/>
      <c r="Y474" s="1549"/>
      <c r="Z474" s="1549"/>
      <c r="AA474" s="1549"/>
      <c r="AB474" s="1549"/>
      <c r="AC474" s="1549"/>
      <c r="AD474" s="1549"/>
      <c r="AE474" s="1549"/>
      <c r="AF474" s="1549"/>
      <c r="AG474" s="1549"/>
      <c r="AH474" s="1549"/>
    </row>
    <row r="475" spans="1:34" ht="12.75" customHeight="1" x14ac:dyDescent="0.2">
      <c r="A475" s="1549"/>
      <c r="B475" s="1549"/>
      <c r="C475" s="1549"/>
      <c r="D475" s="1549"/>
      <c r="E475" s="1549"/>
      <c r="F475" s="1549"/>
      <c r="G475" s="1549"/>
      <c r="H475" s="1549"/>
      <c r="I475" s="1549"/>
      <c r="J475" s="1549"/>
      <c r="K475" s="1549"/>
      <c r="L475" s="1549"/>
      <c r="M475" s="1549"/>
      <c r="N475" s="1549"/>
      <c r="O475" s="1549"/>
      <c r="P475" s="1549"/>
      <c r="Q475" s="1549"/>
      <c r="R475" s="1549"/>
      <c r="S475" s="1549"/>
      <c r="T475" s="1549"/>
      <c r="U475" s="1549"/>
      <c r="V475" s="1549"/>
      <c r="W475" s="1549"/>
      <c r="X475" s="1549"/>
      <c r="Y475" s="1549"/>
      <c r="Z475" s="1549"/>
      <c r="AA475" s="1549"/>
      <c r="AB475" s="1549"/>
      <c r="AC475" s="1549"/>
      <c r="AD475" s="1549"/>
      <c r="AE475" s="1549"/>
      <c r="AF475" s="1549"/>
      <c r="AG475" s="1549"/>
      <c r="AH475" s="1549"/>
    </row>
    <row r="476" spans="1:34" ht="12.75" customHeight="1" x14ac:dyDescent="0.2">
      <c r="A476" s="1549"/>
      <c r="B476" s="1549"/>
      <c r="C476" s="1549"/>
      <c r="D476" s="1549"/>
      <c r="E476" s="1549"/>
      <c r="F476" s="1549"/>
      <c r="G476" s="1549"/>
      <c r="H476" s="1549"/>
      <c r="I476" s="1549"/>
      <c r="J476" s="1549"/>
      <c r="K476" s="1549"/>
      <c r="L476" s="1549"/>
      <c r="M476" s="1549"/>
      <c r="N476" s="1549"/>
      <c r="O476" s="1549"/>
      <c r="P476" s="1549"/>
      <c r="Q476" s="1549"/>
      <c r="R476" s="1549"/>
      <c r="S476" s="1549"/>
      <c r="T476" s="1549"/>
      <c r="U476" s="1549"/>
      <c r="V476" s="1549"/>
      <c r="W476" s="1549"/>
      <c r="X476" s="1549"/>
      <c r="Y476" s="1549"/>
      <c r="Z476" s="1549"/>
      <c r="AA476" s="1549"/>
      <c r="AB476" s="1549"/>
      <c r="AC476" s="1549"/>
      <c r="AD476" s="1549"/>
      <c r="AE476" s="1549"/>
      <c r="AF476" s="1549"/>
      <c r="AG476" s="1549"/>
      <c r="AH476" s="1549"/>
    </row>
    <row r="477" spans="1:34" ht="12.75" customHeight="1" x14ac:dyDescent="0.2">
      <c r="A477" s="1549"/>
      <c r="B477" s="1549"/>
      <c r="C477" s="1549"/>
      <c r="D477" s="1549"/>
      <c r="E477" s="1549"/>
      <c r="F477" s="1549"/>
      <c r="G477" s="1549"/>
      <c r="H477" s="1549"/>
      <c r="I477" s="1549"/>
      <c r="J477" s="1549"/>
      <c r="K477" s="1549"/>
      <c r="L477" s="1549"/>
      <c r="M477" s="1549"/>
      <c r="N477" s="1549"/>
      <c r="O477" s="1549"/>
      <c r="P477" s="1549"/>
      <c r="Q477" s="1549"/>
      <c r="R477" s="1549"/>
      <c r="S477" s="1549"/>
      <c r="T477" s="1549"/>
      <c r="U477" s="1549"/>
      <c r="V477" s="1549"/>
      <c r="W477" s="1549"/>
      <c r="X477" s="1549"/>
      <c r="Y477" s="1549"/>
      <c r="Z477" s="1549"/>
      <c r="AA477" s="1549"/>
      <c r="AB477" s="1549"/>
      <c r="AC477" s="1549"/>
      <c r="AD477" s="1549"/>
      <c r="AE477" s="1549"/>
      <c r="AF477" s="1549"/>
      <c r="AG477" s="1549"/>
      <c r="AH477" s="1549"/>
    </row>
    <row r="478" spans="1:34" ht="12.75" customHeight="1" x14ac:dyDescent="0.2">
      <c r="A478" s="1549"/>
      <c r="B478" s="1549"/>
      <c r="C478" s="1549"/>
      <c r="D478" s="1549"/>
      <c r="E478" s="1549"/>
      <c r="F478" s="1549"/>
      <c r="G478" s="1549"/>
      <c r="H478" s="1549"/>
      <c r="I478" s="1549"/>
      <c r="J478" s="1549"/>
      <c r="K478" s="1549"/>
      <c r="L478" s="1549"/>
      <c r="M478" s="1549"/>
      <c r="N478" s="1549"/>
      <c r="O478" s="1549"/>
      <c r="P478" s="1549"/>
      <c r="Q478" s="1549"/>
      <c r="R478" s="1549"/>
      <c r="S478" s="1549"/>
      <c r="T478" s="1549"/>
      <c r="U478" s="1549"/>
      <c r="V478" s="1549"/>
      <c r="W478" s="1549"/>
      <c r="X478" s="1549"/>
      <c r="Y478" s="1549"/>
      <c r="Z478" s="1549"/>
      <c r="AA478" s="1549"/>
      <c r="AB478" s="1549"/>
      <c r="AC478" s="1549"/>
      <c r="AD478" s="1549"/>
      <c r="AE478" s="1549"/>
      <c r="AF478" s="1549"/>
      <c r="AG478" s="1549"/>
      <c r="AH478" s="1549"/>
    </row>
    <row r="479" spans="1:34" ht="12.75" customHeight="1" x14ac:dyDescent="0.2">
      <c r="A479" s="1549"/>
      <c r="B479" s="1549"/>
      <c r="C479" s="1549"/>
      <c r="D479" s="1549"/>
      <c r="E479" s="1549"/>
      <c r="F479" s="1549"/>
      <c r="G479" s="1549"/>
      <c r="H479" s="1549"/>
      <c r="I479" s="1549"/>
      <c r="J479" s="1549"/>
      <c r="K479" s="1549"/>
      <c r="L479" s="1549"/>
      <c r="M479" s="1549"/>
      <c r="N479" s="1549"/>
      <c r="O479" s="1549"/>
      <c r="P479" s="1549"/>
      <c r="Q479" s="1549"/>
      <c r="R479" s="1549"/>
      <c r="S479" s="1549"/>
      <c r="T479" s="1549"/>
      <c r="U479" s="1549"/>
      <c r="V479" s="1549"/>
      <c r="W479" s="1549"/>
      <c r="X479" s="1549"/>
      <c r="Y479" s="1549"/>
      <c r="Z479" s="1549"/>
      <c r="AA479" s="1549"/>
      <c r="AB479" s="1549"/>
      <c r="AC479" s="1549"/>
      <c r="AD479" s="1549"/>
      <c r="AE479" s="1549"/>
      <c r="AF479" s="1549"/>
      <c r="AG479" s="1549"/>
      <c r="AH479" s="1549"/>
    </row>
    <row r="480" spans="1:34" ht="12.75" customHeight="1" x14ac:dyDescent="0.2">
      <c r="A480" s="1549"/>
      <c r="B480" s="1549"/>
      <c r="C480" s="1549"/>
      <c r="D480" s="1549"/>
      <c r="E480" s="1549"/>
      <c r="F480" s="1549"/>
      <c r="G480" s="1549"/>
      <c r="H480" s="1549"/>
      <c r="I480" s="1549"/>
      <c r="J480" s="1549"/>
      <c r="K480" s="1549"/>
      <c r="L480" s="1549"/>
      <c r="M480" s="1549"/>
      <c r="N480" s="1549"/>
      <c r="O480" s="1549"/>
      <c r="P480" s="1549"/>
      <c r="Q480" s="1549"/>
      <c r="R480" s="1549"/>
      <c r="S480" s="1549"/>
      <c r="T480" s="1549"/>
      <c r="U480" s="1549"/>
      <c r="V480" s="1549"/>
      <c r="W480" s="1549"/>
      <c r="X480" s="1549"/>
      <c r="Y480" s="1549"/>
      <c r="Z480" s="1549"/>
      <c r="AA480" s="1549"/>
      <c r="AB480" s="1549"/>
      <c r="AC480" s="1549"/>
      <c r="AD480" s="1549"/>
      <c r="AE480" s="1549"/>
      <c r="AF480" s="1549"/>
      <c r="AG480" s="1549"/>
      <c r="AH480" s="1549"/>
    </row>
    <row r="481" spans="1:34" ht="12.75" customHeight="1" x14ac:dyDescent="0.2">
      <c r="A481" s="1549"/>
      <c r="B481" s="1549"/>
      <c r="C481" s="1549"/>
      <c r="D481" s="1549"/>
      <c r="E481" s="1549"/>
      <c r="F481" s="1549"/>
      <c r="G481" s="1549"/>
      <c r="H481" s="1549"/>
      <c r="I481" s="1549"/>
      <c r="J481" s="1549"/>
      <c r="K481" s="1549"/>
      <c r="L481" s="1549"/>
      <c r="M481" s="1549"/>
      <c r="N481" s="1549"/>
      <c r="O481" s="1549"/>
      <c r="P481" s="1549"/>
      <c r="Q481" s="1549"/>
      <c r="R481" s="1549"/>
      <c r="S481" s="1549"/>
      <c r="T481" s="1549"/>
      <c r="U481" s="1549"/>
      <c r="V481" s="1549"/>
      <c r="W481" s="1549"/>
      <c r="X481" s="1549"/>
      <c r="Y481" s="1549"/>
      <c r="Z481" s="1549"/>
      <c r="AA481" s="1549"/>
      <c r="AB481" s="1549"/>
      <c r="AC481" s="1549"/>
      <c r="AD481" s="1549"/>
      <c r="AE481" s="1549"/>
      <c r="AF481" s="1549"/>
      <c r="AG481" s="1549"/>
      <c r="AH481" s="1549"/>
    </row>
    <row r="482" spans="1:34" ht="12.75" customHeight="1" x14ac:dyDescent="0.2">
      <c r="A482" s="1549"/>
      <c r="B482" s="1549"/>
      <c r="C482" s="1549"/>
      <c r="D482" s="1549"/>
      <c r="E482" s="1549"/>
      <c r="F482" s="1549"/>
      <c r="G482" s="1549"/>
      <c r="H482" s="1549"/>
      <c r="I482" s="1549"/>
      <c r="J482" s="1549"/>
      <c r="K482" s="1549"/>
      <c r="L482" s="1549"/>
      <c r="M482" s="1549"/>
      <c r="N482" s="1549"/>
      <c r="O482" s="1549"/>
      <c r="P482" s="1549"/>
      <c r="Q482" s="1549"/>
      <c r="R482" s="1549"/>
      <c r="S482" s="1549"/>
      <c r="T482" s="1549"/>
      <c r="U482" s="1549"/>
      <c r="V482" s="1549"/>
      <c r="W482" s="1549"/>
      <c r="X482" s="1549"/>
      <c r="Y482" s="1549"/>
      <c r="Z482" s="1549"/>
      <c r="AA482" s="1549"/>
      <c r="AB482" s="1549"/>
      <c r="AC482" s="1549"/>
      <c r="AD482" s="1549"/>
      <c r="AE482" s="1549"/>
      <c r="AF482" s="1549"/>
      <c r="AG482" s="1549"/>
      <c r="AH482" s="1549"/>
    </row>
    <row r="483" spans="1:34" ht="12.75" customHeight="1" x14ac:dyDescent="0.2">
      <c r="A483" s="1549"/>
      <c r="B483" s="1549"/>
      <c r="C483" s="1549"/>
      <c r="D483" s="1549"/>
      <c r="E483" s="1549"/>
      <c r="F483" s="1549"/>
      <c r="G483" s="1549"/>
      <c r="H483" s="1549"/>
      <c r="I483" s="1549"/>
      <c r="J483" s="1549"/>
      <c r="K483" s="1549"/>
      <c r="L483" s="1549"/>
      <c r="M483" s="1549"/>
      <c r="N483" s="1549"/>
      <c r="O483" s="1549"/>
      <c r="P483" s="1549"/>
      <c r="Q483" s="1549"/>
      <c r="R483" s="1549"/>
      <c r="S483" s="1549"/>
      <c r="T483" s="1549"/>
      <c r="U483" s="1549"/>
      <c r="V483" s="1549"/>
      <c r="W483" s="1549"/>
      <c r="X483" s="1549"/>
      <c r="Y483" s="1549"/>
      <c r="Z483" s="1549"/>
      <c r="AA483" s="1549"/>
      <c r="AB483" s="1549"/>
      <c r="AC483" s="1549"/>
      <c r="AD483" s="1549"/>
      <c r="AE483" s="1549"/>
      <c r="AF483" s="1549"/>
      <c r="AG483" s="1549"/>
      <c r="AH483" s="1549"/>
    </row>
    <row r="484" spans="1:34" ht="12.75" customHeight="1" x14ac:dyDescent="0.2">
      <c r="A484" s="1549"/>
      <c r="B484" s="1549"/>
      <c r="C484" s="1549"/>
      <c r="D484" s="1549"/>
      <c r="E484" s="1549"/>
      <c r="F484" s="1549"/>
      <c r="G484" s="1549"/>
      <c r="H484" s="1549"/>
      <c r="I484" s="1549"/>
      <c r="J484" s="1549"/>
      <c r="K484" s="1549"/>
      <c r="L484" s="1549"/>
      <c r="M484" s="1549"/>
      <c r="N484" s="1549"/>
      <c r="O484" s="1549"/>
      <c r="P484" s="1549"/>
      <c r="Q484" s="1549"/>
      <c r="R484" s="1549"/>
      <c r="S484" s="1549"/>
      <c r="T484" s="1549"/>
      <c r="U484" s="1549"/>
      <c r="V484" s="1549"/>
      <c r="W484" s="1549"/>
      <c r="X484" s="1549"/>
      <c r="Y484" s="1549"/>
      <c r="Z484" s="1549"/>
      <c r="AA484" s="1549"/>
      <c r="AB484" s="1549"/>
      <c r="AC484" s="1549"/>
      <c r="AD484" s="1549"/>
      <c r="AE484" s="1549"/>
      <c r="AF484" s="1549"/>
      <c r="AG484" s="1549"/>
      <c r="AH484" s="1549"/>
    </row>
    <row r="485" spans="1:34" ht="12.75" customHeight="1" x14ac:dyDescent="0.2">
      <c r="A485" s="1549"/>
      <c r="B485" s="1549"/>
      <c r="C485" s="1549"/>
      <c r="D485" s="1549"/>
      <c r="E485" s="1549"/>
      <c r="F485" s="1549"/>
      <c r="G485" s="1549"/>
      <c r="H485" s="1549"/>
      <c r="I485" s="1549"/>
      <c r="J485" s="1549"/>
      <c r="K485" s="1549"/>
      <c r="L485" s="1549"/>
      <c r="M485" s="1549"/>
      <c r="N485" s="1549"/>
      <c r="O485" s="1549"/>
      <c r="P485" s="1549"/>
      <c r="Q485" s="1549"/>
      <c r="R485" s="1549"/>
      <c r="S485" s="1549"/>
      <c r="T485" s="1549"/>
      <c r="U485" s="1549"/>
      <c r="V485" s="1549"/>
      <c r="W485" s="1549"/>
      <c r="X485" s="1549"/>
      <c r="Y485" s="1549"/>
      <c r="Z485" s="1549"/>
      <c r="AA485" s="1549"/>
      <c r="AB485" s="1549"/>
      <c r="AC485" s="1549"/>
      <c r="AD485" s="1549"/>
      <c r="AE485" s="1549"/>
      <c r="AF485" s="1549"/>
      <c r="AG485" s="1549"/>
      <c r="AH485" s="1549"/>
    </row>
    <row r="486" spans="1:34" ht="12.75" customHeight="1" x14ac:dyDescent="0.2">
      <c r="A486" s="1549"/>
      <c r="B486" s="1549"/>
      <c r="C486" s="1549"/>
      <c r="D486" s="1549"/>
      <c r="E486" s="1549"/>
      <c r="F486" s="1549"/>
      <c r="G486" s="1549"/>
      <c r="H486" s="1549"/>
      <c r="I486" s="1549"/>
      <c r="J486" s="1549"/>
      <c r="K486" s="1549"/>
      <c r="L486" s="1549"/>
      <c r="M486" s="1549"/>
      <c r="N486" s="1549"/>
      <c r="O486" s="1549"/>
      <c r="P486" s="1549"/>
      <c r="Q486" s="1549"/>
      <c r="R486" s="1549"/>
      <c r="S486" s="1549"/>
      <c r="T486" s="1549"/>
      <c r="U486" s="1549"/>
      <c r="V486" s="1549"/>
      <c r="W486" s="1549"/>
      <c r="X486" s="1549"/>
      <c r="Y486" s="1549"/>
      <c r="Z486" s="1549"/>
      <c r="AA486" s="1549"/>
      <c r="AB486" s="1549"/>
      <c r="AC486" s="1549"/>
      <c r="AD486" s="1549"/>
      <c r="AE486" s="1549"/>
      <c r="AF486" s="1549"/>
      <c r="AG486" s="1549"/>
      <c r="AH486" s="1549"/>
    </row>
    <row r="487" spans="1:34" ht="12.75" customHeight="1" x14ac:dyDescent="0.2">
      <c r="A487" s="1549"/>
      <c r="B487" s="1549"/>
      <c r="C487" s="1549"/>
      <c r="D487" s="1549"/>
      <c r="E487" s="1549"/>
      <c r="F487" s="1549"/>
      <c r="G487" s="1549"/>
      <c r="H487" s="1549"/>
      <c r="I487" s="1549"/>
      <c r="J487" s="1549"/>
      <c r="K487" s="1549"/>
      <c r="L487" s="1549"/>
      <c r="M487" s="1549"/>
      <c r="N487" s="1549"/>
      <c r="O487" s="1549"/>
      <c r="P487" s="1549"/>
      <c r="Q487" s="1549"/>
      <c r="R487" s="1549"/>
      <c r="S487" s="1549"/>
      <c r="T487" s="1549"/>
      <c r="U487" s="1549"/>
      <c r="V487" s="1549"/>
      <c r="W487" s="1549"/>
      <c r="X487" s="1549"/>
      <c r="Y487" s="1549"/>
      <c r="Z487" s="1549"/>
      <c r="AA487" s="1549"/>
      <c r="AB487" s="1549"/>
      <c r="AC487" s="1549"/>
      <c r="AD487" s="1549"/>
      <c r="AE487" s="1549"/>
      <c r="AF487" s="1549"/>
      <c r="AG487" s="1549"/>
      <c r="AH487" s="1549"/>
    </row>
    <row r="488" spans="1:34" ht="12.75" customHeight="1" x14ac:dyDescent="0.2">
      <c r="A488" s="1549"/>
      <c r="B488" s="1549"/>
      <c r="C488" s="1549"/>
      <c r="D488" s="1549"/>
      <c r="E488" s="1549"/>
      <c r="F488" s="1549"/>
      <c r="G488" s="1549"/>
      <c r="H488" s="1549"/>
      <c r="I488" s="1549"/>
      <c r="J488" s="1549"/>
      <c r="K488" s="1549"/>
      <c r="L488" s="1549"/>
      <c r="M488" s="1549"/>
      <c r="N488" s="1549"/>
      <c r="O488" s="1549"/>
      <c r="P488" s="1549"/>
      <c r="Q488" s="1549"/>
      <c r="R488" s="1549"/>
      <c r="S488" s="1549"/>
      <c r="T488" s="1549"/>
      <c r="U488" s="1549"/>
      <c r="V488" s="1549"/>
      <c r="W488" s="1549"/>
      <c r="X488" s="1549"/>
      <c r="Y488" s="1549"/>
      <c r="Z488" s="1549"/>
      <c r="AA488" s="1549"/>
      <c r="AB488" s="1549"/>
      <c r="AC488" s="1549"/>
      <c r="AD488" s="1549"/>
      <c r="AE488" s="1549"/>
      <c r="AF488" s="1549"/>
      <c r="AG488" s="1549"/>
      <c r="AH488" s="1549"/>
    </row>
    <row r="489" spans="1:34" ht="12.75" customHeight="1" x14ac:dyDescent="0.2">
      <c r="A489" s="1549"/>
      <c r="B489" s="1549"/>
      <c r="C489" s="1549"/>
      <c r="D489" s="1549"/>
      <c r="E489" s="1549"/>
      <c r="F489" s="1549"/>
      <c r="G489" s="1549"/>
      <c r="H489" s="1549"/>
      <c r="I489" s="1549"/>
      <c r="J489" s="1549"/>
      <c r="K489" s="1549"/>
      <c r="L489" s="1549"/>
      <c r="M489" s="1549"/>
      <c r="N489" s="1549"/>
      <c r="O489" s="1549"/>
      <c r="P489" s="1549"/>
      <c r="Q489" s="1549"/>
      <c r="R489" s="1549"/>
      <c r="S489" s="1549"/>
      <c r="T489" s="1549"/>
      <c r="U489" s="1549"/>
      <c r="V489" s="1549"/>
      <c r="W489" s="1549"/>
      <c r="X489" s="1549"/>
      <c r="Y489" s="1549"/>
      <c r="Z489" s="1549"/>
      <c r="AA489" s="1549"/>
      <c r="AB489" s="1549"/>
      <c r="AC489" s="1549"/>
      <c r="AD489" s="1549"/>
      <c r="AE489" s="1549"/>
      <c r="AF489" s="1549"/>
      <c r="AG489" s="1549"/>
      <c r="AH489" s="1549"/>
    </row>
    <row r="490" spans="1:34" ht="12.75" customHeight="1" x14ac:dyDescent="0.2">
      <c r="A490" s="1549"/>
      <c r="B490" s="1549"/>
      <c r="C490" s="1549"/>
      <c r="D490" s="1549"/>
      <c r="E490" s="1549"/>
      <c r="F490" s="1549"/>
      <c r="G490" s="1549"/>
      <c r="H490" s="1549"/>
      <c r="I490" s="1549"/>
      <c r="J490" s="1549"/>
      <c r="K490" s="1549"/>
      <c r="L490" s="1549"/>
      <c r="M490" s="1549"/>
      <c r="N490" s="1549"/>
      <c r="O490" s="1549"/>
      <c r="P490" s="1549"/>
      <c r="Q490" s="1549"/>
      <c r="R490" s="1549"/>
      <c r="S490" s="1549"/>
      <c r="T490" s="1549"/>
      <c r="U490" s="1549"/>
      <c r="V490" s="1549"/>
      <c r="W490" s="1549"/>
      <c r="X490" s="1549"/>
      <c r="Y490" s="1549"/>
      <c r="Z490" s="1549"/>
      <c r="AA490" s="1549"/>
      <c r="AB490" s="1549"/>
      <c r="AC490" s="1549"/>
      <c r="AD490" s="1549"/>
      <c r="AE490" s="1549"/>
      <c r="AF490" s="1549"/>
      <c r="AG490" s="1549"/>
      <c r="AH490" s="1549"/>
    </row>
    <row r="491" spans="1:34" ht="12.75" customHeight="1" x14ac:dyDescent="0.2">
      <c r="A491" s="1549"/>
      <c r="B491" s="1549"/>
      <c r="C491" s="1549"/>
      <c r="D491" s="1549"/>
      <c r="E491" s="1549"/>
      <c r="F491" s="1549"/>
      <c r="G491" s="1549"/>
      <c r="H491" s="1549"/>
      <c r="I491" s="1549"/>
      <c r="J491" s="1549"/>
      <c r="K491" s="1549"/>
      <c r="L491" s="1549"/>
      <c r="M491" s="1549"/>
      <c r="N491" s="1549"/>
      <c r="O491" s="1549"/>
      <c r="P491" s="1549"/>
      <c r="Q491" s="1549"/>
      <c r="R491" s="1549"/>
      <c r="S491" s="1549"/>
      <c r="T491" s="1549"/>
      <c r="U491" s="1549"/>
      <c r="V491" s="1549"/>
      <c r="W491" s="1549"/>
      <c r="X491" s="1549"/>
      <c r="Y491" s="1549"/>
      <c r="Z491" s="1549"/>
      <c r="AA491" s="1549"/>
      <c r="AB491" s="1549"/>
      <c r="AC491" s="1549"/>
      <c r="AD491" s="1549"/>
      <c r="AE491" s="1549"/>
      <c r="AF491" s="1549"/>
      <c r="AG491" s="1549"/>
      <c r="AH491" s="1549"/>
    </row>
    <row r="492" spans="1:34" ht="12.75" customHeight="1" x14ac:dyDescent="0.2">
      <c r="A492" s="1549"/>
      <c r="B492" s="1549"/>
      <c r="C492" s="1549"/>
      <c r="D492" s="1549"/>
      <c r="E492" s="1549"/>
      <c r="F492" s="1549"/>
      <c r="G492" s="1549"/>
      <c r="H492" s="1549"/>
      <c r="I492" s="1549"/>
      <c r="J492" s="1549"/>
      <c r="K492" s="1549"/>
      <c r="L492" s="1549"/>
      <c r="M492" s="1549"/>
      <c r="N492" s="1549"/>
      <c r="O492" s="1549"/>
      <c r="P492" s="1549"/>
      <c r="Q492" s="1549"/>
      <c r="R492" s="1549"/>
      <c r="S492" s="1549"/>
      <c r="T492" s="1549"/>
      <c r="U492" s="1549"/>
      <c r="V492" s="1549"/>
      <c r="W492" s="1549"/>
      <c r="X492" s="1549"/>
      <c r="Y492" s="1549"/>
      <c r="Z492" s="1549"/>
      <c r="AA492" s="1549"/>
      <c r="AB492" s="1549"/>
      <c r="AC492" s="1549"/>
      <c r="AD492" s="1549"/>
      <c r="AE492" s="1549"/>
      <c r="AF492" s="1549"/>
      <c r="AG492" s="1549"/>
      <c r="AH492" s="1549"/>
    </row>
    <row r="493" spans="1:34" ht="12.75" customHeight="1" x14ac:dyDescent="0.2">
      <c r="A493" s="1549"/>
      <c r="B493" s="1549"/>
      <c r="C493" s="1549"/>
      <c r="D493" s="1549"/>
      <c r="E493" s="1549"/>
      <c r="F493" s="1549"/>
      <c r="G493" s="1549"/>
      <c r="H493" s="1549"/>
      <c r="I493" s="1549"/>
      <c r="J493" s="1549"/>
      <c r="K493" s="1549"/>
      <c r="L493" s="1549"/>
      <c r="M493" s="1549"/>
      <c r="N493" s="1549"/>
      <c r="O493" s="1549"/>
      <c r="P493" s="1549"/>
      <c r="Q493" s="1549"/>
      <c r="R493" s="1549"/>
      <c r="S493" s="1549"/>
      <c r="T493" s="1549"/>
      <c r="U493" s="1549"/>
      <c r="V493" s="1549"/>
      <c r="W493" s="1549"/>
      <c r="X493" s="1549"/>
      <c r="Y493" s="1549"/>
      <c r="Z493" s="1549"/>
      <c r="AA493" s="1549"/>
      <c r="AB493" s="1549"/>
      <c r="AC493" s="1549"/>
      <c r="AD493" s="1549"/>
      <c r="AE493" s="1549"/>
      <c r="AF493" s="1549"/>
      <c r="AG493" s="1549"/>
      <c r="AH493" s="1549"/>
    </row>
    <row r="494" spans="1:34" ht="12.75" customHeight="1" x14ac:dyDescent="0.2">
      <c r="A494" s="1549"/>
      <c r="B494" s="1549"/>
      <c r="C494" s="1549"/>
      <c r="D494" s="1549"/>
      <c r="E494" s="1549"/>
      <c r="F494" s="1549"/>
      <c r="G494" s="1549"/>
      <c r="H494" s="1549"/>
      <c r="I494" s="1549"/>
      <c r="J494" s="1549"/>
      <c r="K494" s="1549"/>
      <c r="L494" s="1549"/>
      <c r="M494" s="1549"/>
      <c r="N494" s="1549"/>
      <c r="O494" s="1549"/>
      <c r="P494" s="1549"/>
      <c r="Q494" s="1549"/>
      <c r="R494" s="1549"/>
      <c r="S494" s="1549"/>
      <c r="T494" s="1549"/>
      <c r="U494" s="1549"/>
      <c r="V494" s="1549"/>
      <c r="W494" s="1549"/>
      <c r="X494" s="1549"/>
      <c r="Y494" s="1549"/>
      <c r="Z494" s="1549"/>
      <c r="AA494" s="1549"/>
      <c r="AB494" s="1549"/>
      <c r="AC494" s="1549"/>
      <c r="AD494" s="1549"/>
      <c r="AE494" s="1549"/>
      <c r="AF494" s="1549"/>
      <c r="AG494" s="1549"/>
      <c r="AH494" s="1549"/>
    </row>
    <row r="495" spans="1:34" ht="12.75" customHeight="1" x14ac:dyDescent="0.2">
      <c r="A495" s="1549"/>
      <c r="B495" s="1549"/>
      <c r="C495" s="1549"/>
      <c r="D495" s="1549"/>
      <c r="E495" s="1549"/>
      <c r="F495" s="1549"/>
      <c r="G495" s="1549"/>
      <c r="H495" s="1549"/>
      <c r="I495" s="1549"/>
      <c r="J495" s="1549"/>
      <c r="K495" s="1549"/>
      <c r="L495" s="1549"/>
      <c r="M495" s="1549"/>
      <c r="N495" s="1549"/>
      <c r="O495" s="1549"/>
      <c r="P495" s="1549"/>
      <c r="Q495" s="1549"/>
      <c r="R495" s="1549"/>
      <c r="S495" s="1549"/>
      <c r="T495" s="1549"/>
      <c r="U495" s="1549"/>
      <c r="V495" s="1549"/>
      <c r="W495" s="1549"/>
      <c r="X495" s="1549"/>
      <c r="Y495" s="1549"/>
      <c r="Z495" s="1549"/>
      <c r="AA495" s="1549"/>
      <c r="AB495" s="1549"/>
      <c r="AC495" s="1549"/>
      <c r="AD495" s="1549"/>
      <c r="AE495" s="1549"/>
      <c r="AF495" s="1549"/>
      <c r="AG495" s="1549"/>
      <c r="AH495" s="1549"/>
    </row>
    <row r="496" spans="1:34" ht="12.75" customHeight="1" x14ac:dyDescent="0.2">
      <c r="A496" s="1549"/>
      <c r="B496" s="1549"/>
      <c r="C496" s="1549"/>
      <c r="D496" s="1549"/>
      <c r="E496" s="1549"/>
      <c r="F496" s="1549"/>
      <c r="G496" s="1549"/>
      <c r="H496" s="1549"/>
      <c r="I496" s="1549"/>
      <c r="J496" s="1549"/>
      <c r="K496" s="1549"/>
      <c r="L496" s="1549"/>
      <c r="M496" s="1549"/>
      <c r="N496" s="1549"/>
      <c r="O496" s="1549"/>
      <c r="P496" s="1549"/>
      <c r="Q496" s="1549"/>
      <c r="R496" s="1549"/>
      <c r="S496" s="1549"/>
      <c r="T496" s="1549"/>
      <c r="U496" s="1549"/>
      <c r="V496" s="1549"/>
      <c r="W496" s="1549"/>
      <c r="X496" s="1549"/>
      <c r="Y496" s="1549"/>
      <c r="Z496" s="1549"/>
      <c r="AA496" s="1549"/>
      <c r="AB496" s="1549"/>
      <c r="AC496" s="1549"/>
      <c r="AD496" s="1549"/>
      <c r="AE496" s="1549"/>
      <c r="AF496" s="1549"/>
      <c r="AG496" s="1549"/>
      <c r="AH496" s="1549"/>
    </row>
    <row r="497" spans="1:34" ht="12.75" customHeight="1" x14ac:dyDescent="0.2">
      <c r="A497" s="1549"/>
      <c r="B497" s="1549"/>
      <c r="C497" s="1549"/>
      <c r="D497" s="1549"/>
      <c r="E497" s="1549"/>
      <c r="F497" s="1549"/>
      <c r="G497" s="1549"/>
      <c r="H497" s="1549"/>
      <c r="I497" s="1549"/>
      <c r="J497" s="1549"/>
      <c r="K497" s="1549"/>
      <c r="L497" s="1549"/>
      <c r="M497" s="1549"/>
      <c r="N497" s="1549"/>
      <c r="O497" s="1549"/>
      <c r="P497" s="1549"/>
      <c r="Q497" s="1549"/>
      <c r="R497" s="1549"/>
      <c r="S497" s="1549"/>
      <c r="T497" s="1549"/>
      <c r="U497" s="1549"/>
      <c r="V497" s="1549"/>
      <c r="W497" s="1549"/>
      <c r="X497" s="1549"/>
      <c r="Y497" s="1549"/>
      <c r="Z497" s="1549"/>
      <c r="AA497" s="1549"/>
      <c r="AB497" s="1549"/>
      <c r="AC497" s="1549"/>
      <c r="AD497" s="1549"/>
      <c r="AE497" s="1549"/>
      <c r="AF497" s="1549"/>
      <c r="AG497" s="1549"/>
      <c r="AH497" s="1549"/>
    </row>
    <row r="498" spans="1:34" ht="12.75" customHeight="1" x14ac:dyDescent="0.2">
      <c r="A498" s="1549"/>
      <c r="B498" s="1549"/>
      <c r="C498" s="1549"/>
      <c r="D498" s="1549"/>
      <c r="E498" s="1549"/>
      <c r="F498" s="1549"/>
      <c r="G498" s="1549"/>
      <c r="H498" s="1549"/>
      <c r="I498" s="1549"/>
      <c r="J498" s="1549"/>
      <c r="K498" s="1549"/>
      <c r="L498" s="1549"/>
      <c r="M498" s="1549"/>
      <c r="N498" s="1549"/>
      <c r="O498" s="1549"/>
      <c r="P498" s="1549"/>
      <c r="Q498" s="1549"/>
      <c r="R498" s="1549"/>
      <c r="S498" s="1549"/>
      <c r="T498" s="1549"/>
      <c r="U498" s="1549"/>
      <c r="V498" s="1549"/>
      <c r="W498" s="1549"/>
      <c r="X498" s="1549"/>
      <c r="Y498" s="1549"/>
      <c r="Z498" s="1549"/>
      <c r="AA498" s="1549"/>
      <c r="AB498" s="1549"/>
      <c r="AC498" s="1549"/>
      <c r="AD498" s="1549"/>
      <c r="AE498" s="1549"/>
      <c r="AF498" s="1549"/>
      <c r="AG498" s="1549"/>
      <c r="AH498" s="1549"/>
    </row>
    <row r="499" spans="1:34" ht="12.75" customHeight="1" x14ac:dyDescent="0.2">
      <c r="A499" s="1549"/>
      <c r="B499" s="1549"/>
      <c r="C499" s="1549"/>
      <c r="D499" s="1549"/>
      <c r="E499" s="1549"/>
      <c r="F499" s="1549"/>
      <c r="G499" s="1549"/>
      <c r="H499" s="1549"/>
      <c r="I499" s="1549"/>
      <c r="J499" s="1549"/>
      <c r="K499" s="1549"/>
      <c r="L499" s="1549"/>
      <c r="M499" s="1549"/>
      <c r="N499" s="1549"/>
      <c r="O499" s="1549"/>
      <c r="P499" s="1549"/>
      <c r="Q499" s="1549"/>
      <c r="R499" s="1549"/>
      <c r="S499" s="1549"/>
      <c r="T499" s="1549"/>
      <c r="U499" s="1549"/>
      <c r="V499" s="1549"/>
      <c r="W499" s="1549"/>
      <c r="X499" s="1549"/>
      <c r="Y499" s="1549"/>
      <c r="Z499" s="1549"/>
      <c r="AA499" s="1549"/>
      <c r="AB499" s="1549"/>
      <c r="AC499" s="1549"/>
      <c r="AD499" s="1549"/>
      <c r="AE499" s="1549"/>
      <c r="AF499" s="1549"/>
      <c r="AG499" s="1549"/>
      <c r="AH499" s="1549"/>
    </row>
    <row r="500" spans="1:34" ht="12.75" customHeight="1" x14ac:dyDescent="0.2">
      <c r="A500" s="1549"/>
      <c r="B500" s="1549"/>
      <c r="C500" s="1549"/>
      <c r="D500" s="1549"/>
      <c r="E500" s="1549"/>
      <c r="F500" s="1549"/>
      <c r="G500" s="1549"/>
      <c r="H500" s="1549"/>
      <c r="I500" s="1549"/>
      <c r="J500" s="1549"/>
      <c r="K500" s="1549"/>
      <c r="L500" s="1549"/>
      <c r="M500" s="1549"/>
      <c r="N500" s="1549"/>
      <c r="O500" s="1549"/>
      <c r="P500" s="1549"/>
      <c r="Q500" s="1549"/>
      <c r="R500" s="1549"/>
      <c r="S500" s="1549"/>
      <c r="T500" s="1549"/>
      <c r="U500" s="1549"/>
      <c r="V500" s="1549"/>
      <c r="W500" s="1549"/>
      <c r="X500" s="1549"/>
      <c r="Y500" s="1549"/>
      <c r="Z500" s="1549"/>
      <c r="AA500" s="1549"/>
      <c r="AB500" s="1549"/>
      <c r="AC500" s="1549"/>
      <c r="AD500" s="1549"/>
      <c r="AE500" s="1549"/>
      <c r="AF500" s="1549"/>
      <c r="AG500" s="1549"/>
      <c r="AH500" s="1549"/>
    </row>
    <row r="501" spans="1:34" ht="12.75" customHeight="1" x14ac:dyDescent="0.2">
      <c r="A501" s="1549"/>
      <c r="B501" s="1549"/>
      <c r="C501" s="1549"/>
      <c r="D501" s="1549"/>
      <c r="E501" s="1549"/>
      <c r="F501" s="1549"/>
      <c r="G501" s="1549"/>
      <c r="H501" s="1549"/>
      <c r="I501" s="1549"/>
      <c r="J501" s="1549"/>
      <c r="K501" s="1549"/>
      <c r="L501" s="1549"/>
      <c r="M501" s="1549"/>
      <c r="N501" s="1549"/>
      <c r="O501" s="1549"/>
      <c r="P501" s="1549"/>
      <c r="Q501" s="1549"/>
      <c r="R501" s="1549"/>
      <c r="S501" s="1549"/>
      <c r="T501" s="1549"/>
      <c r="U501" s="1549"/>
      <c r="V501" s="1549"/>
      <c r="W501" s="1549"/>
      <c r="X501" s="1549"/>
      <c r="Y501" s="1549"/>
      <c r="Z501" s="1549"/>
      <c r="AA501" s="1549"/>
      <c r="AB501" s="1549"/>
      <c r="AC501" s="1549"/>
      <c r="AD501" s="1549"/>
      <c r="AE501" s="1549"/>
      <c r="AF501" s="1549"/>
      <c r="AG501" s="1549"/>
      <c r="AH501" s="1549"/>
    </row>
    <row r="502" spans="1:34" ht="12.75" customHeight="1" x14ac:dyDescent="0.2">
      <c r="A502" s="1549"/>
      <c r="B502" s="1549"/>
      <c r="C502" s="1549"/>
      <c r="D502" s="1549"/>
      <c r="E502" s="1549"/>
      <c r="F502" s="1549"/>
      <c r="G502" s="1549"/>
      <c r="H502" s="1549"/>
      <c r="I502" s="1549"/>
      <c r="J502" s="1549"/>
      <c r="K502" s="1549"/>
      <c r="L502" s="1549"/>
      <c r="M502" s="1549"/>
      <c r="N502" s="1549"/>
      <c r="O502" s="1549"/>
      <c r="P502" s="1549"/>
      <c r="Q502" s="1549"/>
      <c r="R502" s="1549"/>
      <c r="S502" s="1549"/>
      <c r="T502" s="1549"/>
      <c r="U502" s="1549"/>
      <c r="V502" s="1549"/>
      <c r="W502" s="1549"/>
      <c r="X502" s="1549"/>
      <c r="Y502" s="1549"/>
      <c r="Z502" s="1549"/>
      <c r="AA502" s="1549"/>
      <c r="AB502" s="1549"/>
      <c r="AC502" s="1549"/>
      <c r="AD502" s="1549"/>
      <c r="AE502" s="1549"/>
      <c r="AF502" s="1549"/>
      <c r="AG502" s="1549"/>
      <c r="AH502" s="1549"/>
    </row>
    <row r="503" spans="1:34" ht="12.75" customHeight="1" x14ac:dyDescent="0.2">
      <c r="A503" s="1549"/>
      <c r="B503" s="1549"/>
      <c r="C503" s="1549"/>
      <c r="D503" s="1549"/>
      <c r="E503" s="1549"/>
      <c r="F503" s="1549"/>
      <c r="G503" s="1549"/>
      <c r="H503" s="1549"/>
      <c r="I503" s="1549"/>
      <c r="J503" s="1549"/>
      <c r="K503" s="1549"/>
      <c r="L503" s="1549"/>
      <c r="M503" s="1549"/>
      <c r="N503" s="1549"/>
      <c r="O503" s="1549"/>
      <c r="P503" s="1549"/>
      <c r="Q503" s="1549"/>
      <c r="R503" s="1549"/>
      <c r="S503" s="1549"/>
      <c r="T503" s="1549"/>
      <c r="U503" s="1549"/>
      <c r="V503" s="1549"/>
      <c r="W503" s="1549"/>
      <c r="X503" s="1549"/>
      <c r="Y503" s="1549"/>
      <c r="Z503" s="1549"/>
      <c r="AA503" s="1549"/>
      <c r="AB503" s="1549"/>
      <c r="AC503" s="1549"/>
      <c r="AD503" s="1549"/>
      <c r="AE503" s="1549"/>
      <c r="AF503" s="1549"/>
      <c r="AG503" s="1549"/>
      <c r="AH503" s="1549"/>
    </row>
    <row r="504" spans="1:34" ht="12.75" customHeight="1" x14ac:dyDescent="0.2">
      <c r="A504" s="1549"/>
      <c r="B504" s="1549"/>
      <c r="C504" s="1549"/>
      <c r="D504" s="1549"/>
      <c r="E504" s="1549"/>
      <c r="F504" s="1549"/>
      <c r="G504" s="1549"/>
      <c r="H504" s="1549"/>
      <c r="I504" s="1549"/>
      <c r="J504" s="1549"/>
      <c r="K504" s="1549"/>
      <c r="L504" s="1549"/>
      <c r="M504" s="1549"/>
      <c r="N504" s="1549"/>
      <c r="O504" s="1549"/>
      <c r="P504" s="1549"/>
      <c r="Q504" s="1549"/>
      <c r="R504" s="1549"/>
      <c r="S504" s="1549"/>
      <c r="T504" s="1549"/>
      <c r="U504" s="1549"/>
      <c r="V504" s="1549"/>
      <c r="W504" s="1549"/>
      <c r="X504" s="1549"/>
      <c r="Y504" s="1549"/>
      <c r="Z504" s="1549"/>
      <c r="AA504" s="1549"/>
      <c r="AB504" s="1549"/>
      <c r="AC504" s="1549"/>
      <c r="AD504" s="1549"/>
      <c r="AE504" s="1549"/>
      <c r="AF504" s="1549"/>
      <c r="AG504" s="1549"/>
      <c r="AH504" s="1549"/>
    </row>
    <row r="505" spans="1:34" ht="12.75" customHeight="1" x14ac:dyDescent="0.2">
      <c r="A505" s="1549"/>
      <c r="B505" s="1549"/>
      <c r="C505" s="1549"/>
      <c r="D505" s="1549"/>
      <c r="E505" s="1549"/>
      <c r="F505" s="1549"/>
      <c r="G505" s="1549"/>
      <c r="H505" s="1549"/>
      <c r="I505" s="1549"/>
      <c r="J505" s="1549"/>
      <c r="K505" s="1549"/>
      <c r="L505" s="1549"/>
      <c r="M505" s="1549"/>
      <c r="N505" s="1549"/>
      <c r="O505" s="1549"/>
      <c r="P505" s="1549"/>
      <c r="Q505" s="1549"/>
      <c r="R505" s="1549"/>
      <c r="S505" s="1549"/>
      <c r="T505" s="1549"/>
      <c r="U505" s="1549"/>
      <c r="V505" s="1549"/>
      <c r="W505" s="1549"/>
      <c r="X505" s="1549"/>
      <c r="Y505" s="1549"/>
      <c r="Z505" s="1549"/>
      <c r="AA505" s="1549"/>
      <c r="AB505" s="1549"/>
      <c r="AC505" s="1549"/>
      <c r="AD505" s="1549"/>
      <c r="AE505" s="1549"/>
      <c r="AF505" s="1549"/>
      <c r="AG505" s="1549"/>
      <c r="AH505" s="1549"/>
    </row>
    <row r="506" spans="1:34" ht="12.75" customHeight="1" x14ac:dyDescent="0.2">
      <c r="A506" s="1549"/>
      <c r="B506" s="1549"/>
      <c r="C506" s="1549"/>
      <c r="D506" s="1549"/>
      <c r="E506" s="1549"/>
      <c r="F506" s="1549"/>
      <c r="G506" s="1549"/>
      <c r="H506" s="1549"/>
      <c r="I506" s="1549"/>
      <c r="J506" s="1549"/>
      <c r="K506" s="1549"/>
      <c r="L506" s="1549"/>
      <c r="M506" s="1549"/>
      <c r="N506" s="1549"/>
      <c r="O506" s="1549"/>
      <c r="P506" s="1549"/>
      <c r="Q506" s="1549"/>
      <c r="R506" s="1549"/>
      <c r="S506" s="1549"/>
      <c r="T506" s="1549"/>
      <c r="U506" s="1549"/>
      <c r="V506" s="1549"/>
      <c r="W506" s="1549"/>
      <c r="X506" s="1549"/>
      <c r="Y506" s="1549"/>
      <c r="Z506" s="1549"/>
      <c r="AA506" s="1549"/>
      <c r="AB506" s="1549"/>
      <c r="AC506" s="1549"/>
      <c r="AD506" s="1549"/>
      <c r="AE506" s="1549"/>
      <c r="AF506" s="1549"/>
      <c r="AG506" s="1549"/>
      <c r="AH506" s="1549"/>
    </row>
    <row r="507" spans="1:34" ht="12.75" customHeight="1" x14ac:dyDescent="0.2">
      <c r="A507" s="1549"/>
      <c r="B507" s="1549"/>
      <c r="C507" s="1549"/>
      <c r="D507" s="1549"/>
      <c r="E507" s="1549"/>
      <c r="F507" s="1549"/>
      <c r="G507" s="1549"/>
      <c r="H507" s="1549"/>
      <c r="I507" s="1549"/>
      <c r="J507" s="1549"/>
      <c r="K507" s="1549"/>
      <c r="L507" s="1549"/>
      <c r="M507" s="1549"/>
      <c r="N507" s="1549"/>
      <c r="O507" s="1549"/>
      <c r="P507" s="1549"/>
      <c r="Q507" s="1549"/>
      <c r="R507" s="1549"/>
      <c r="S507" s="1549"/>
      <c r="T507" s="1549"/>
      <c r="U507" s="1549"/>
      <c r="V507" s="1549"/>
      <c r="W507" s="1549"/>
      <c r="X507" s="1549"/>
      <c r="Y507" s="1549"/>
      <c r="Z507" s="1549"/>
      <c r="AA507" s="1549"/>
      <c r="AB507" s="1549"/>
      <c r="AC507" s="1549"/>
      <c r="AD507" s="1549"/>
      <c r="AE507" s="1549"/>
      <c r="AF507" s="1549"/>
      <c r="AG507" s="1549"/>
      <c r="AH507" s="1549"/>
    </row>
    <row r="508" spans="1:34" ht="12.75" customHeight="1" x14ac:dyDescent="0.2">
      <c r="A508" s="1549"/>
      <c r="B508" s="1549"/>
      <c r="C508" s="1549"/>
      <c r="D508" s="1549"/>
      <c r="E508" s="1549"/>
      <c r="F508" s="1549"/>
      <c r="G508" s="1549"/>
      <c r="H508" s="1549"/>
      <c r="I508" s="1549"/>
      <c r="J508" s="1549"/>
      <c r="K508" s="1549"/>
      <c r="L508" s="1549"/>
      <c r="M508" s="1549"/>
      <c r="N508" s="1549"/>
      <c r="O508" s="1549"/>
      <c r="P508" s="1549"/>
      <c r="Q508" s="1549"/>
      <c r="R508" s="1549"/>
      <c r="S508" s="1549"/>
      <c r="T508" s="1549"/>
      <c r="U508" s="1549"/>
      <c r="V508" s="1549"/>
      <c r="W508" s="1549"/>
      <c r="X508" s="1549"/>
      <c r="Y508" s="1549"/>
      <c r="Z508" s="1549"/>
      <c r="AA508" s="1549"/>
      <c r="AB508" s="1549"/>
      <c r="AC508" s="1549"/>
      <c r="AD508" s="1549"/>
      <c r="AE508" s="1549"/>
      <c r="AF508" s="1549"/>
      <c r="AG508" s="1549"/>
      <c r="AH508" s="1549"/>
    </row>
    <row r="509" spans="1:34" ht="12.75" customHeight="1" x14ac:dyDescent="0.2">
      <c r="A509" s="1549"/>
      <c r="B509" s="1549"/>
      <c r="C509" s="1549"/>
      <c r="D509" s="1549"/>
      <c r="E509" s="1549"/>
      <c r="F509" s="1549"/>
      <c r="G509" s="1549"/>
      <c r="H509" s="1549"/>
      <c r="I509" s="1549"/>
      <c r="J509" s="1549"/>
      <c r="K509" s="1549"/>
      <c r="L509" s="1549"/>
      <c r="M509" s="1549"/>
      <c r="N509" s="1549"/>
      <c r="O509" s="1549"/>
      <c r="P509" s="1549"/>
      <c r="Q509" s="1549"/>
      <c r="R509" s="1549"/>
      <c r="S509" s="1549"/>
      <c r="T509" s="1549"/>
      <c r="U509" s="1549"/>
      <c r="V509" s="1549"/>
      <c r="W509" s="1549"/>
      <c r="X509" s="1549"/>
      <c r="Y509" s="1549"/>
      <c r="Z509" s="1549"/>
      <c r="AA509" s="1549"/>
      <c r="AB509" s="1549"/>
      <c r="AC509" s="1549"/>
      <c r="AD509" s="1549"/>
      <c r="AE509" s="1549"/>
      <c r="AF509" s="1549"/>
      <c r="AG509" s="1549"/>
      <c r="AH509" s="1549"/>
    </row>
    <row r="510" spans="1:34" ht="12.75" customHeight="1" x14ac:dyDescent="0.2">
      <c r="A510" s="1549"/>
      <c r="B510" s="1549"/>
      <c r="C510" s="1549"/>
      <c r="D510" s="1549"/>
      <c r="E510" s="1549"/>
      <c r="F510" s="1549"/>
      <c r="G510" s="1549"/>
      <c r="H510" s="1549"/>
      <c r="I510" s="1549"/>
      <c r="J510" s="1549"/>
      <c r="K510" s="1549"/>
      <c r="L510" s="1549"/>
      <c r="M510" s="1549"/>
      <c r="N510" s="1549"/>
      <c r="O510" s="1549"/>
      <c r="P510" s="1549"/>
      <c r="Q510" s="1549"/>
      <c r="R510" s="1549"/>
      <c r="S510" s="1549"/>
      <c r="T510" s="1549"/>
      <c r="U510" s="1549"/>
      <c r="V510" s="1549"/>
      <c r="W510" s="1549"/>
      <c r="X510" s="1549"/>
      <c r="Y510" s="1549"/>
      <c r="Z510" s="1549"/>
      <c r="AA510" s="1549"/>
      <c r="AB510" s="1549"/>
      <c r="AC510" s="1549"/>
      <c r="AD510" s="1549"/>
      <c r="AE510" s="1549"/>
      <c r="AF510" s="1549"/>
      <c r="AG510" s="1549"/>
      <c r="AH510" s="1549"/>
    </row>
    <row r="511" spans="1:34" ht="12.75" customHeight="1" x14ac:dyDescent="0.2">
      <c r="A511" s="1549"/>
      <c r="B511" s="1549"/>
      <c r="C511" s="1549"/>
      <c r="D511" s="1549"/>
      <c r="E511" s="1549"/>
      <c r="F511" s="1549"/>
      <c r="G511" s="1549"/>
      <c r="H511" s="1549"/>
      <c r="I511" s="1549"/>
      <c r="J511" s="1549"/>
      <c r="K511" s="1549"/>
      <c r="L511" s="1549"/>
      <c r="M511" s="1549"/>
      <c r="N511" s="1549"/>
      <c r="O511" s="1549"/>
      <c r="P511" s="1549"/>
      <c r="Q511" s="1549"/>
      <c r="R511" s="1549"/>
      <c r="S511" s="1549"/>
      <c r="T511" s="1549"/>
      <c r="U511" s="1549"/>
      <c r="V511" s="1549"/>
      <c r="W511" s="1549"/>
      <c r="X511" s="1549"/>
      <c r="Y511" s="1549"/>
      <c r="Z511" s="1549"/>
      <c r="AA511" s="1549"/>
      <c r="AB511" s="1549"/>
      <c r="AC511" s="1549"/>
      <c r="AD511" s="1549"/>
      <c r="AE511" s="1549"/>
      <c r="AF511" s="1549"/>
      <c r="AG511" s="1549"/>
      <c r="AH511" s="1549"/>
    </row>
    <row r="512" spans="1:34" ht="12.75" customHeight="1" x14ac:dyDescent="0.2">
      <c r="A512" s="1549"/>
      <c r="B512" s="1549"/>
      <c r="C512" s="1549"/>
      <c r="D512" s="1549"/>
      <c r="E512" s="1549"/>
      <c r="F512" s="1549"/>
      <c r="G512" s="1549"/>
      <c r="H512" s="1549"/>
      <c r="I512" s="1549"/>
      <c r="J512" s="1549"/>
      <c r="K512" s="1549"/>
      <c r="L512" s="1549"/>
      <c r="M512" s="1549"/>
      <c r="N512" s="1549"/>
      <c r="O512" s="1549"/>
      <c r="P512" s="1549"/>
      <c r="Q512" s="1549"/>
      <c r="R512" s="1549"/>
      <c r="S512" s="1549"/>
      <c r="T512" s="1549"/>
      <c r="U512" s="1549"/>
      <c r="V512" s="1549"/>
      <c r="W512" s="1549"/>
      <c r="X512" s="1549"/>
      <c r="Y512" s="1549"/>
      <c r="Z512" s="1549"/>
      <c r="AA512" s="1549"/>
      <c r="AB512" s="1549"/>
      <c r="AC512" s="1549"/>
      <c r="AD512" s="1549"/>
      <c r="AE512" s="1549"/>
      <c r="AF512" s="1549"/>
      <c r="AG512" s="1549"/>
      <c r="AH512" s="1549"/>
    </row>
    <row r="513" spans="1:34" ht="12.75" customHeight="1" x14ac:dyDescent="0.2">
      <c r="A513" s="1549"/>
      <c r="B513" s="1549"/>
      <c r="C513" s="1549"/>
      <c r="D513" s="1549"/>
      <c r="E513" s="1549"/>
      <c r="F513" s="1549"/>
      <c r="G513" s="1549"/>
      <c r="H513" s="1549"/>
      <c r="I513" s="1549"/>
      <c r="J513" s="1549"/>
      <c r="K513" s="1549"/>
      <c r="L513" s="1549"/>
      <c r="M513" s="1549"/>
      <c r="N513" s="1549"/>
      <c r="O513" s="1549"/>
      <c r="P513" s="1549"/>
      <c r="Q513" s="1549"/>
      <c r="R513" s="1549"/>
      <c r="S513" s="1549"/>
      <c r="T513" s="1549"/>
      <c r="U513" s="1549"/>
      <c r="V513" s="1549"/>
      <c r="W513" s="1549"/>
      <c r="X513" s="1549"/>
      <c r="Y513" s="1549"/>
      <c r="Z513" s="1549"/>
      <c r="AA513" s="1549"/>
      <c r="AB513" s="1549"/>
      <c r="AC513" s="1549"/>
      <c r="AD513" s="1549"/>
      <c r="AE513" s="1549"/>
      <c r="AF513" s="1549"/>
      <c r="AG513" s="1549"/>
      <c r="AH513" s="1549"/>
    </row>
    <row r="514" spans="1:34" ht="12.75" customHeight="1" x14ac:dyDescent="0.2">
      <c r="A514" s="1549"/>
      <c r="B514" s="1549"/>
      <c r="C514" s="1549"/>
      <c r="D514" s="1549"/>
      <c r="E514" s="1549"/>
      <c r="F514" s="1549"/>
      <c r="G514" s="1549"/>
      <c r="H514" s="1549"/>
      <c r="I514" s="1549"/>
      <c r="J514" s="1549"/>
      <c r="K514" s="1549"/>
      <c r="L514" s="1549"/>
      <c r="M514" s="1549"/>
      <c r="N514" s="1549"/>
      <c r="O514" s="1549"/>
      <c r="P514" s="1549"/>
      <c r="Q514" s="1549"/>
      <c r="R514" s="1549"/>
      <c r="S514" s="1549"/>
      <c r="T514" s="1549"/>
      <c r="U514" s="1549"/>
      <c r="V514" s="1549"/>
      <c r="W514" s="1549"/>
      <c r="X514" s="1549"/>
      <c r="Y514" s="1549"/>
      <c r="Z514" s="1549"/>
      <c r="AA514" s="1549"/>
      <c r="AB514" s="1549"/>
      <c r="AC514" s="1549"/>
      <c r="AD514" s="1549"/>
      <c r="AE514" s="1549"/>
      <c r="AF514" s="1549"/>
      <c r="AG514" s="1549"/>
      <c r="AH514" s="1549"/>
    </row>
    <row r="515" spans="1:34" ht="12.75" customHeight="1" x14ac:dyDescent="0.2">
      <c r="A515" s="1549"/>
      <c r="B515" s="1549"/>
      <c r="C515" s="1549"/>
      <c r="D515" s="1549"/>
      <c r="E515" s="1549"/>
      <c r="F515" s="1549"/>
      <c r="G515" s="1549"/>
      <c r="H515" s="1549"/>
      <c r="I515" s="1549"/>
      <c r="J515" s="1549"/>
      <c r="K515" s="1549"/>
      <c r="L515" s="1549"/>
      <c r="M515" s="1549"/>
      <c r="N515" s="1549"/>
      <c r="O515" s="1549"/>
      <c r="P515" s="1549"/>
      <c r="Q515" s="1549"/>
      <c r="R515" s="1549"/>
      <c r="S515" s="1549"/>
      <c r="T515" s="1549"/>
      <c r="U515" s="1549"/>
      <c r="V515" s="1549"/>
      <c r="W515" s="1549"/>
      <c r="X515" s="1549"/>
      <c r="Y515" s="1549"/>
      <c r="Z515" s="1549"/>
      <c r="AA515" s="1549"/>
      <c r="AB515" s="1549"/>
      <c r="AC515" s="1549"/>
      <c r="AD515" s="1549"/>
      <c r="AE515" s="1549"/>
      <c r="AF515" s="1549"/>
      <c r="AG515" s="1549"/>
      <c r="AH515" s="1549"/>
    </row>
    <row r="516" spans="1:34" ht="12.75" customHeight="1" x14ac:dyDescent="0.2">
      <c r="A516" s="1549"/>
      <c r="B516" s="1549"/>
      <c r="C516" s="1549"/>
      <c r="D516" s="1549"/>
      <c r="E516" s="1549"/>
      <c r="F516" s="1549"/>
      <c r="G516" s="1549"/>
      <c r="H516" s="1549"/>
      <c r="I516" s="1549"/>
      <c r="J516" s="1549"/>
      <c r="K516" s="1549"/>
      <c r="L516" s="1549"/>
      <c r="M516" s="1549"/>
      <c r="N516" s="1549"/>
      <c r="O516" s="1549"/>
      <c r="P516" s="1549"/>
      <c r="Q516" s="1549"/>
      <c r="R516" s="1549"/>
      <c r="S516" s="1549"/>
      <c r="T516" s="1549"/>
      <c r="U516" s="1549"/>
      <c r="V516" s="1549"/>
      <c r="W516" s="1549"/>
      <c r="X516" s="1549"/>
      <c r="Y516" s="1549"/>
      <c r="Z516" s="1549"/>
      <c r="AA516" s="1549"/>
      <c r="AB516" s="1549"/>
      <c r="AC516" s="1549"/>
      <c r="AD516" s="1549"/>
      <c r="AE516" s="1549"/>
      <c r="AF516" s="1549"/>
      <c r="AG516" s="1549"/>
      <c r="AH516" s="1549"/>
    </row>
    <row r="517" spans="1:34" ht="12.75" customHeight="1" x14ac:dyDescent="0.2">
      <c r="A517" s="1549"/>
      <c r="B517" s="1549"/>
      <c r="C517" s="1549"/>
      <c r="D517" s="1549"/>
      <c r="E517" s="1549"/>
      <c r="F517" s="1549"/>
      <c r="G517" s="1549"/>
      <c r="H517" s="1549"/>
      <c r="I517" s="1549"/>
      <c r="J517" s="1549"/>
      <c r="K517" s="1549"/>
      <c r="L517" s="1549"/>
      <c r="M517" s="1549"/>
      <c r="N517" s="1549"/>
      <c r="O517" s="1549"/>
      <c r="P517" s="1549"/>
      <c r="Q517" s="1549"/>
      <c r="R517" s="1549"/>
      <c r="S517" s="1549"/>
      <c r="T517" s="1549"/>
      <c r="U517" s="1549"/>
      <c r="V517" s="1549"/>
      <c r="W517" s="1549"/>
      <c r="X517" s="1549"/>
      <c r="Y517" s="1549"/>
      <c r="Z517" s="1549"/>
      <c r="AA517" s="1549"/>
      <c r="AB517" s="1549"/>
      <c r="AC517" s="1549"/>
      <c r="AD517" s="1549"/>
      <c r="AE517" s="1549"/>
      <c r="AF517" s="1549"/>
      <c r="AG517" s="1549"/>
      <c r="AH517" s="1549"/>
    </row>
    <row r="518" spans="1:34" ht="12.75" customHeight="1" x14ac:dyDescent="0.2">
      <c r="A518" s="1549"/>
      <c r="B518" s="1549"/>
      <c r="C518" s="1549"/>
      <c r="D518" s="1549"/>
      <c r="E518" s="1549"/>
      <c r="F518" s="1549"/>
      <c r="G518" s="1549"/>
      <c r="H518" s="1549"/>
      <c r="I518" s="1549"/>
      <c r="J518" s="1549"/>
      <c r="K518" s="1549"/>
      <c r="L518" s="1549"/>
      <c r="M518" s="1549"/>
      <c r="N518" s="1549"/>
      <c r="O518" s="1549"/>
      <c r="P518" s="1549"/>
      <c r="Q518" s="1549"/>
      <c r="R518" s="1549"/>
      <c r="S518" s="1549"/>
      <c r="T518" s="1549"/>
      <c r="U518" s="1549"/>
      <c r="V518" s="1549"/>
      <c r="W518" s="1549"/>
      <c r="X518" s="1549"/>
      <c r="Y518" s="1549"/>
      <c r="Z518" s="1549"/>
      <c r="AA518" s="1549"/>
      <c r="AB518" s="1549"/>
      <c r="AC518" s="1549"/>
      <c r="AD518" s="1549"/>
      <c r="AE518" s="1549"/>
      <c r="AF518" s="1549"/>
      <c r="AG518" s="1549"/>
      <c r="AH518" s="1549"/>
    </row>
    <row r="519" spans="1:34" ht="12.75" customHeight="1" x14ac:dyDescent="0.2">
      <c r="A519" s="1549"/>
      <c r="B519" s="1549"/>
      <c r="C519" s="1549"/>
      <c r="D519" s="1549"/>
      <c r="E519" s="1549"/>
      <c r="F519" s="1549"/>
      <c r="G519" s="1549"/>
      <c r="H519" s="1549"/>
      <c r="I519" s="1549"/>
      <c r="J519" s="1549"/>
      <c r="K519" s="1549"/>
      <c r="L519" s="1549"/>
      <c r="M519" s="1549"/>
      <c r="N519" s="1549"/>
      <c r="O519" s="1549"/>
      <c r="P519" s="1549"/>
      <c r="Q519" s="1549"/>
      <c r="R519" s="1549"/>
      <c r="S519" s="1549"/>
      <c r="T519" s="1549"/>
      <c r="U519" s="1549"/>
      <c r="V519" s="1549"/>
      <c r="W519" s="1549"/>
      <c r="X519" s="1549"/>
      <c r="Y519" s="1549"/>
      <c r="Z519" s="1549"/>
      <c r="AA519" s="1549"/>
      <c r="AB519" s="1549"/>
      <c r="AC519" s="1549"/>
      <c r="AD519" s="1549"/>
      <c r="AE519" s="1549"/>
      <c r="AF519" s="1549"/>
      <c r="AG519" s="1549"/>
      <c r="AH519" s="1549"/>
    </row>
    <row r="520" spans="1:34" ht="12.75" customHeight="1" x14ac:dyDescent="0.2">
      <c r="A520" s="1549"/>
      <c r="B520" s="1549"/>
      <c r="C520" s="1549"/>
      <c r="D520" s="1549"/>
      <c r="E520" s="1549"/>
      <c r="F520" s="1549"/>
      <c r="G520" s="1549"/>
      <c r="H520" s="1549"/>
      <c r="I520" s="1549"/>
      <c r="J520" s="1549"/>
      <c r="K520" s="1549"/>
      <c r="L520" s="1549"/>
      <c r="M520" s="1549"/>
      <c r="N520" s="1549"/>
      <c r="O520" s="1549"/>
      <c r="P520" s="1549"/>
      <c r="Q520" s="1549"/>
      <c r="R520" s="1549"/>
      <c r="S520" s="1549"/>
      <c r="T520" s="1549"/>
      <c r="U520" s="1549"/>
      <c r="V520" s="1549"/>
      <c r="W520" s="1549"/>
      <c r="X520" s="1549"/>
      <c r="Y520" s="1549"/>
      <c r="Z520" s="1549"/>
      <c r="AA520" s="1549"/>
      <c r="AB520" s="1549"/>
      <c r="AC520" s="1549"/>
      <c r="AD520" s="1549"/>
      <c r="AE520" s="1549"/>
      <c r="AF520" s="1549"/>
      <c r="AG520" s="1549"/>
      <c r="AH520" s="1549"/>
    </row>
    <row r="521" spans="1:34" ht="12.75" customHeight="1" x14ac:dyDescent="0.2">
      <c r="A521" s="1549"/>
      <c r="B521" s="1549"/>
      <c r="C521" s="1549"/>
      <c r="D521" s="1549"/>
      <c r="E521" s="1549"/>
      <c r="F521" s="1549"/>
      <c r="G521" s="1549"/>
      <c r="H521" s="1549"/>
      <c r="I521" s="1549"/>
      <c r="J521" s="1549"/>
      <c r="K521" s="1549"/>
      <c r="L521" s="1549"/>
      <c r="M521" s="1549"/>
      <c r="N521" s="1549"/>
      <c r="O521" s="1549"/>
      <c r="P521" s="1549"/>
      <c r="Q521" s="1549"/>
      <c r="R521" s="1549"/>
      <c r="S521" s="1549"/>
      <c r="T521" s="1549"/>
      <c r="U521" s="1549"/>
      <c r="V521" s="1549"/>
      <c r="W521" s="1549"/>
      <c r="X521" s="1549"/>
      <c r="Y521" s="1549"/>
      <c r="Z521" s="1549"/>
      <c r="AA521" s="1549"/>
      <c r="AB521" s="1549"/>
      <c r="AC521" s="1549"/>
      <c r="AD521" s="1549"/>
      <c r="AE521" s="1549"/>
      <c r="AF521" s="1549"/>
      <c r="AG521" s="1549"/>
      <c r="AH521" s="1549"/>
    </row>
    <row r="522" spans="1:34" ht="12.75" customHeight="1" x14ac:dyDescent="0.2">
      <c r="A522" s="1549"/>
      <c r="B522" s="1549"/>
      <c r="C522" s="1549"/>
      <c r="D522" s="1549"/>
      <c r="E522" s="1549"/>
      <c r="F522" s="1549"/>
      <c r="G522" s="1549"/>
      <c r="H522" s="1549"/>
      <c r="I522" s="1549"/>
      <c r="J522" s="1549"/>
      <c r="K522" s="1549"/>
      <c r="L522" s="1549"/>
      <c r="M522" s="1549"/>
      <c r="N522" s="1549"/>
      <c r="O522" s="1549"/>
      <c r="P522" s="1549"/>
      <c r="Q522" s="1549"/>
      <c r="R522" s="1549"/>
      <c r="S522" s="1549"/>
      <c r="T522" s="1549"/>
      <c r="U522" s="1549"/>
      <c r="V522" s="1549"/>
      <c r="W522" s="1549"/>
      <c r="X522" s="1549"/>
      <c r="Y522" s="1549"/>
      <c r="Z522" s="1549"/>
      <c r="AA522" s="1549"/>
      <c r="AB522" s="1549"/>
      <c r="AC522" s="1549"/>
      <c r="AD522" s="1549"/>
      <c r="AE522" s="1549"/>
      <c r="AF522" s="1549"/>
      <c r="AG522" s="1549"/>
      <c r="AH522" s="1549"/>
    </row>
    <row r="523" spans="1:34" ht="12.75" customHeight="1" x14ac:dyDescent="0.2">
      <c r="A523" s="1549"/>
      <c r="B523" s="1549"/>
      <c r="C523" s="1549"/>
      <c r="D523" s="1549"/>
      <c r="E523" s="1549"/>
      <c r="F523" s="1549"/>
      <c r="G523" s="1549"/>
      <c r="H523" s="1549"/>
      <c r="I523" s="1549"/>
      <c r="J523" s="1549"/>
      <c r="K523" s="1549"/>
      <c r="L523" s="1549"/>
      <c r="M523" s="1549"/>
      <c r="N523" s="1549"/>
      <c r="O523" s="1549"/>
      <c r="P523" s="1549"/>
      <c r="Q523" s="1549"/>
      <c r="R523" s="1549"/>
      <c r="S523" s="1549"/>
      <c r="T523" s="1549"/>
      <c r="U523" s="1549"/>
      <c r="V523" s="1549"/>
      <c r="W523" s="1549"/>
      <c r="X523" s="1549"/>
      <c r="Y523" s="1549"/>
      <c r="Z523" s="1549"/>
      <c r="AA523" s="1549"/>
      <c r="AB523" s="1549"/>
      <c r="AC523" s="1549"/>
      <c r="AD523" s="1549"/>
      <c r="AE523" s="1549"/>
      <c r="AF523" s="1549"/>
      <c r="AG523" s="1549"/>
      <c r="AH523" s="1549"/>
    </row>
    <row r="524" spans="1:34" ht="12.75" customHeight="1" x14ac:dyDescent="0.2">
      <c r="A524" s="1549"/>
      <c r="B524" s="1549"/>
      <c r="C524" s="1549"/>
      <c r="D524" s="1549"/>
      <c r="E524" s="1549"/>
      <c r="F524" s="1549"/>
      <c r="G524" s="1549"/>
      <c r="H524" s="1549"/>
      <c r="I524" s="1549"/>
      <c r="J524" s="1549"/>
      <c r="K524" s="1549"/>
      <c r="L524" s="1549"/>
      <c r="M524" s="1549"/>
      <c r="N524" s="1549"/>
      <c r="O524" s="1549"/>
      <c r="P524" s="1549"/>
      <c r="Q524" s="1549"/>
      <c r="R524" s="1549"/>
      <c r="S524" s="1549"/>
      <c r="T524" s="1549"/>
      <c r="U524" s="1549"/>
      <c r="V524" s="1549"/>
      <c r="W524" s="1549"/>
      <c r="X524" s="1549"/>
      <c r="Y524" s="1549"/>
      <c r="Z524" s="1549"/>
      <c r="AA524" s="1549"/>
      <c r="AB524" s="1549"/>
      <c r="AC524" s="1549"/>
      <c r="AD524" s="1549"/>
      <c r="AE524" s="1549"/>
      <c r="AF524" s="1549"/>
      <c r="AG524" s="1549"/>
      <c r="AH524" s="1549"/>
    </row>
    <row r="525" spans="1:34" ht="12.75" customHeight="1" x14ac:dyDescent="0.2">
      <c r="A525" s="1549"/>
      <c r="B525" s="1549"/>
      <c r="C525" s="1549"/>
      <c r="D525" s="1549"/>
      <c r="E525" s="1549"/>
      <c r="F525" s="1549"/>
      <c r="G525" s="1549"/>
      <c r="H525" s="1549"/>
      <c r="I525" s="1549"/>
      <c r="J525" s="1549"/>
      <c r="K525" s="1549"/>
      <c r="L525" s="1549"/>
      <c r="M525" s="1549"/>
      <c r="N525" s="1549"/>
      <c r="O525" s="1549"/>
      <c r="P525" s="1549"/>
      <c r="Q525" s="1549"/>
      <c r="R525" s="1549"/>
      <c r="S525" s="1549"/>
      <c r="T525" s="1549"/>
      <c r="U525" s="1549"/>
      <c r="V525" s="1549"/>
      <c r="W525" s="1549"/>
      <c r="X525" s="1549"/>
      <c r="Y525" s="1549"/>
      <c r="Z525" s="1549"/>
      <c r="AA525" s="1549"/>
      <c r="AB525" s="1549"/>
      <c r="AC525" s="1549"/>
      <c r="AD525" s="1549"/>
      <c r="AE525" s="1549"/>
      <c r="AF525" s="1549"/>
      <c r="AG525" s="1549"/>
      <c r="AH525" s="1549"/>
    </row>
    <row r="526" spans="1:34" ht="12.75" customHeight="1" x14ac:dyDescent="0.2">
      <c r="A526" s="1549"/>
      <c r="B526" s="1549"/>
      <c r="C526" s="1549"/>
      <c r="D526" s="1549"/>
      <c r="E526" s="1549"/>
      <c r="F526" s="1549"/>
      <c r="G526" s="1549"/>
      <c r="H526" s="1549"/>
      <c r="I526" s="1549"/>
      <c r="J526" s="1549"/>
      <c r="K526" s="1549"/>
      <c r="L526" s="1549"/>
      <c r="M526" s="1549"/>
      <c r="N526" s="1549"/>
      <c r="O526" s="1549"/>
      <c r="P526" s="1549"/>
      <c r="Q526" s="1549"/>
      <c r="R526" s="1549"/>
      <c r="S526" s="1549"/>
      <c r="T526" s="1549"/>
      <c r="U526" s="1549"/>
      <c r="V526" s="1549"/>
      <c r="W526" s="1549"/>
      <c r="X526" s="1549"/>
      <c r="Y526" s="1549"/>
      <c r="Z526" s="1549"/>
      <c r="AA526" s="1549"/>
      <c r="AB526" s="1549"/>
      <c r="AC526" s="1549"/>
      <c r="AD526" s="1549"/>
      <c r="AE526" s="1549"/>
      <c r="AF526" s="1549"/>
      <c r="AG526" s="1549"/>
      <c r="AH526" s="1549"/>
    </row>
    <row r="527" spans="1:34" ht="12.75" customHeight="1" x14ac:dyDescent="0.2">
      <c r="A527" s="1549"/>
      <c r="B527" s="1549"/>
      <c r="C527" s="1549"/>
      <c r="D527" s="1549"/>
      <c r="E527" s="1549"/>
      <c r="F527" s="1549"/>
      <c r="G527" s="1549"/>
      <c r="H527" s="1549"/>
      <c r="I527" s="1549"/>
      <c r="J527" s="1549"/>
      <c r="K527" s="1549"/>
      <c r="L527" s="1549"/>
      <c r="M527" s="1549"/>
      <c r="N527" s="1549"/>
      <c r="O527" s="1549"/>
      <c r="P527" s="1549"/>
      <c r="Q527" s="1549"/>
      <c r="R527" s="1549"/>
      <c r="S527" s="1549"/>
      <c r="T527" s="1549"/>
      <c r="U527" s="1549"/>
      <c r="V527" s="1549"/>
      <c r="W527" s="1549"/>
      <c r="X527" s="1549"/>
      <c r="Y527" s="1549"/>
      <c r="Z527" s="1549"/>
      <c r="AA527" s="1549"/>
      <c r="AB527" s="1549"/>
      <c r="AC527" s="1549"/>
      <c r="AD527" s="1549"/>
      <c r="AE527" s="1549"/>
      <c r="AF527" s="1549"/>
      <c r="AG527" s="1549"/>
      <c r="AH527" s="1549"/>
    </row>
    <row r="528" spans="1:34" ht="12.75" customHeight="1" x14ac:dyDescent="0.2">
      <c r="A528" s="1549"/>
      <c r="B528" s="1549"/>
      <c r="C528" s="1549"/>
      <c r="D528" s="1549"/>
      <c r="E528" s="1549"/>
      <c r="F528" s="1549"/>
      <c r="G528" s="1549"/>
      <c r="H528" s="1549"/>
      <c r="I528" s="1549"/>
      <c r="J528" s="1549"/>
      <c r="K528" s="1549"/>
      <c r="L528" s="1549"/>
      <c r="M528" s="1549"/>
      <c r="N528" s="1549"/>
      <c r="O528" s="1549"/>
      <c r="P528" s="1549"/>
      <c r="Q528" s="1549"/>
      <c r="R528" s="1549"/>
      <c r="S528" s="1549"/>
      <c r="T528" s="1549"/>
      <c r="U528" s="1549"/>
      <c r="V528" s="1549"/>
      <c r="W528" s="1549"/>
      <c r="X528" s="1549"/>
      <c r="Y528" s="1549"/>
      <c r="Z528" s="1549"/>
      <c r="AA528" s="1549"/>
      <c r="AB528" s="1549"/>
      <c r="AC528" s="1549"/>
      <c r="AD528" s="1549"/>
      <c r="AE528" s="1549"/>
      <c r="AF528" s="1549"/>
      <c r="AG528" s="1549"/>
      <c r="AH528" s="1549"/>
    </row>
    <row r="529" spans="1:34" ht="12.75" customHeight="1" x14ac:dyDescent="0.2">
      <c r="A529" s="1549"/>
      <c r="B529" s="1549"/>
      <c r="C529" s="1549"/>
      <c r="D529" s="1549"/>
      <c r="E529" s="1549"/>
      <c r="F529" s="1549"/>
      <c r="G529" s="1549"/>
      <c r="H529" s="1549"/>
      <c r="I529" s="1549"/>
      <c r="J529" s="1549"/>
      <c r="K529" s="1549"/>
      <c r="L529" s="1549"/>
      <c r="M529" s="1549"/>
      <c r="N529" s="1549"/>
      <c r="O529" s="1549"/>
      <c r="P529" s="1549"/>
      <c r="Q529" s="1549"/>
      <c r="R529" s="1549"/>
      <c r="S529" s="1549"/>
      <c r="T529" s="1549"/>
      <c r="U529" s="1549"/>
      <c r="V529" s="1549"/>
      <c r="W529" s="1549"/>
      <c r="X529" s="1549"/>
      <c r="Y529" s="1549"/>
      <c r="Z529" s="1549"/>
      <c r="AA529" s="1549"/>
      <c r="AB529" s="1549"/>
      <c r="AC529" s="1549"/>
      <c r="AD529" s="1549"/>
      <c r="AE529" s="1549"/>
      <c r="AF529" s="1549"/>
      <c r="AG529" s="1549"/>
      <c r="AH529" s="1549"/>
    </row>
    <row r="530" spans="1:34" ht="12.75" customHeight="1" x14ac:dyDescent="0.2">
      <c r="A530" s="1549"/>
      <c r="B530" s="1549"/>
      <c r="C530" s="1549"/>
      <c r="D530" s="1549"/>
      <c r="E530" s="1549"/>
      <c r="F530" s="1549"/>
      <c r="G530" s="1549"/>
      <c r="H530" s="1549"/>
      <c r="I530" s="1549"/>
      <c r="J530" s="1549"/>
      <c r="K530" s="1549"/>
      <c r="L530" s="1549"/>
      <c r="M530" s="1549"/>
      <c r="N530" s="1549"/>
      <c r="O530" s="1549"/>
      <c r="P530" s="1549"/>
      <c r="Q530" s="1549"/>
      <c r="R530" s="1549"/>
      <c r="S530" s="1549"/>
      <c r="T530" s="1549"/>
      <c r="U530" s="1549"/>
      <c r="V530" s="1549"/>
      <c r="W530" s="1549"/>
      <c r="X530" s="1549"/>
      <c r="Y530" s="1549"/>
      <c r="Z530" s="1549"/>
      <c r="AA530" s="1549"/>
      <c r="AB530" s="1549"/>
      <c r="AC530" s="1549"/>
      <c r="AD530" s="1549"/>
      <c r="AE530" s="1549"/>
      <c r="AF530" s="1549"/>
      <c r="AG530" s="1549"/>
      <c r="AH530" s="1549"/>
    </row>
    <row r="531" spans="1:34" ht="12.75" customHeight="1" x14ac:dyDescent="0.2">
      <c r="A531" s="1549"/>
      <c r="B531" s="1549"/>
      <c r="C531" s="1549"/>
      <c r="D531" s="1549"/>
      <c r="E531" s="1549"/>
      <c r="F531" s="1549"/>
      <c r="G531" s="1549"/>
      <c r="H531" s="1549"/>
      <c r="I531" s="1549"/>
      <c r="J531" s="1549"/>
      <c r="K531" s="1549"/>
      <c r="L531" s="1549"/>
      <c r="M531" s="1549"/>
      <c r="N531" s="1549"/>
      <c r="O531" s="1549"/>
      <c r="P531" s="1549"/>
      <c r="Q531" s="1549"/>
      <c r="R531" s="1549"/>
      <c r="S531" s="1549"/>
      <c r="T531" s="1549"/>
      <c r="U531" s="1549"/>
      <c r="V531" s="1549"/>
      <c r="W531" s="1549"/>
      <c r="X531" s="1549"/>
      <c r="Y531" s="1549"/>
      <c r="Z531" s="1549"/>
      <c r="AA531" s="1549"/>
      <c r="AB531" s="1549"/>
      <c r="AC531" s="1549"/>
      <c r="AD531" s="1549"/>
      <c r="AE531" s="1549"/>
      <c r="AF531" s="1549"/>
      <c r="AG531" s="1549"/>
      <c r="AH531" s="1549"/>
    </row>
    <row r="532" spans="1:34" ht="12.75" customHeight="1" x14ac:dyDescent="0.2">
      <c r="A532" s="1549"/>
      <c r="B532" s="1549"/>
      <c r="C532" s="1549"/>
      <c r="D532" s="1549"/>
      <c r="E532" s="1549"/>
      <c r="F532" s="1549"/>
      <c r="G532" s="1549"/>
      <c r="H532" s="1549"/>
      <c r="I532" s="1549"/>
      <c r="J532" s="1549"/>
      <c r="K532" s="1549"/>
      <c r="L532" s="1549"/>
      <c r="M532" s="1549"/>
      <c r="N532" s="1549"/>
      <c r="O532" s="1549"/>
      <c r="P532" s="1549"/>
      <c r="Q532" s="1549"/>
      <c r="R532" s="1549"/>
      <c r="S532" s="1549"/>
      <c r="T532" s="1549"/>
      <c r="U532" s="1549"/>
      <c r="V532" s="1549"/>
      <c r="W532" s="1549"/>
      <c r="X532" s="1549"/>
      <c r="Y532" s="1549"/>
      <c r="Z532" s="1549"/>
      <c r="AA532" s="1549"/>
      <c r="AB532" s="1549"/>
      <c r="AC532" s="1549"/>
      <c r="AD532" s="1549"/>
      <c r="AE532" s="1549"/>
      <c r="AF532" s="1549"/>
      <c r="AG532" s="1549"/>
      <c r="AH532" s="1549"/>
    </row>
    <row r="533" spans="1:34" ht="12.75" customHeight="1" x14ac:dyDescent="0.2">
      <c r="A533" s="1549"/>
      <c r="B533" s="1549"/>
      <c r="C533" s="1549"/>
      <c r="D533" s="1549"/>
      <c r="E533" s="1549"/>
      <c r="F533" s="1549"/>
      <c r="G533" s="1549"/>
      <c r="H533" s="1549"/>
      <c r="I533" s="1549"/>
      <c r="J533" s="1549"/>
      <c r="K533" s="1549"/>
      <c r="L533" s="1549"/>
      <c r="M533" s="1549"/>
      <c r="N533" s="1549"/>
      <c r="O533" s="1549"/>
      <c r="P533" s="1549"/>
      <c r="Q533" s="1549"/>
      <c r="R533" s="1549"/>
      <c r="S533" s="1549"/>
      <c r="T533" s="1549"/>
      <c r="U533" s="1549"/>
      <c r="V533" s="1549"/>
      <c r="W533" s="1549"/>
      <c r="X533" s="1549"/>
      <c r="Y533" s="1549"/>
      <c r="Z533" s="1549"/>
      <c r="AA533" s="1549"/>
      <c r="AB533" s="1549"/>
      <c r="AC533" s="1549"/>
      <c r="AD533" s="1549"/>
      <c r="AE533" s="1549"/>
      <c r="AF533" s="1549"/>
      <c r="AG533" s="1549"/>
      <c r="AH533" s="1549"/>
    </row>
    <row r="534" spans="1:34" ht="12.75" customHeight="1" x14ac:dyDescent="0.2">
      <c r="A534" s="1549"/>
      <c r="B534" s="1549"/>
      <c r="C534" s="1549"/>
      <c r="D534" s="1549"/>
      <c r="E534" s="1549"/>
      <c r="F534" s="1549"/>
      <c r="G534" s="1549"/>
      <c r="H534" s="1549"/>
      <c r="I534" s="1549"/>
      <c r="J534" s="1549"/>
      <c r="K534" s="1549"/>
      <c r="L534" s="1549"/>
      <c r="M534" s="1549"/>
      <c r="N534" s="1549"/>
      <c r="O534" s="1549"/>
      <c r="P534" s="1549"/>
      <c r="Q534" s="1549"/>
      <c r="R534" s="1549"/>
      <c r="S534" s="1549"/>
      <c r="T534" s="1549"/>
      <c r="U534" s="1549"/>
      <c r="V534" s="1549"/>
      <c r="W534" s="1549"/>
      <c r="X534" s="1549"/>
      <c r="Y534" s="1549"/>
      <c r="Z534" s="1549"/>
      <c r="AA534" s="1549"/>
      <c r="AB534" s="1549"/>
      <c r="AC534" s="1549"/>
      <c r="AD534" s="1549"/>
      <c r="AE534" s="1549"/>
      <c r="AF534" s="1549"/>
      <c r="AG534" s="1549"/>
      <c r="AH534" s="1549"/>
    </row>
    <row r="535" spans="1:34" ht="12.75" customHeight="1" x14ac:dyDescent="0.2">
      <c r="A535" s="1549"/>
      <c r="B535" s="1549"/>
      <c r="C535" s="1549"/>
      <c r="D535" s="1549"/>
      <c r="E535" s="1549"/>
      <c r="F535" s="1549"/>
      <c r="G535" s="1549"/>
      <c r="H535" s="1549"/>
      <c r="I535" s="1549"/>
      <c r="J535" s="1549"/>
      <c r="K535" s="1549"/>
      <c r="L535" s="1549"/>
      <c r="M535" s="1549"/>
      <c r="N535" s="1549"/>
      <c r="O535" s="1549"/>
      <c r="P535" s="1549"/>
      <c r="Q535" s="1549"/>
      <c r="R535" s="1549"/>
      <c r="S535" s="1549"/>
      <c r="T535" s="1549"/>
      <c r="U535" s="1549"/>
      <c r="V535" s="1549"/>
      <c r="W535" s="1549"/>
      <c r="X535" s="1549"/>
      <c r="Y535" s="1549"/>
      <c r="Z535" s="1549"/>
      <c r="AA535" s="1549"/>
      <c r="AB535" s="1549"/>
      <c r="AC535" s="1549"/>
      <c r="AD535" s="1549"/>
      <c r="AE535" s="1549"/>
      <c r="AF535" s="1549"/>
      <c r="AG535" s="1549"/>
      <c r="AH535" s="1549"/>
    </row>
    <row r="536" spans="1:34" ht="12.75" customHeight="1" x14ac:dyDescent="0.2">
      <c r="A536" s="1549"/>
      <c r="B536" s="1549"/>
      <c r="C536" s="1549"/>
      <c r="D536" s="1549"/>
      <c r="E536" s="1549"/>
      <c r="F536" s="1549"/>
      <c r="G536" s="1549"/>
      <c r="H536" s="1549"/>
      <c r="I536" s="1549"/>
      <c r="J536" s="1549"/>
      <c r="K536" s="1549"/>
      <c r="L536" s="1549"/>
      <c r="M536" s="1549"/>
      <c r="N536" s="1549"/>
      <c r="O536" s="1549"/>
      <c r="P536" s="1549"/>
      <c r="Q536" s="1549"/>
      <c r="R536" s="1549"/>
      <c r="S536" s="1549"/>
      <c r="T536" s="1549"/>
      <c r="U536" s="1549"/>
      <c r="V536" s="1549"/>
      <c r="W536" s="1549"/>
      <c r="X536" s="1549"/>
      <c r="Y536" s="1549"/>
      <c r="Z536" s="1549"/>
      <c r="AA536" s="1549"/>
      <c r="AB536" s="1549"/>
      <c r="AC536" s="1549"/>
      <c r="AD536" s="1549"/>
      <c r="AE536" s="1549"/>
      <c r="AF536" s="1549"/>
      <c r="AG536" s="1549"/>
      <c r="AH536" s="1549"/>
    </row>
    <row r="537" spans="1:34" ht="12.75" customHeight="1" x14ac:dyDescent="0.2">
      <c r="A537" s="1549"/>
      <c r="B537" s="1549"/>
      <c r="C537" s="1549"/>
      <c r="D537" s="1549"/>
      <c r="E537" s="1549"/>
      <c r="F537" s="1549"/>
      <c r="G537" s="1549"/>
      <c r="H537" s="1549"/>
      <c r="I537" s="1549"/>
      <c r="J537" s="1549"/>
      <c r="K537" s="1549"/>
      <c r="L537" s="1549"/>
      <c r="M537" s="1549"/>
      <c r="N537" s="1549"/>
      <c r="O537" s="1549"/>
      <c r="P537" s="1549"/>
      <c r="Q537" s="1549"/>
      <c r="R537" s="1549"/>
      <c r="S537" s="1549"/>
      <c r="T537" s="1549"/>
      <c r="U537" s="1549"/>
      <c r="V537" s="1549"/>
      <c r="W537" s="1549"/>
      <c r="X537" s="1549"/>
      <c r="Y537" s="1549"/>
      <c r="Z537" s="1549"/>
      <c r="AA537" s="1549"/>
      <c r="AB537" s="1549"/>
      <c r="AC537" s="1549"/>
      <c r="AD537" s="1549"/>
      <c r="AE537" s="1549"/>
      <c r="AF537" s="1549"/>
      <c r="AG537" s="1549"/>
      <c r="AH537" s="1549"/>
    </row>
    <row r="538" spans="1:34" ht="12.75" customHeight="1" x14ac:dyDescent="0.2">
      <c r="A538" s="1549"/>
      <c r="B538" s="1549"/>
      <c r="C538" s="1549"/>
      <c r="D538" s="1549"/>
      <c r="E538" s="1549"/>
      <c r="F538" s="1549"/>
      <c r="G538" s="1549"/>
      <c r="H538" s="1549"/>
      <c r="I538" s="1549"/>
      <c r="J538" s="1549"/>
      <c r="K538" s="1549"/>
      <c r="L538" s="1549"/>
      <c r="M538" s="1549"/>
      <c r="N538" s="1549"/>
      <c r="O538" s="1549"/>
      <c r="P538" s="1549"/>
      <c r="Q538" s="1549"/>
      <c r="R538" s="1549"/>
      <c r="S538" s="1549"/>
      <c r="T538" s="1549"/>
      <c r="U538" s="1549"/>
      <c r="V538" s="1549"/>
      <c r="W538" s="1549"/>
      <c r="X538" s="1549"/>
      <c r="Y538" s="1549"/>
      <c r="Z538" s="1549"/>
      <c r="AA538" s="1549"/>
      <c r="AB538" s="1549"/>
      <c r="AC538" s="1549"/>
      <c r="AD538" s="1549"/>
      <c r="AE538" s="1549"/>
      <c r="AF538" s="1549"/>
      <c r="AG538" s="1549"/>
      <c r="AH538" s="1549"/>
    </row>
    <row r="539" spans="1:34" ht="12.75" customHeight="1" x14ac:dyDescent="0.2">
      <c r="A539" s="1549"/>
      <c r="B539" s="1549"/>
      <c r="C539" s="1549"/>
      <c r="D539" s="1549"/>
      <c r="E539" s="1549"/>
      <c r="F539" s="1549"/>
      <c r="G539" s="1549"/>
      <c r="H539" s="1549"/>
      <c r="I539" s="1549"/>
      <c r="J539" s="1549"/>
      <c r="K539" s="1549"/>
      <c r="L539" s="1549"/>
      <c r="M539" s="1549"/>
      <c r="N539" s="1549"/>
      <c r="O539" s="1549"/>
      <c r="P539" s="1549"/>
      <c r="Q539" s="1549"/>
      <c r="R539" s="1549"/>
      <c r="S539" s="1549"/>
      <c r="T539" s="1549"/>
      <c r="U539" s="1549"/>
      <c r="V539" s="1549"/>
      <c r="W539" s="1549"/>
      <c r="X539" s="1549"/>
      <c r="Y539" s="1549"/>
      <c r="Z539" s="1549"/>
      <c r="AA539" s="1549"/>
      <c r="AB539" s="1549"/>
      <c r="AC539" s="1549"/>
      <c r="AD539" s="1549"/>
      <c r="AE539" s="1549"/>
      <c r="AF539" s="1549"/>
      <c r="AG539" s="1549"/>
      <c r="AH539" s="1549"/>
    </row>
    <row r="540" spans="1:34" ht="12.75" customHeight="1" x14ac:dyDescent="0.2">
      <c r="A540" s="1549"/>
      <c r="B540" s="1549"/>
      <c r="C540" s="1549"/>
      <c r="D540" s="1549"/>
      <c r="E540" s="1549"/>
      <c r="F540" s="1549"/>
      <c r="G540" s="1549"/>
      <c r="H540" s="1549"/>
      <c r="I540" s="1549"/>
      <c r="J540" s="1549"/>
      <c r="K540" s="1549"/>
      <c r="L540" s="1549"/>
      <c r="M540" s="1549"/>
      <c r="N540" s="1549"/>
      <c r="O540" s="1549"/>
      <c r="P540" s="1549"/>
      <c r="Q540" s="1549"/>
      <c r="R540" s="1549"/>
      <c r="S540" s="1549"/>
      <c r="T540" s="1549"/>
      <c r="U540" s="1549"/>
      <c r="V540" s="1549"/>
      <c r="W540" s="1549"/>
      <c r="X540" s="1549"/>
      <c r="Y540" s="1549"/>
      <c r="Z540" s="1549"/>
      <c r="AA540" s="1549"/>
      <c r="AB540" s="1549"/>
      <c r="AC540" s="1549"/>
      <c r="AD540" s="1549"/>
      <c r="AE540" s="1549"/>
      <c r="AF540" s="1549"/>
      <c r="AG540" s="1549"/>
      <c r="AH540" s="1549"/>
    </row>
    <row r="541" spans="1:34" ht="12.75" customHeight="1" x14ac:dyDescent="0.2">
      <c r="A541" s="1549"/>
      <c r="B541" s="1549"/>
      <c r="C541" s="1549"/>
      <c r="D541" s="1549"/>
      <c r="E541" s="1549"/>
      <c r="F541" s="1549"/>
      <c r="G541" s="1549"/>
      <c r="H541" s="1549"/>
      <c r="I541" s="1549"/>
      <c r="J541" s="1549"/>
      <c r="K541" s="1549"/>
      <c r="L541" s="1549"/>
      <c r="M541" s="1549"/>
      <c r="N541" s="1549"/>
      <c r="O541" s="1549"/>
      <c r="P541" s="1549"/>
      <c r="Q541" s="1549"/>
      <c r="R541" s="1549"/>
      <c r="S541" s="1549"/>
      <c r="T541" s="1549"/>
      <c r="U541" s="1549"/>
      <c r="V541" s="1549"/>
      <c r="W541" s="1549"/>
      <c r="X541" s="1549"/>
      <c r="Y541" s="1549"/>
      <c r="Z541" s="1549"/>
      <c r="AA541" s="1549"/>
      <c r="AB541" s="1549"/>
      <c r="AC541" s="1549"/>
      <c r="AD541" s="1549"/>
      <c r="AE541" s="1549"/>
      <c r="AF541" s="1549"/>
      <c r="AG541" s="1549"/>
      <c r="AH541" s="1549"/>
    </row>
    <row r="542" spans="1:34" ht="12.75" customHeight="1" x14ac:dyDescent="0.2">
      <c r="A542" s="1549"/>
      <c r="B542" s="1549"/>
      <c r="C542" s="1549"/>
      <c r="D542" s="1549"/>
      <c r="E542" s="1549"/>
      <c r="F542" s="1549"/>
      <c r="G542" s="1549"/>
      <c r="H542" s="1549"/>
      <c r="I542" s="1549"/>
      <c r="J542" s="1549"/>
      <c r="K542" s="1549"/>
      <c r="L542" s="1549"/>
      <c r="M542" s="1549"/>
      <c r="N542" s="1549"/>
      <c r="O542" s="1549"/>
      <c r="P542" s="1549"/>
      <c r="Q542" s="1549"/>
      <c r="R542" s="1549"/>
      <c r="S542" s="1549"/>
      <c r="T542" s="1549"/>
      <c r="U542" s="1549"/>
      <c r="V542" s="1549"/>
      <c r="W542" s="1549"/>
      <c r="X542" s="1549"/>
      <c r="Y542" s="1549"/>
      <c r="Z542" s="1549"/>
      <c r="AA542" s="1549"/>
      <c r="AB542" s="1549"/>
      <c r="AC542" s="1549"/>
      <c r="AD542" s="1549"/>
      <c r="AE542" s="1549"/>
      <c r="AF542" s="1549"/>
      <c r="AG542" s="1549"/>
      <c r="AH542" s="1549"/>
    </row>
    <row r="543" spans="1:34" ht="12.75" customHeight="1" x14ac:dyDescent="0.2">
      <c r="A543" s="1549"/>
      <c r="B543" s="1549"/>
      <c r="C543" s="1549"/>
      <c r="D543" s="1549"/>
      <c r="E543" s="1549"/>
      <c r="F543" s="1549"/>
      <c r="G543" s="1549"/>
      <c r="H543" s="1549"/>
      <c r="I543" s="1549"/>
      <c r="J543" s="1549"/>
      <c r="K543" s="1549"/>
      <c r="L543" s="1549"/>
      <c r="M543" s="1549"/>
      <c r="N543" s="1549"/>
      <c r="O543" s="1549"/>
      <c r="P543" s="1549"/>
      <c r="Q543" s="1549"/>
      <c r="R543" s="1549"/>
      <c r="S543" s="1549"/>
      <c r="T543" s="1549"/>
      <c r="U543" s="1549"/>
      <c r="V543" s="1549"/>
      <c r="W543" s="1549"/>
      <c r="X543" s="1549"/>
      <c r="Y543" s="1549"/>
      <c r="Z543" s="1549"/>
      <c r="AA543" s="1549"/>
      <c r="AB543" s="1549"/>
      <c r="AC543" s="1549"/>
      <c r="AD543" s="1549"/>
      <c r="AE543" s="1549"/>
      <c r="AF543" s="1549"/>
      <c r="AG543" s="1549"/>
      <c r="AH543" s="1549"/>
    </row>
    <row r="544" spans="1:34" ht="12.75" customHeight="1" x14ac:dyDescent="0.2">
      <c r="A544" s="1549"/>
      <c r="B544" s="1549"/>
      <c r="C544" s="1549"/>
      <c r="D544" s="1549"/>
      <c r="E544" s="1549"/>
      <c r="F544" s="1549"/>
      <c r="G544" s="1549"/>
      <c r="H544" s="1549"/>
      <c r="I544" s="1549"/>
      <c r="J544" s="1549"/>
      <c r="K544" s="1549"/>
      <c r="L544" s="1549"/>
      <c r="M544" s="1549"/>
      <c r="N544" s="1549"/>
      <c r="O544" s="1549"/>
      <c r="P544" s="1549"/>
      <c r="Q544" s="1549"/>
      <c r="R544" s="1549"/>
      <c r="S544" s="1549"/>
      <c r="T544" s="1549"/>
      <c r="U544" s="1549"/>
      <c r="V544" s="1549"/>
      <c r="W544" s="1549"/>
      <c r="X544" s="1549"/>
      <c r="Y544" s="1549"/>
      <c r="Z544" s="1549"/>
      <c r="AA544" s="1549"/>
      <c r="AB544" s="1549"/>
      <c r="AC544" s="1549"/>
      <c r="AD544" s="1549"/>
      <c r="AE544" s="1549"/>
      <c r="AF544" s="1549"/>
      <c r="AG544" s="1549"/>
      <c r="AH544" s="1549"/>
    </row>
    <row r="545" spans="1:34" ht="12.75" customHeight="1" x14ac:dyDescent="0.2">
      <c r="A545" s="1549"/>
      <c r="B545" s="1549"/>
      <c r="C545" s="1549"/>
      <c r="D545" s="1549"/>
      <c r="E545" s="1549"/>
      <c r="F545" s="1549"/>
      <c r="G545" s="1549"/>
      <c r="H545" s="1549"/>
      <c r="I545" s="1549"/>
      <c r="J545" s="1549"/>
      <c r="K545" s="1549"/>
      <c r="L545" s="1549"/>
      <c r="M545" s="1549"/>
      <c r="N545" s="1549"/>
      <c r="O545" s="1549"/>
      <c r="P545" s="1549"/>
      <c r="Q545" s="1549"/>
      <c r="R545" s="1549"/>
      <c r="S545" s="1549"/>
      <c r="T545" s="1549"/>
      <c r="U545" s="1549"/>
      <c r="V545" s="1549"/>
      <c r="W545" s="1549"/>
      <c r="X545" s="1549"/>
      <c r="Y545" s="1549"/>
      <c r="Z545" s="1549"/>
      <c r="AA545" s="1549"/>
      <c r="AB545" s="1549"/>
      <c r="AC545" s="1549"/>
      <c r="AD545" s="1549"/>
      <c r="AE545" s="1549"/>
      <c r="AF545" s="1549"/>
      <c r="AG545" s="1549"/>
      <c r="AH545" s="1549"/>
    </row>
    <row r="546" spans="1:34" ht="12.75" customHeight="1" x14ac:dyDescent="0.2">
      <c r="A546" s="1549"/>
      <c r="B546" s="1549"/>
      <c r="C546" s="1549"/>
      <c r="D546" s="1549"/>
      <c r="E546" s="1549"/>
      <c r="F546" s="1549"/>
      <c r="G546" s="1549"/>
      <c r="H546" s="1549"/>
      <c r="I546" s="1549"/>
      <c r="J546" s="1549"/>
      <c r="K546" s="1549"/>
      <c r="L546" s="1549"/>
      <c r="M546" s="1549"/>
      <c r="N546" s="1549"/>
      <c r="O546" s="1549"/>
      <c r="P546" s="1549"/>
      <c r="Q546" s="1549"/>
      <c r="R546" s="1549"/>
      <c r="S546" s="1549"/>
      <c r="T546" s="1549"/>
      <c r="U546" s="1549"/>
      <c r="V546" s="1549"/>
      <c r="W546" s="1549"/>
      <c r="X546" s="1549"/>
      <c r="Y546" s="1549"/>
      <c r="Z546" s="1549"/>
      <c r="AA546" s="1549"/>
      <c r="AB546" s="1549"/>
      <c r="AC546" s="1549"/>
      <c r="AD546" s="1549"/>
      <c r="AE546" s="1549"/>
      <c r="AF546" s="1549"/>
      <c r="AG546" s="1549"/>
      <c r="AH546" s="1549"/>
    </row>
    <row r="547" spans="1:34" ht="12.75" customHeight="1" x14ac:dyDescent="0.2">
      <c r="A547" s="1549"/>
      <c r="B547" s="1549"/>
      <c r="C547" s="1549"/>
      <c r="D547" s="1549"/>
      <c r="E547" s="1549"/>
      <c r="F547" s="1549"/>
      <c r="G547" s="1549"/>
      <c r="H547" s="1549"/>
      <c r="I547" s="1549"/>
      <c r="J547" s="1549"/>
      <c r="K547" s="1549"/>
      <c r="L547" s="1549"/>
      <c r="M547" s="1549"/>
      <c r="N547" s="1549"/>
      <c r="O547" s="1549"/>
      <c r="P547" s="1549"/>
      <c r="Q547" s="1549"/>
      <c r="R547" s="1549"/>
      <c r="S547" s="1549"/>
      <c r="T547" s="1549"/>
      <c r="U547" s="1549"/>
      <c r="V547" s="1549"/>
      <c r="W547" s="1549"/>
      <c r="X547" s="1549"/>
      <c r="Y547" s="1549"/>
      <c r="Z547" s="1549"/>
      <c r="AA547" s="1549"/>
      <c r="AB547" s="1549"/>
      <c r="AC547" s="1549"/>
      <c r="AD547" s="1549"/>
      <c r="AE547" s="1549"/>
      <c r="AF547" s="1549"/>
      <c r="AG547" s="1549"/>
      <c r="AH547" s="1549"/>
    </row>
    <row r="548" spans="1:34" ht="12.75" customHeight="1" x14ac:dyDescent="0.2">
      <c r="A548" s="1549"/>
      <c r="B548" s="1549"/>
      <c r="C548" s="1549"/>
      <c r="D548" s="1549"/>
      <c r="E548" s="1549"/>
      <c r="F548" s="1549"/>
      <c r="G548" s="1549"/>
      <c r="H548" s="1549"/>
      <c r="I548" s="1549"/>
      <c r="J548" s="1549"/>
      <c r="K548" s="1549"/>
      <c r="L548" s="1549"/>
      <c r="M548" s="1549"/>
      <c r="N548" s="1549"/>
      <c r="O548" s="1549"/>
      <c r="P548" s="1549"/>
      <c r="Q548" s="1549"/>
      <c r="R548" s="1549"/>
      <c r="S548" s="1549"/>
      <c r="T548" s="1549"/>
      <c r="U548" s="1549"/>
      <c r="V548" s="1549"/>
      <c r="W548" s="1549"/>
      <c r="X548" s="1549"/>
      <c r="Y548" s="1549"/>
      <c r="Z548" s="1549"/>
      <c r="AA548" s="1549"/>
      <c r="AB548" s="1549"/>
      <c r="AC548" s="1549"/>
      <c r="AD548" s="1549"/>
      <c r="AE548" s="1549"/>
      <c r="AF548" s="1549"/>
      <c r="AG548" s="1549"/>
      <c r="AH548" s="1549"/>
    </row>
    <row r="549" spans="1:34" ht="12.75" customHeight="1" x14ac:dyDescent="0.2">
      <c r="A549" s="1549"/>
      <c r="B549" s="1549"/>
      <c r="C549" s="1549"/>
      <c r="D549" s="1549"/>
      <c r="E549" s="1549"/>
      <c r="F549" s="1549"/>
      <c r="G549" s="1549"/>
      <c r="H549" s="1549"/>
      <c r="I549" s="1549"/>
      <c r="J549" s="1549"/>
      <c r="K549" s="1549"/>
      <c r="L549" s="1549"/>
      <c r="M549" s="1549"/>
      <c r="N549" s="1549"/>
      <c r="O549" s="1549"/>
      <c r="P549" s="1549"/>
      <c r="Q549" s="1549"/>
      <c r="R549" s="1549"/>
      <c r="S549" s="1549"/>
      <c r="T549" s="1549"/>
      <c r="U549" s="1549"/>
      <c r="V549" s="1549"/>
      <c r="W549" s="1549"/>
      <c r="X549" s="1549"/>
      <c r="Y549" s="1549"/>
      <c r="Z549" s="1549"/>
      <c r="AA549" s="1549"/>
      <c r="AB549" s="1549"/>
      <c r="AC549" s="1549"/>
      <c r="AD549" s="1549"/>
      <c r="AE549" s="1549"/>
      <c r="AF549" s="1549"/>
      <c r="AG549" s="1549"/>
      <c r="AH549" s="1549"/>
    </row>
    <row r="550" spans="1:34" ht="12.75" customHeight="1" x14ac:dyDescent="0.2">
      <c r="A550" s="1549"/>
      <c r="B550" s="1549"/>
      <c r="C550" s="1549"/>
      <c r="D550" s="1549"/>
      <c r="E550" s="1549"/>
      <c r="F550" s="1549"/>
      <c r="G550" s="1549"/>
      <c r="H550" s="1549"/>
      <c r="I550" s="1549"/>
      <c r="J550" s="1549"/>
      <c r="K550" s="1549"/>
      <c r="L550" s="1549"/>
      <c r="M550" s="1549"/>
      <c r="N550" s="1549"/>
      <c r="O550" s="1549"/>
      <c r="P550" s="1549"/>
      <c r="Q550" s="1549"/>
      <c r="R550" s="1549"/>
      <c r="S550" s="1549"/>
      <c r="T550" s="1549"/>
      <c r="U550" s="1549"/>
      <c r="V550" s="1549"/>
      <c r="W550" s="1549"/>
      <c r="X550" s="1549"/>
      <c r="Y550" s="1549"/>
      <c r="Z550" s="1549"/>
      <c r="AA550" s="1549"/>
      <c r="AB550" s="1549"/>
      <c r="AC550" s="1549"/>
      <c r="AD550" s="1549"/>
      <c r="AE550" s="1549"/>
      <c r="AF550" s="1549"/>
      <c r="AG550" s="1549"/>
      <c r="AH550" s="1549"/>
    </row>
    <row r="551" spans="1:34" ht="12.75" customHeight="1" x14ac:dyDescent="0.2">
      <c r="A551" s="1549"/>
      <c r="B551" s="1549"/>
      <c r="C551" s="1549"/>
      <c r="D551" s="1549"/>
      <c r="E551" s="1549"/>
      <c r="F551" s="1549"/>
      <c r="G551" s="1549"/>
      <c r="H551" s="1549"/>
      <c r="I551" s="1549"/>
      <c r="J551" s="1549"/>
      <c r="K551" s="1549"/>
      <c r="L551" s="1549"/>
      <c r="M551" s="1549"/>
      <c r="N551" s="1549"/>
      <c r="O551" s="1549"/>
      <c r="P551" s="1549"/>
      <c r="Q551" s="1549"/>
      <c r="R551" s="1549"/>
      <c r="S551" s="1549"/>
      <c r="T551" s="1549"/>
      <c r="U551" s="1549"/>
      <c r="V551" s="1549"/>
      <c r="W551" s="1549"/>
      <c r="X551" s="1549"/>
      <c r="Y551" s="1549"/>
      <c r="Z551" s="1549"/>
      <c r="AA551" s="1549"/>
      <c r="AB551" s="1549"/>
      <c r="AC551" s="1549"/>
      <c r="AD551" s="1549"/>
      <c r="AE551" s="1549"/>
      <c r="AF551" s="1549"/>
      <c r="AG551" s="1549"/>
      <c r="AH551" s="1549"/>
    </row>
    <row r="552" spans="1:34" ht="12.75" customHeight="1" x14ac:dyDescent="0.2">
      <c r="A552" s="1549"/>
      <c r="B552" s="1549"/>
      <c r="C552" s="1549"/>
      <c r="D552" s="1549"/>
      <c r="E552" s="1549"/>
      <c r="F552" s="1549"/>
      <c r="G552" s="1549"/>
      <c r="H552" s="1549"/>
      <c r="I552" s="1549"/>
      <c r="J552" s="1549"/>
      <c r="K552" s="1549"/>
      <c r="L552" s="1549"/>
      <c r="M552" s="1549"/>
      <c r="N552" s="1549"/>
      <c r="O552" s="1549"/>
      <c r="P552" s="1549"/>
      <c r="Q552" s="1549"/>
      <c r="R552" s="1549"/>
      <c r="S552" s="1549"/>
      <c r="T552" s="1549"/>
      <c r="U552" s="1549"/>
      <c r="V552" s="1549"/>
      <c r="W552" s="1549"/>
      <c r="X552" s="1549"/>
      <c r="Y552" s="1549"/>
      <c r="Z552" s="1549"/>
      <c r="AA552" s="1549"/>
      <c r="AB552" s="1549"/>
      <c r="AC552" s="1549"/>
      <c r="AD552" s="1549"/>
      <c r="AE552" s="1549"/>
      <c r="AF552" s="1549"/>
      <c r="AG552" s="1549"/>
      <c r="AH552" s="1549"/>
    </row>
    <row r="553" spans="1:34" ht="12.75" customHeight="1" x14ac:dyDescent="0.2">
      <c r="A553" s="1549"/>
      <c r="B553" s="1549"/>
      <c r="C553" s="1549"/>
      <c r="D553" s="1549"/>
      <c r="E553" s="1549"/>
      <c r="F553" s="1549"/>
      <c r="G553" s="1549"/>
      <c r="H553" s="1549"/>
      <c r="I553" s="1549"/>
      <c r="J553" s="1549"/>
      <c r="K553" s="1549"/>
      <c r="L553" s="1549"/>
      <c r="M553" s="1549"/>
      <c r="N553" s="1549"/>
      <c r="O553" s="1549"/>
      <c r="P553" s="1549"/>
      <c r="Q553" s="1549"/>
      <c r="R553" s="1549"/>
      <c r="S553" s="1549"/>
      <c r="T553" s="1549"/>
      <c r="U553" s="1549"/>
      <c r="V553" s="1549"/>
      <c r="W553" s="1549"/>
      <c r="X553" s="1549"/>
      <c r="Y553" s="1549"/>
      <c r="Z553" s="1549"/>
      <c r="AA553" s="1549"/>
      <c r="AB553" s="1549"/>
      <c r="AC553" s="1549"/>
      <c r="AD553" s="1549"/>
      <c r="AE553" s="1549"/>
      <c r="AF553" s="1549"/>
      <c r="AG553" s="1549"/>
      <c r="AH553" s="1549"/>
    </row>
    <row r="554" spans="1:34" ht="12.75" customHeight="1" x14ac:dyDescent="0.2">
      <c r="A554" s="1549"/>
      <c r="B554" s="1549"/>
      <c r="C554" s="1549"/>
      <c r="D554" s="1549"/>
      <c r="E554" s="1549"/>
      <c r="F554" s="1549"/>
      <c r="G554" s="1549"/>
      <c r="H554" s="1549"/>
      <c r="I554" s="1549"/>
      <c r="J554" s="1549"/>
      <c r="K554" s="1549"/>
      <c r="L554" s="1549"/>
      <c r="M554" s="1549"/>
      <c r="N554" s="1549"/>
      <c r="O554" s="1549"/>
      <c r="P554" s="1549"/>
      <c r="Q554" s="1549"/>
      <c r="R554" s="1549"/>
      <c r="S554" s="1549"/>
      <c r="T554" s="1549"/>
      <c r="U554" s="1549"/>
      <c r="V554" s="1549"/>
      <c r="W554" s="1549"/>
      <c r="X554" s="1549"/>
      <c r="Y554" s="1549"/>
      <c r="Z554" s="1549"/>
      <c r="AA554" s="1549"/>
      <c r="AB554" s="1549"/>
      <c r="AC554" s="1549"/>
      <c r="AD554" s="1549"/>
      <c r="AE554" s="1549"/>
      <c r="AF554" s="1549"/>
      <c r="AG554" s="1549"/>
      <c r="AH554" s="1549"/>
    </row>
    <row r="555" spans="1:34" ht="12.75" customHeight="1" x14ac:dyDescent="0.2">
      <c r="A555" s="1549"/>
      <c r="B555" s="1549"/>
      <c r="C555" s="1549"/>
      <c r="D555" s="1549"/>
      <c r="E555" s="1549"/>
      <c r="F555" s="1549"/>
      <c r="G555" s="1549"/>
      <c r="H555" s="1549"/>
      <c r="I555" s="1549"/>
      <c r="J555" s="1549"/>
      <c r="K555" s="1549"/>
      <c r="L555" s="1549"/>
      <c r="M555" s="1549"/>
      <c r="N555" s="1549"/>
      <c r="O555" s="1549"/>
      <c r="P555" s="1549"/>
      <c r="Q555" s="1549"/>
      <c r="R555" s="1549"/>
      <c r="S555" s="1549"/>
      <c r="T555" s="1549"/>
      <c r="U555" s="1549"/>
      <c r="V555" s="1549"/>
      <c r="W555" s="1549"/>
      <c r="X555" s="1549"/>
      <c r="Y555" s="1549"/>
      <c r="Z555" s="1549"/>
      <c r="AA555" s="1549"/>
      <c r="AB555" s="1549"/>
      <c r="AC555" s="1549"/>
      <c r="AD555" s="1549"/>
      <c r="AE555" s="1549"/>
      <c r="AF555" s="1549"/>
      <c r="AG555" s="1549"/>
      <c r="AH555" s="1549"/>
    </row>
    <row r="556" spans="1:34" ht="12.75" customHeight="1" x14ac:dyDescent="0.2">
      <c r="A556" s="1549"/>
      <c r="B556" s="1549"/>
      <c r="C556" s="1549"/>
      <c r="D556" s="1549"/>
      <c r="E556" s="1549"/>
      <c r="F556" s="1549"/>
      <c r="G556" s="1549"/>
      <c r="H556" s="1549"/>
      <c r="I556" s="1549"/>
      <c r="J556" s="1549"/>
      <c r="K556" s="1549"/>
      <c r="L556" s="1549"/>
      <c r="M556" s="1549"/>
      <c r="N556" s="1549"/>
      <c r="O556" s="1549"/>
      <c r="P556" s="1549"/>
      <c r="Q556" s="1549"/>
      <c r="R556" s="1549"/>
      <c r="S556" s="1549"/>
      <c r="T556" s="1549"/>
      <c r="U556" s="1549"/>
      <c r="V556" s="1549"/>
      <c r="W556" s="1549"/>
      <c r="X556" s="1549"/>
      <c r="Y556" s="1549"/>
      <c r="Z556" s="1549"/>
      <c r="AA556" s="1549"/>
      <c r="AB556" s="1549"/>
      <c r="AC556" s="1549"/>
      <c r="AD556" s="1549"/>
      <c r="AE556" s="1549"/>
      <c r="AF556" s="1549"/>
      <c r="AG556" s="1549"/>
      <c r="AH556" s="1549"/>
    </row>
    <row r="557" spans="1:34" ht="12.75" customHeight="1" x14ac:dyDescent="0.2">
      <c r="A557" s="1549"/>
      <c r="B557" s="1549"/>
      <c r="C557" s="1549"/>
      <c r="D557" s="1549"/>
      <c r="E557" s="1549"/>
      <c r="F557" s="1549"/>
      <c r="G557" s="1549"/>
      <c r="H557" s="1549"/>
      <c r="I557" s="1549"/>
      <c r="J557" s="1549"/>
      <c r="K557" s="1549"/>
      <c r="L557" s="1549"/>
      <c r="M557" s="1549"/>
      <c r="N557" s="1549"/>
      <c r="O557" s="1549"/>
      <c r="P557" s="1549"/>
      <c r="Q557" s="1549"/>
      <c r="R557" s="1549"/>
      <c r="S557" s="1549"/>
      <c r="T557" s="1549"/>
      <c r="U557" s="1549"/>
      <c r="V557" s="1549"/>
      <c r="W557" s="1549"/>
      <c r="X557" s="1549"/>
      <c r="Y557" s="1549"/>
      <c r="Z557" s="1549"/>
      <c r="AA557" s="1549"/>
      <c r="AB557" s="1549"/>
      <c r="AC557" s="1549"/>
      <c r="AD557" s="1549"/>
      <c r="AE557" s="1549"/>
      <c r="AF557" s="1549"/>
      <c r="AG557" s="1549"/>
      <c r="AH557" s="1549"/>
    </row>
    <row r="558" spans="1:34" ht="12.75" customHeight="1" x14ac:dyDescent="0.2">
      <c r="A558" s="1549"/>
      <c r="B558" s="1549"/>
      <c r="C558" s="1549"/>
      <c r="D558" s="1549"/>
      <c r="E558" s="1549"/>
      <c r="F558" s="1549"/>
      <c r="G558" s="1549"/>
      <c r="H558" s="1549"/>
      <c r="I558" s="1549"/>
      <c r="J558" s="1549"/>
      <c r="K558" s="1549"/>
      <c r="L558" s="1549"/>
      <c r="M558" s="1549"/>
      <c r="N558" s="1549"/>
      <c r="O558" s="1549"/>
      <c r="P558" s="1549"/>
      <c r="Q558" s="1549"/>
      <c r="R558" s="1549"/>
      <c r="S558" s="1549"/>
      <c r="T558" s="1549"/>
      <c r="U558" s="1549"/>
      <c r="V558" s="1549"/>
      <c r="W558" s="1549"/>
      <c r="X558" s="1549"/>
      <c r="Y558" s="1549"/>
      <c r="Z558" s="1549"/>
      <c r="AA558" s="1549"/>
      <c r="AB558" s="1549"/>
      <c r="AC558" s="1549"/>
      <c r="AD558" s="1549"/>
      <c r="AE558" s="1549"/>
      <c r="AF558" s="1549"/>
      <c r="AG558" s="1549"/>
      <c r="AH558" s="1549"/>
    </row>
    <row r="559" spans="1:34" ht="12.75" customHeight="1" x14ac:dyDescent="0.2">
      <c r="A559" s="1549"/>
      <c r="B559" s="1549"/>
      <c r="C559" s="1549"/>
      <c r="D559" s="1549"/>
      <c r="E559" s="1549"/>
      <c r="F559" s="1549"/>
      <c r="G559" s="1549"/>
      <c r="H559" s="1549"/>
      <c r="I559" s="1549"/>
      <c r="J559" s="1549"/>
      <c r="K559" s="1549"/>
      <c r="L559" s="1549"/>
      <c r="M559" s="1549"/>
      <c r="N559" s="1549"/>
      <c r="O559" s="1549"/>
      <c r="P559" s="1549"/>
      <c r="Q559" s="1549"/>
      <c r="R559" s="1549"/>
      <c r="S559" s="1549"/>
      <c r="T559" s="1549"/>
      <c r="U559" s="1549"/>
      <c r="V559" s="1549"/>
      <c r="W559" s="1549"/>
      <c r="X559" s="1549"/>
      <c r="Y559" s="1549"/>
      <c r="Z559" s="1549"/>
      <c r="AA559" s="1549"/>
      <c r="AB559" s="1549"/>
      <c r="AC559" s="1549"/>
      <c r="AD559" s="1549"/>
      <c r="AE559" s="1549"/>
      <c r="AF559" s="1549"/>
      <c r="AG559" s="1549"/>
      <c r="AH559" s="1549"/>
    </row>
    <row r="560" spans="1:34" ht="12.75" customHeight="1" x14ac:dyDescent="0.2">
      <c r="A560" s="1549"/>
      <c r="B560" s="1549"/>
      <c r="C560" s="1549"/>
      <c r="D560" s="1549"/>
      <c r="E560" s="1549"/>
      <c r="F560" s="1549"/>
      <c r="G560" s="1549"/>
      <c r="H560" s="1549"/>
      <c r="I560" s="1549"/>
      <c r="J560" s="1549"/>
      <c r="K560" s="1549"/>
      <c r="L560" s="1549"/>
      <c r="M560" s="1549"/>
      <c r="N560" s="1549"/>
      <c r="O560" s="1549"/>
      <c r="P560" s="1549"/>
      <c r="Q560" s="1549"/>
      <c r="R560" s="1549"/>
      <c r="S560" s="1549"/>
      <c r="T560" s="1549"/>
      <c r="U560" s="1549"/>
      <c r="V560" s="1549"/>
      <c r="W560" s="1549"/>
      <c r="X560" s="1549"/>
      <c r="Y560" s="1549"/>
      <c r="Z560" s="1549"/>
      <c r="AA560" s="1549"/>
      <c r="AB560" s="1549"/>
      <c r="AC560" s="1549"/>
      <c r="AD560" s="1549"/>
      <c r="AE560" s="1549"/>
      <c r="AF560" s="1549"/>
      <c r="AG560" s="1549"/>
      <c r="AH560" s="1549"/>
    </row>
    <row r="561" spans="1:34" ht="12.75" customHeight="1" x14ac:dyDescent="0.2">
      <c r="A561" s="1549"/>
      <c r="B561" s="1549"/>
      <c r="C561" s="1549"/>
      <c r="D561" s="1549"/>
      <c r="E561" s="1549"/>
      <c r="F561" s="1549"/>
      <c r="G561" s="1549"/>
      <c r="H561" s="1549"/>
      <c r="I561" s="1549"/>
      <c r="J561" s="1549"/>
      <c r="K561" s="1549"/>
      <c r="L561" s="1549"/>
      <c r="M561" s="1549"/>
      <c r="N561" s="1549"/>
      <c r="O561" s="1549"/>
      <c r="P561" s="1549"/>
      <c r="Q561" s="1549"/>
      <c r="R561" s="1549"/>
      <c r="S561" s="1549"/>
      <c r="T561" s="1549"/>
      <c r="U561" s="1549"/>
      <c r="V561" s="1549"/>
      <c r="W561" s="1549"/>
      <c r="X561" s="1549"/>
      <c r="Y561" s="1549"/>
      <c r="Z561" s="1549"/>
      <c r="AA561" s="1549"/>
      <c r="AB561" s="1549"/>
      <c r="AC561" s="1549"/>
      <c r="AD561" s="1549"/>
      <c r="AE561" s="1549"/>
      <c r="AF561" s="1549"/>
      <c r="AG561" s="1549"/>
      <c r="AH561" s="1549"/>
    </row>
    <row r="562" spans="1:34" ht="12.75" customHeight="1" x14ac:dyDescent="0.2">
      <c r="A562" s="1549"/>
      <c r="B562" s="1549"/>
      <c r="C562" s="1549"/>
      <c r="D562" s="1549"/>
      <c r="E562" s="1549"/>
      <c r="F562" s="1549"/>
      <c r="G562" s="1549"/>
      <c r="H562" s="1549"/>
      <c r="I562" s="1549"/>
      <c r="J562" s="1549"/>
      <c r="K562" s="1549"/>
      <c r="L562" s="1549"/>
      <c r="M562" s="1549"/>
      <c r="N562" s="1549"/>
      <c r="O562" s="1549"/>
      <c r="P562" s="1549"/>
      <c r="Q562" s="1549"/>
      <c r="R562" s="1549"/>
      <c r="S562" s="1549"/>
      <c r="T562" s="1549"/>
      <c r="U562" s="1549"/>
      <c r="V562" s="1549"/>
      <c r="W562" s="1549"/>
      <c r="X562" s="1549"/>
      <c r="Y562" s="1549"/>
      <c r="Z562" s="1549"/>
      <c r="AA562" s="1549"/>
      <c r="AB562" s="1549"/>
      <c r="AC562" s="1549"/>
      <c r="AD562" s="1549"/>
      <c r="AE562" s="1549"/>
      <c r="AF562" s="1549"/>
      <c r="AG562" s="1549"/>
      <c r="AH562" s="1549"/>
    </row>
    <row r="563" spans="1:34" ht="12.75" customHeight="1" x14ac:dyDescent="0.2">
      <c r="A563" s="1549"/>
      <c r="B563" s="1549"/>
      <c r="C563" s="1549"/>
      <c r="D563" s="1549"/>
      <c r="E563" s="1549"/>
      <c r="F563" s="1549"/>
      <c r="G563" s="1549"/>
      <c r="H563" s="1549"/>
      <c r="I563" s="1549"/>
      <c r="J563" s="1549"/>
      <c r="K563" s="1549"/>
      <c r="L563" s="1549"/>
      <c r="M563" s="1549"/>
      <c r="N563" s="1549"/>
      <c r="O563" s="1549"/>
      <c r="P563" s="1549"/>
      <c r="Q563" s="1549"/>
      <c r="R563" s="1549"/>
      <c r="S563" s="1549"/>
      <c r="T563" s="1549"/>
      <c r="U563" s="1549"/>
      <c r="V563" s="1549"/>
      <c r="W563" s="1549"/>
      <c r="X563" s="1549"/>
      <c r="Y563" s="1549"/>
      <c r="Z563" s="1549"/>
      <c r="AA563" s="1549"/>
      <c r="AB563" s="1549"/>
      <c r="AC563" s="1549"/>
      <c r="AD563" s="1549"/>
      <c r="AE563" s="1549"/>
      <c r="AF563" s="1549"/>
      <c r="AG563" s="1549"/>
      <c r="AH563" s="1549"/>
    </row>
    <row r="564" spans="1:34" ht="12.75" customHeight="1" x14ac:dyDescent="0.2">
      <c r="A564" s="1549"/>
      <c r="B564" s="1549"/>
      <c r="C564" s="1549"/>
      <c r="D564" s="1549"/>
      <c r="E564" s="1549"/>
      <c r="F564" s="1549"/>
      <c r="G564" s="1549"/>
      <c r="H564" s="1549"/>
      <c r="I564" s="1549"/>
      <c r="J564" s="1549"/>
      <c r="K564" s="1549"/>
      <c r="L564" s="1549"/>
      <c r="M564" s="1549"/>
      <c r="N564" s="1549"/>
      <c r="O564" s="1549"/>
      <c r="P564" s="1549"/>
      <c r="Q564" s="1549"/>
      <c r="R564" s="1549"/>
      <c r="S564" s="1549"/>
      <c r="T564" s="1549"/>
      <c r="U564" s="1549"/>
      <c r="V564" s="1549"/>
      <c r="W564" s="1549"/>
      <c r="X564" s="1549"/>
      <c r="Y564" s="1549"/>
      <c r="Z564" s="1549"/>
      <c r="AA564" s="1549"/>
      <c r="AB564" s="1549"/>
      <c r="AC564" s="1549"/>
      <c r="AD564" s="1549"/>
      <c r="AE564" s="1549"/>
      <c r="AF564" s="1549"/>
      <c r="AG564" s="1549"/>
      <c r="AH564" s="1549"/>
    </row>
    <row r="565" spans="1:34" ht="12.75" customHeight="1" x14ac:dyDescent="0.2">
      <c r="A565" s="1549"/>
      <c r="B565" s="1549"/>
      <c r="C565" s="1549"/>
      <c r="D565" s="1549"/>
      <c r="E565" s="1549"/>
      <c r="F565" s="1549"/>
      <c r="G565" s="1549"/>
      <c r="H565" s="1549"/>
      <c r="I565" s="1549"/>
      <c r="J565" s="1549"/>
      <c r="K565" s="1549"/>
      <c r="L565" s="1549"/>
      <c r="M565" s="1549"/>
      <c r="N565" s="1549"/>
      <c r="O565" s="1549"/>
      <c r="P565" s="1549"/>
      <c r="Q565" s="1549"/>
      <c r="R565" s="1549"/>
      <c r="S565" s="1549"/>
      <c r="T565" s="1549"/>
      <c r="U565" s="1549"/>
      <c r="V565" s="1549"/>
      <c r="W565" s="1549"/>
      <c r="X565" s="1549"/>
      <c r="Y565" s="1549"/>
      <c r="Z565" s="1549"/>
      <c r="AA565" s="1549"/>
      <c r="AB565" s="1549"/>
      <c r="AC565" s="1549"/>
      <c r="AD565" s="1549"/>
      <c r="AE565" s="1549"/>
      <c r="AF565" s="1549"/>
      <c r="AG565" s="1549"/>
      <c r="AH565" s="1549"/>
    </row>
    <row r="566" spans="1:34" ht="12.75" customHeight="1" x14ac:dyDescent="0.2">
      <c r="A566" s="1549"/>
      <c r="B566" s="1549"/>
      <c r="C566" s="1549"/>
      <c r="D566" s="1549"/>
      <c r="E566" s="1549"/>
      <c r="F566" s="1549"/>
      <c r="G566" s="1549"/>
      <c r="H566" s="1549"/>
      <c r="I566" s="1549"/>
      <c r="J566" s="1549"/>
      <c r="K566" s="1549"/>
      <c r="L566" s="1549"/>
      <c r="M566" s="1549"/>
      <c r="N566" s="1549"/>
      <c r="O566" s="1549"/>
      <c r="P566" s="1549"/>
      <c r="Q566" s="1549"/>
      <c r="R566" s="1549"/>
      <c r="S566" s="1549"/>
      <c r="T566" s="1549"/>
      <c r="U566" s="1549"/>
      <c r="V566" s="1549"/>
      <c r="W566" s="1549"/>
      <c r="X566" s="1549"/>
      <c r="Y566" s="1549"/>
      <c r="Z566" s="1549"/>
      <c r="AA566" s="1549"/>
      <c r="AB566" s="1549"/>
      <c r="AC566" s="1549"/>
      <c r="AD566" s="1549"/>
      <c r="AE566" s="1549"/>
      <c r="AF566" s="1549"/>
      <c r="AG566" s="1549"/>
      <c r="AH566" s="1549"/>
    </row>
    <row r="567" spans="1:34" ht="12.75" customHeight="1" x14ac:dyDescent="0.2">
      <c r="A567" s="1549"/>
      <c r="B567" s="1549"/>
      <c r="C567" s="1549"/>
      <c r="D567" s="1549"/>
      <c r="E567" s="1549"/>
      <c r="F567" s="1549"/>
      <c r="G567" s="1549"/>
      <c r="H567" s="1549"/>
      <c r="I567" s="1549"/>
      <c r="J567" s="1549"/>
      <c r="K567" s="1549"/>
      <c r="L567" s="1549"/>
      <c r="M567" s="1549"/>
      <c r="N567" s="1549"/>
      <c r="O567" s="1549"/>
      <c r="P567" s="1549"/>
      <c r="Q567" s="1549"/>
      <c r="R567" s="1549"/>
      <c r="S567" s="1549"/>
      <c r="T567" s="1549"/>
      <c r="U567" s="1549"/>
      <c r="V567" s="1549"/>
      <c r="W567" s="1549"/>
      <c r="X567" s="1549"/>
      <c r="Y567" s="1549"/>
      <c r="Z567" s="1549"/>
      <c r="AA567" s="1549"/>
      <c r="AB567" s="1549"/>
      <c r="AC567" s="1549"/>
      <c r="AD567" s="1549"/>
      <c r="AE567" s="1549"/>
      <c r="AF567" s="1549"/>
      <c r="AG567" s="1549"/>
      <c r="AH567" s="1549"/>
    </row>
    <row r="568" spans="1:34" ht="12.75" customHeight="1" x14ac:dyDescent="0.2">
      <c r="A568" s="1549"/>
      <c r="B568" s="1549"/>
      <c r="C568" s="1549"/>
      <c r="D568" s="1549"/>
      <c r="E568" s="1549"/>
      <c r="F568" s="1549"/>
      <c r="G568" s="1549"/>
      <c r="H568" s="1549"/>
      <c r="I568" s="1549"/>
      <c r="J568" s="1549"/>
      <c r="K568" s="1549"/>
      <c r="L568" s="1549"/>
      <c r="M568" s="1549"/>
      <c r="N568" s="1549"/>
      <c r="O568" s="1549"/>
      <c r="P568" s="1549"/>
      <c r="Q568" s="1549"/>
      <c r="R568" s="1549"/>
      <c r="S568" s="1549"/>
      <c r="T568" s="1549"/>
      <c r="U568" s="1549"/>
      <c r="V568" s="1549"/>
      <c r="W568" s="1549"/>
      <c r="X568" s="1549"/>
      <c r="Y568" s="1549"/>
      <c r="Z568" s="1549"/>
      <c r="AA568" s="1549"/>
      <c r="AB568" s="1549"/>
      <c r="AC568" s="1549"/>
      <c r="AD568" s="1549"/>
      <c r="AE568" s="1549"/>
      <c r="AF568" s="1549"/>
      <c r="AG568" s="1549"/>
      <c r="AH568" s="1549"/>
    </row>
    <row r="569" spans="1:34" ht="12.75" customHeight="1" x14ac:dyDescent="0.2">
      <c r="A569" s="1549"/>
      <c r="B569" s="1549"/>
      <c r="C569" s="1549"/>
      <c r="D569" s="1549"/>
      <c r="E569" s="1549"/>
      <c r="F569" s="1549"/>
      <c r="G569" s="1549"/>
      <c r="H569" s="1549"/>
      <c r="I569" s="1549"/>
      <c r="J569" s="1549"/>
      <c r="K569" s="1549"/>
      <c r="L569" s="1549"/>
      <c r="M569" s="1549"/>
      <c r="N569" s="1549"/>
      <c r="O569" s="1549"/>
      <c r="P569" s="1549"/>
      <c r="Q569" s="1549"/>
      <c r="R569" s="1549"/>
      <c r="S569" s="1549"/>
      <c r="T569" s="1549"/>
      <c r="U569" s="1549"/>
      <c r="V569" s="1549"/>
      <c r="W569" s="1549"/>
      <c r="X569" s="1549"/>
      <c r="Y569" s="1549"/>
      <c r="Z569" s="1549"/>
      <c r="AA569" s="1549"/>
      <c r="AB569" s="1549"/>
      <c r="AC569" s="1549"/>
      <c r="AD569" s="1549"/>
      <c r="AE569" s="1549"/>
      <c r="AF569" s="1549"/>
      <c r="AG569" s="1549"/>
      <c r="AH569" s="1549"/>
    </row>
    <row r="570" spans="1:34" ht="12.75" customHeight="1" x14ac:dyDescent="0.2">
      <c r="A570" s="1549"/>
      <c r="B570" s="1549"/>
      <c r="C570" s="1549"/>
      <c r="D570" s="1549"/>
      <c r="E570" s="1549"/>
      <c r="F570" s="1549"/>
      <c r="G570" s="1549"/>
      <c r="H570" s="1549"/>
      <c r="I570" s="1549"/>
      <c r="J570" s="1549"/>
      <c r="K570" s="1549"/>
      <c r="L570" s="1549"/>
      <c r="M570" s="1549"/>
      <c r="N570" s="1549"/>
      <c r="O570" s="1549"/>
      <c r="P570" s="1549"/>
      <c r="Q570" s="1549"/>
      <c r="R570" s="1549"/>
      <c r="S570" s="1549"/>
      <c r="T570" s="1549"/>
      <c r="U570" s="1549"/>
      <c r="V570" s="1549"/>
      <c r="W570" s="1549"/>
      <c r="X570" s="1549"/>
      <c r="Y570" s="1549"/>
      <c r="Z570" s="1549"/>
      <c r="AA570" s="1549"/>
      <c r="AB570" s="1549"/>
      <c r="AC570" s="1549"/>
      <c r="AD570" s="1549"/>
      <c r="AE570" s="1549"/>
      <c r="AF570" s="1549"/>
      <c r="AG570" s="1549"/>
      <c r="AH570" s="1549"/>
    </row>
    <row r="571" spans="1:34" ht="12.75" customHeight="1" x14ac:dyDescent="0.2">
      <c r="A571" s="1549"/>
      <c r="B571" s="1549"/>
      <c r="C571" s="1549"/>
      <c r="D571" s="1549"/>
      <c r="E571" s="1549"/>
      <c r="F571" s="1549"/>
      <c r="G571" s="1549"/>
      <c r="H571" s="1549"/>
      <c r="I571" s="1549"/>
      <c r="J571" s="1549"/>
      <c r="K571" s="1549"/>
      <c r="L571" s="1549"/>
      <c r="M571" s="1549"/>
      <c r="N571" s="1549"/>
      <c r="O571" s="1549"/>
      <c r="P571" s="1549"/>
      <c r="Q571" s="1549"/>
      <c r="R571" s="1549"/>
      <c r="S571" s="1549"/>
      <c r="T571" s="1549"/>
      <c r="U571" s="1549"/>
      <c r="V571" s="1549"/>
      <c r="W571" s="1549"/>
      <c r="X571" s="1549"/>
      <c r="Y571" s="1549"/>
      <c r="Z571" s="1549"/>
      <c r="AA571" s="1549"/>
      <c r="AB571" s="1549"/>
      <c r="AC571" s="1549"/>
      <c r="AD571" s="1549"/>
      <c r="AE571" s="1549"/>
      <c r="AF571" s="1549"/>
      <c r="AG571" s="1549"/>
      <c r="AH571" s="1549"/>
    </row>
    <row r="572" spans="1:34" ht="12.75" customHeight="1" x14ac:dyDescent="0.2">
      <c r="A572" s="1549"/>
      <c r="B572" s="1549"/>
      <c r="C572" s="1549"/>
      <c r="D572" s="1549"/>
      <c r="E572" s="1549"/>
      <c r="F572" s="1549"/>
      <c r="G572" s="1549"/>
      <c r="H572" s="1549"/>
      <c r="I572" s="1549"/>
      <c r="J572" s="1549"/>
      <c r="K572" s="1549"/>
      <c r="L572" s="1549"/>
      <c r="M572" s="1549"/>
      <c r="N572" s="1549"/>
      <c r="O572" s="1549"/>
      <c r="P572" s="1549"/>
      <c r="Q572" s="1549"/>
      <c r="R572" s="1549"/>
      <c r="S572" s="1549"/>
      <c r="T572" s="1549"/>
      <c r="U572" s="1549"/>
      <c r="V572" s="1549"/>
      <c r="W572" s="1549"/>
      <c r="X572" s="1549"/>
      <c r="Y572" s="1549"/>
      <c r="Z572" s="1549"/>
      <c r="AA572" s="1549"/>
      <c r="AB572" s="1549"/>
      <c r="AC572" s="1549"/>
      <c r="AD572" s="1549"/>
      <c r="AE572" s="1549"/>
      <c r="AF572" s="1549"/>
      <c r="AG572" s="1549"/>
      <c r="AH572" s="1549"/>
    </row>
    <row r="573" spans="1:34" ht="12.75" customHeight="1" x14ac:dyDescent="0.2">
      <c r="A573" s="1549"/>
      <c r="B573" s="1549"/>
      <c r="C573" s="1549"/>
      <c r="D573" s="1549"/>
      <c r="E573" s="1549"/>
      <c r="F573" s="1549"/>
      <c r="G573" s="1549"/>
      <c r="H573" s="1549"/>
      <c r="I573" s="1549"/>
      <c r="J573" s="1549"/>
      <c r="K573" s="1549"/>
      <c r="L573" s="1549"/>
      <c r="M573" s="1549"/>
      <c r="N573" s="1549"/>
      <c r="O573" s="1549"/>
      <c r="P573" s="1549"/>
      <c r="Q573" s="1549"/>
      <c r="R573" s="1549"/>
      <c r="S573" s="1549"/>
      <c r="T573" s="1549"/>
      <c r="U573" s="1549"/>
      <c r="V573" s="1549"/>
      <c r="W573" s="1549"/>
      <c r="X573" s="1549"/>
      <c r="Y573" s="1549"/>
      <c r="Z573" s="1549"/>
      <c r="AA573" s="1549"/>
      <c r="AB573" s="1549"/>
      <c r="AC573" s="1549"/>
      <c r="AD573" s="1549"/>
      <c r="AE573" s="1549"/>
      <c r="AF573" s="1549"/>
      <c r="AG573" s="1549"/>
      <c r="AH573" s="1549"/>
    </row>
    <row r="574" spans="1:34" ht="12.75" customHeight="1" x14ac:dyDescent="0.2">
      <c r="A574" s="1549"/>
      <c r="B574" s="1549"/>
      <c r="C574" s="1549"/>
      <c r="D574" s="1549"/>
      <c r="E574" s="1549"/>
      <c r="F574" s="1549"/>
      <c r="G574" s="1549"/>
      <c r="H574" s="1549"/>
      <c r="I574" s="1549"/>
      <c r="J574" s="1549"/>
      <c r="K574" s="1549"/>
      <c r="L574" s="1549"/>
      <c r="M574" s="1549"/>
      <c r="N574" s="1549"/>
      <c r="O574" s="1549"/>
      <c r="P574" s="1549"/>
      <c r="Q574" s="1549"/>
      <c r="R574" s="1549"/>
      <c r="S574" s="1549"/>
      <c r="T574" s="1549"/>
      <c r="U574" s="1549"/>
      <c r="V574" s="1549"/>
      <c r="W574" s="1549"/>
      <c r="X574" s="1549"/>
      <c r="Y574" s="1549"/>
      <c r="Z574" s="1549"/>
      <c r="AA574" s="1549"/>
      <c r="AB574" s="1549"/>
      <c r="AC574" s="1549"/>
      <c r="AD574" s="1549"/>
      <c r="AE574" s="1549"/>
      <c r="AF574" s="1549"/>
      <c r="AG574" s="1549"/>
      <c r="AH574" s="1549"/>
    </row>
    <row r="575" spans="1:34" ht="12.75" customHeight="1" x14ac:dyDescent="0.2">
      <c r="A575" s="1549"/>
      <c r="B575" s="1549"/>
      <c r="C575" s="1549"/>
      <c r="D575" s="1549"/>
      <c r="E575" s="1549"/>
      <c r="F575" s="1549"/>
      <c r="G575" s="1549"/>
      <c r="H575" s="1549"/>
      <c r="I575" s="1549"/>
      <c r="J575" s="1549"/>
      <c r="K575" s="1549"/>
      <c r="L575" s="1549"/>
      <c r="M575" s="1549"/>
      <c r="N575" s="1549"/>
      <c r="O575" s="1549"/>
      <c r="P575" s="1549"/>
      <c r="Q575" s="1549"/>
      <c r="R575" s="1549"/>
      <c r="S575" s="1549"/>
      <c r="T575" s="1549"/>
      <c r="U575" s="1549"/>
      <c r="V575" s="1549"/>
      <c r="W575" s="1549"/>
      <c r="X575" s="1549"/>
      <c r="Y575" s="1549"/>
      <c r="Z575" s="1549"/>
      <c r="AA575" s="1549"/>
      <c r="AB575" s="1549"/>
      <c r="AC575" s="1549"/>
      <c r="AD575" s="1549"/>
      <c r="AE575" s="1549"/>
      <c r="AF575" s="1549"/>
      <c r="AG575" s="1549"/>
      <c r="AH575" s="1549"/>
    </row>
    <row r="576" spans="1:34" ht="12.75" customHeight="1" x14ac:dyDescent="0.2">
      <c r="A576" s="1549"/>
      <c r="B576" s="1549"/>
      <c r="C576" s="1549"/>
      <c r="D576" s="1549"/>
      <c r="E576" s="1549"/>
      <c r="F576" s="1549"/>
      <c r="G576" s="1549"/>
      <c r="H576" s="1549"/>
      <c r="I576" s="1549"/>
      <c r="J576" s="1549"/>
      <c r="K576" s="1549"/>
      <c r="L576" s="1549"/>
      <c r="M576" s="1549"/>
      <c r="N576" s="1549"/>
      <c r="O576" s="1549"/>
      <c r="P576" s="1549"/>
      <c r="Q576" s="1549"/>
      <c r="R576" s="1549"/>
      <c r="S576" s="1549"/>
      <c r="T576" s="1549"/>
      <c r="U576" s="1549"/>
      <c r="V576" s="1549"/>
      <c r="W576" s="1549"/>
      <c r="X576" s="1549"/>
      <c r="Y576" s="1549"/>
      <c r="Z576" s="1549"/>
      <c r="AA576" s="1549"/>
      <c r="AB576" s="1549"/>
      <c r="AC576" s="1549"/>
      <c r="AD576" s="1549"/>
      <c r="AE576" s="1549"/>
      <c r="AF576" s="1549"/>
      <c r="AG576" s="1549"/>
      <c r="AH576" s="1549"/>
    </row>
    <row r="577" spans="1:34" ht="12.75" customHeight="1" x14ac:dyDescent="0.2">
      <c r="A577" s="1549"/>
      <c r="B577" s="1549"/>
      <c r="C577" s="1549"/>
      <c r="D577" s="1549"/>
      <c r="E577" s="1549"/>
      <c r="F577" s="1549"/>
      <c r="G577" s="1549"/>
      <c r="H577" s="1549"/>
      <c r="I577" s="1549"/>
      <c r="J577" s="1549"/>
      <c r="K577" s="1549"/>
      <c r="L577" s="1549"/>
      <c r="M577" s="1549"/>
      <c r="N577" s="1549"/>
      <c r="O577" s="1549"/>
      <c r="P577" s="1549"/>
      <c r="Q577" s="1549"/>
      <c r="R577" s="1549"/>
      <c r="S577" s="1549"/>
      <c r="T577" s="1549"/>
      <c r="U577" s="1549"/>
      <c r="V577" s="1549"/>
      <c r="W577" s="1549"/>
      <c r="X577" s="1549"/>
      <c r="Y577" s="1549"/>
      <c r="Z577" s="1549"/>
      <c r="AA577" s="1549"/>
      <c r="AB577" s="1549"/>
      <c r="AC577" s="1549"/>
      <c r="AD577" s="1549"/>
      <c r="AE577" s="1549"/>
      <c r="AF577" s="1549"/>
      <c r="AG577" s="1549"/>
      <c r="AH577" s="1549"/>
    </row>
    <row r="578" spans="1:34" ht="12.75" customHeight="1" x14ac:dyDescent="0.2">
      <c r="A578" s="1549"/>
      <c r="B578" s="1549"/>
      <c r="C578" s="1549"/>
      <c r="D578" s="1549"/>
      <c r="E578" s="1549"/>
      <c r="F578" s="1549"/>
      <c r="G578" s="1549"/>
      <c r="H578" s="1549"/>
      <c r="I578" s="1549"/>
      <c r="J578" s="1549"/>
      <c r="K578" s="1549"/>
      <c r="L578" s="1549"/>
      <c r="M578" s="1549"/>
      <c r="N578" s="1549"/>
      <c r="O578" s="1549"/>
      <c r="P578" s="1549"/>
      <c r="Q578" s="1549"/>
      <c r="R578" s="1549"/>
      <c r="S578" s="1549"/>
      <c r="T578" s="1549"/>
      <c r="U578" s="1549"/>
      <c r="V578" s="1549"/>
      <c r="W578" s="1549"/>
      <c r="X578" s="1549"/>
      <c r="Y578" s="1549"/>
      <c r="Z578" s="1549"/>
      <c r="AA578" s="1549"/>
      <c r="AB578" s="1549"/>
      <c r="AC578" s="1549"/>
      <c r="AD578" s="1549"/>
      <c r="AE578" s="1549"/>
      <c r="AF578" s="1549"/>
      <c r="AG578" s="1549"/>
      <c r="AH578" s="1549"/>
    </row>
    <row r="579" spans="1:34" ht="12.75" customHeight="1" x14ac:dyDescent="0.2">
      <c r="A579" s="1549"/>
      <c r="B579" s="1549"/>
      <c r="C579" s="1549"/>
      <c r="D579" s="1549"/>
      <c r="E579" s="1549"/>
      <c r="F579" s="1549"/>
      <c r="G579" s="1549"/>
      <c r="H579" s="1549"/>
      <c r="I579" s="1549"/>
      <c r="J579" s="1549"/>
      <c r="K579" s="1549"/>
      <c r="L579" s="1549"/>
      <c r="M579" s="1549"/>
      <c r="N579" s="1549"/>
      <c r="O579" s="1549"/>
      <c r="P579" s="1549"/>
      <c r="Q579" s="1549"/>
      <c r="R579" s="1549"/>
      <c r="S579" s="1549"/>
      <c r="T579" s="1549"/>
      <c r="U579" s="1549"/>
      <c r="V579" s="1549"/>
      <c r="W579" s="1549"/>
      <c r="X579" s="1549"/>
      <c r="Y579" s="1549"/>
      <c r="Z579" s="1549"/>
      <c r="AA579" s="1549"/>
      <c r="AB579" s="1549"/>
      <c r="AC579" s="1549"/>
      <c r="AD579" s="1549"/>
      <c r="AE579" s="1549"/>
      <c r="AF579" s="1549"/>
      <c r="AG579" s="1549"/>
      <c r="AH579" s="1549"/>
    </row>
    <row r="580" spans="1:34" ht="12.75" customHeight="1" x14ac:dyDescent="0.2">
      <c r="A580" s="1549"/>
      <c r="B580" s="1549"/>
      <c r="C580" s="1549"/>
      <c r="D580" s="1549"/>
      <c r="E580" s="1549"/>
      <c r="F580" s="1549"/>
      <c r="G580" s="1549"/>
      <c r="H580" s="1549"/>
      <c r="I580" s="1549"/>
      <c r="J580" s="1549"/>
      <c r="K580" s="1549"/>
      <c r="L580" s="1549"/>
      <c r="M580" s="1549"/>
      <c r="N580" s="1549"/>
      <c r="O580" s="1549"/>
      <c r="P580" s="1549"/>
      <c r="Q580" s="1549"/>
      <c r="R580" s="1549"/>
      <c r="S580" s="1549"/>
      <c r="T580" s="1549"/>
      <c r="U580" s="1549"/>
      <c r="V580" s="1549"/>
      <c r="W580" s="1549"/>
      <c r="X580" s="1549"/>
      <c r="Y580" s="1549"/>
      <c r="Z580" s="1549"/>
      <c r="AA580" s="1549"/>
      <c r="AB580" s="1549"/>
      <c r="AC580" s="1549"/>
      <c r="AD580" s="1549"/>
      <c r="AE580" s="1549"/>
      <c r="AF580" s="1549"/>
      <c r="AG580" s="1549"/>
      <c r="AH580" s="1549"/>
    </row>
    <row r="581" spans="1:34" ht="12.75" customHeight="1" x14ac:dyDescent="0.2">
      <c r="A581" s="1549"/>
      <c r="B581" s="1549"/>
      <c r="C581" s="1549"/>
      <c r="D581" s="1549"/>
      <c r="E581" s="1549"/>
      <c r="F581" s="1549"/>
      <c r="G581" s="1549"/>
      <c r="H581" s="1549"/>
      <c r="I581" s="1549"/>
      <c r="J581" s="1549"/>
      <c r="K581" s="1549"/>
      <c r="L581" s="1549"/>
      <c r="M581" s="1549"/>
      <c r="N581" s="1549"/>
      <c r="O581" s="1549"/>
      <c r="P581" s="1549"/>
      <c r="Q581" s="1549"/>
      <c r="R581" s="1549"/>
      <c r="S581" s="1549"/>
      <c r="T581" s="1549"/>
      <c r="U581" s="1549"/>
      <c r="V581" s="1549"/>
      <c r="W581" s="1549"/>
      <c r="X581" s="1549"/>
      <c r="Y581" s="1549"/>
      <c r="Z581" s="1549"/>
      <c r="AA581" s="1549"/>
      <c r="AB581" s="1549"/>
      <c r="AC581" s="1549"/>
      <c r="AD581" s="1549"/>
      <c r="AE581" s="1549"/>
      <c r="AF581" s="1549"/>
      <c r="AG581" s="1549"/>
      <c r="AH581" s="1549"/>
    </row>
    <row r="582" spans="1:34" ht="12.75" customHeight="1" x14ac:dyDescent="0.2">
      <c r="A582" s="1549"/>
      <c r="B582" s="1549"/>
      <c r="C582" s="1549"/>
      <c r="D582" s="1549"/>
      <c r="E582" s="1549"/>
      <c r="F582" s="1549"/>
      <c r="G582" s="1549"/>
      <c r="H582" s="1549"/>
      <c r="I582" s="1549"/>
      <c r="J582" s="1549"/>
      <c r="K582" s="1549"/>
      <c r="L582" s="1549"/>
      <c r="M582" s="1549"/>
      <c r="N582" s="1549"/>
      <c r="O582" s="1549"/>
      <c r="P582" s="1549"/>
      <c r="Q582" s="1549"/>
      <c r="R582" s="1549"/>
      <c r="S582" s="1549"/>
      <c r="T582" s="1549"/>
      <c r="U582" s="1549"/>
      <c r="V582" s="1549"/>
      <c r="W582" s="1549"/>
      <c r="X582" s="1549"/>
      <c r="Y582" s="1549"/>
      <c r="Z582" s="1549"/>
      <c r="AA582" s="1549"/>
      <c r="AB582" s="1549"/>
      <c r="AC582" s="1549"/>
      <c r="AD582" s="1549"/>
      <c r="AE582" s="1549"/>
      <c r="AF582" s="1549"/>
      <c r="AG582" s="1549"/>
      <c r="AH582" s="1549"/>
    </row>
    <row r="583" spans="1:34" ht="12.75" customHeight="1" x14ac:dyDescent="0.2">
      <c r="A583" s="1549"/>
      <c r="B583" s="1549"/>
      <c r="C583" s="1549"/>
      <c r="D583" s="1549"/>
      <c r="E583" s="1549"/>
      <c r="F583" s="1549"/>
      <c r="G583" s="1549"/>
      <c r="H583" s="1549"/>
      <c r="I583" s="1549"/>
      <c r="J583" s="1549"/>
      <c r="K583" s="1549"/>
      <c r="L583" s="1549"/>
      <c r="M583" s="1549"/>
      <c r="N583" s="1549"/>
      <c r="O583" s="1549"/>
      <c r="P583" s="1549"/>
      <c r="Q583" s="1549"/>
      <c r="R583" s="1549"/>
      <c r="S583" s="1549"/>
      <c r="T583" s="1549"/>
      <c r="U583" s="1549"/>
      <c r="V583" s="1549"/>
      <c r="W583" s="1549"/>
      <c r="X583" s="1549"/>
      <c r="Y583" s="1549"/>
      <c r="Z583" s="1549"/>
      <c r="AA583" s="1549"/>
      <c r="AB583" s="1549"/>
      <c r="AC583" s="1549"/>
      <c r="AD583" s="1549"/>
      <c r="AE583" s="1549"/>
      <c r="AF583" s="1549"/>
      <c r="AG583" s="1549"/>
      <c r="AH583" s="1549"/>
    </row>
    <row r="584" spans="1:34" ht="12.75" customHeight="1" x14ac:dyDescent="0.2">
      <c r="A584" s="1549"/>
      <c r="B584" s="1549"/>
      <c r="C584" s="1549"/>
      <c r="D584" s="1549"/>
      <c r="E584" s="1549"/>
      <c r="F584" s="1549"/>
      <c r="G584" s="1549"/>
      <c r="H584" s="1549"/>
      <c r="I584" s="1549"/>
      <c r="J584" s="1549"/>
      <c r="K584" s="1549"/>
      <c r="L584" s="1549"/>
      <c r="M584" s="1549"/>
      <c r="N584" s="1549"/>
      <c r="O584" s="1549"/>
      <c r="P584" s="1549"/>
      <c r="Q584" s="1549"/>
      <c r="R584" s="1549"/>
      <c r="S584" s="1549"/>
      <c r="T584" s="1549"/>
      <c r="U584" s="1549"/>
      <c r="V584" s="1549"/>
      <c r="W584" s="1549"/>
      <c r="X584" s="1549"/>
      <c r="Y584" s="1549"/>
      <c r="Z584" s="1549"/>
      <c r="AA584" s="1549"/>
      <c r="AB584" s="1549"/>
      <c r="AC584" s="1549"/>
      <c r="AD584" s="1549"/>
      <c r="AE584" s="1549"/>
      <c r="AF584" s="1549"/>
      <c r="AG584" s="1549"/>
      <c r="AH584" s="1549"/>
    </row>
    <row r="585" spans="1:34" ht="12.75" customHeight="1" x14ac:dyDescent="0.2">
      <c r="A585" s="1549"/>
      <c r="B585" s="1549"/>
      <c r="C585" s="1549"/>
      <c r="D585" s="1549"/>
      <c r="E585" s="1549"/>
      <c r="F585" s="1549"/>
      <c r="G585" s="1549"/>
      <c r="H585" s="1549"/>
      <c r="I585" s="1549"/>
      <c r="J585" s="1549"/>
      <c r="K585" s="1549"/>
      <c r="L585" s="1549"/>
      <c r="M585" s="1549"/>
      <c r="N585" s="1549"/>
      <c r="O585" s="1549"/>
      <c r="P585" s="1549"/>
      <c r="Q585" s="1549"/>
      <c r="R585" s="1549"/>
      <c r="S585" s="1549"/>
      <c r="T585" s="1549"/>
      <c r="U585" s="1549"/>
      <c r="V585" s="1549"/>
      <c r="W585" s="1549"/>
      <c r="X585" s="1549"/>
      <c r="Y585" s="1549"/>
      <c r="Z585" s="1549"/>
      <c r="AA585" s="1549"/>
      <c r="AB585" s="1549"/>
      <c r="AC585" s="1549"/>
      <c r="AD585" s="1549"/>
      <c r="AE585" s="1549"/>
      <c r="AF585" s="1549"/>
      <c r="AG585" s="1549"/>
      <c r="AH585" s="1549"/>
    </row>
    <row r="586" spans="1:34" ht="12.75" customHeight="1" x14ac:dyDescent="0.2">
      <c r="A586" s="1549"/>
      <c r="B586" s="1549"/>
      <c r="C586" s="1549"/>
      <c r="D586" s="1549"/>
      <c r="E586" s="1549"/>
      <c r="F586" s="1549"/>
      <c r="G586" s="1549"/>
      <c r="H586" s="1549"/>
      <c r="I586" s="1549"/>
      <c r="J586" s="1549"/>
      <c r="K586" s="1549"/>
      <c r="L586" s="1549"/>
      <c r="M586" s="1549"/>
      <c r="N586" s="1549"/>
      <c r="O586" s="1549"/>
      <c r="P586" s="1549"/>
      <c r="Q586" s="1549"/>
      <c r="R586" s="1549"/>
      <c r="S586" s="1549"/>
      <c r="T586" s="1549"/>
      <c r="U586" s="1549"/>
      <c r="V586" s="1549"/>
      <c r="W586" s="1549"/>
      <c r="X586" s="1549"/>
      <c r="Y586" s="1549"/>
      <c r="Z586" s="1549"/>
      <c r="AA586" s="1549"/>
      <c r="AB586" s="1549"/>
      <c r="AC586" s="1549"/>
      <c r="AD586" s="1549"/>
      <c r="AE586" s="1549"/>
      <c r="AF586" s="1549"/>
      <c r="AG586" s="1549"/>
      <c r="AH586" s="1549"/>
    </row>
    <row r="587" spans="1:34" ht="12.75" customHeight="1" x14ac:dyDescent="0.2">
      <c r="A587" s="1549"/>
      <c r="B587" s="1549"/>
      <c r="C587" s="1549"/>
      <c r="D587" s="1549"/>
      <c r="E587" s="1549"/>
      <c r="F587" s="1549"/>
      <c r="G587" s="1549"/>
      <c r="H587" s="1549"/>
      <c r="I587" s="1549"/>
      <c r="J587" s="1549"/>
      <c r="K587" s="1549"/>
      <c r="L587" s="1549"/>
      <c r="M587" s="1549"/>
      <c r="N587" s="1549"/>
      <c r="O587" s="1549"/>
      <c r="P587" s="1549"/>
      <c r="Q587" s="1549"/>
      <c r="R587" s="1549"/>
      <c r="S587" s="1549"/>
      <c r="T587" s="1549"/>
      <c r="U587" s="1549"/>
      <c r="V587" s="1549"/>
      <c r="W587" s="1549"/>
      <c r="X587" s="1549"/>
      <c r="Y587" s="1549"/>
      <c r="Z587" s="1549"/>
      <c r="AA587" s="1549"/>
      <c r="AB587" s="1549"/>
      <c r="AC587" s="1549"/>
      <c r="AD587" s="1549"/>
      <c r="AE587" s="1549"/>
      <c r="AF587" s="1549"/>
      <c r="AG587" s="1549"/>
      <c r="AH587" s="1549"/>
    </row>
    <row r="588" spans="1:34" ht="12.75" customHeight="1" x14ac:dyDescent="0.2">
      <c r="A588" s="1549"/>
      <c r="B588" s="1549"/>
      <c r="C588" s="1549"/>
      <c r="D588" s="1549"/>
      <c r="E588" s="1549"/>
      <c r="F588" s="1549"/>
      <c r="G588" s="1549"/>
      <c r="H588" s="1549"/>
      <c r="I588" s="1549"/>
      <c r="J588" s="1549"/>
      <c r="K588" s="1549"/>
      <c r="L588" s="1549"/>
      <c r="M588" s="1549"/>
      <c r="N588" s="1549"/>
      <c r="O588" s="1549"/>
      <c r="P588" s="1549"/>
      <c r="Q588" s="1549"/>
      <c r="R588" s="1549"/>
      <c r="S588" s="1549"/>
      <c r="T588" s="1549"/>
      <c r="U588" s="1549"/>
      <c r="V588" s="1549"/>
      <c r="W588" s="1549"/>
      <c r="X588" s="1549"/>
      <c r="Y588" s="1549"/>
      <c r="Z588" s="1549"/>
      <c r="AA588" s="1549"/>
      <c r="AB588" s="1549"/>
      <c r="AC588" s="1549"/>
      <c r="AD588" s="1549"/>
      <c r="AE588" s="1549"/>
      <c r="AF588" s="1549"/>
      <c r="AG588" s="1549"/>
      <c r="AH588" s="1549"/>
    </row>
    <row r="589" spans="1:34" ht="12.75" customHeight="1" x14ac:dyDescent="0.2">
      <c r="A589" s="1549"/>
      <c r="B589" s="1549"/>
      <c r="C589" s="1549"/>
      <c r="D589" s="1549"/>
      <c r="E589" s="1549"/>
      <c r="F589" s="1549"/>
      <c r="G589" s="1549"/>
      <c r="H589" s="1549"/>
      <c r="I589" s="1549"/>
      <c r="J589" s="1549"/>
      <c r="K589" s="1549"/>
      <c r="L589" s="1549"/>
      <c r="M589" s="1549"/>
      <c r="N589" s="1549"/>
      <c r="O589" s="1549"/>
      <c r="P589" s="1549"/>
      <c r="Q589" s="1549"/>
      <c r="R589" s="1549"/>
      <c r="S589" s="1549"/>
      <c r="T589" s="1549"/>
      <c r="U589" s="1549"/>
      <c r="V589" s="1549"/>
      <c r="W589" s="1549"/>
      <c r="X589" s="1549"/>
      <c r="Y589" s="1549"/>
      <c r="Z589" s="1549"/>
      <c r="AA589" s="1549"/>
      <c r="AB589" s="1549"/>
      <c r="AC589" s="1549"/>
      <c r="AD589" s="1549"/>
      <c r="AE589" s="1549"/>
      <c r="AF589" s="1549"/>
      <c r="AG589" s="1549"/>
      <c r="AH589" s="1549"/>
    </row>
    <row r="590" spans="1:34" ht="12.75" customHeight="1" x14ac:dyDescent="0.2">
      <c r="A590" s="1549"/>
      <c r="B590" s="1549"/>
      <c r="C590" s="1549"/>
      <c r="D590" s="1549"/>
      <c r="E590" s="1549"/>
      <c r="F590" s="1549"/>
      <c r="G590" s="1549"/>
      <c r="H590" s="1549"/>
      <c r="I590" s="1549"/>
      <c r="J590" s="1549"/>
      <c r="K590" s="1549"/>
      <c r="L590" s="1549"/>
      <c r="M590" s="1549"/>
      <c r="N590" s="1549"/>
      <c r="O590" s="1549"/>
      <c r="P590" s="1549"/>
      <c r="Q590" s="1549"/>
      <c r="R590" s="1549"/>
      <c r="S590" s="1549"/>
      <c r="T590" s="1549"/>
      <c r="U590" s="1549"/>
      <c r="V590" s="1549"/>
      <c r="W590" s="1549"/>
      <c r="X590" s="1549"/>
      <c r="Y590" s="1549"/>
      <c r="Z590" s="1549"/>
      <c r="AA590" s="1549"/>
      <c r="AB590" s="1549"/>
      <c r="AC590" s="1549"/>
      <c r="AD590" s="1549"/>
      <c r="AE590" s="1549"/>
      <c r="AF590" s="1549"/>
      <c r="AG590" s="1549"/>
      <c r="AH590" s="1549"/>
    </row>
    <row r="591" spans="1:34" ht="12.75" customHeight="1" x14ac:dyDescent="0.2">
      <c r="A591" s="1549"/>
      <c r="B591" s="1549"/>
      <c r="C591" s="1549"/>
      <c r="D591" s="1549"/>
      <c r="E591" s="1549"/>
      <c r="F591" s="1549"/>
      <c r="G591" s="1549"/>
      <c r="H591" s="1549"/>
      <c r="I591" s="1549"/>
      <c r="J591" s="1549"/>
      <c r="K591" s="1549"/>
      <c r="L591" s="1549"/>
      <c r="M591" s="1549"/>
      <c r="N591" s="1549"/>
      <c r="O591" s="1549"/>
      <c r="P591" s="1549"/>
      <c r="Q591" s="1549"/>
      <c r="R591" s="1549"/>
      <c r="S591" s="1549"/>
      <c r="T591" s="1549"/>
      <c r="U591" s="1549"/>
      <c r="V591" s="1549"/>
      <c r="W591" s="1549"/>
      <c r="X591" s="1549"/>
      <c r="Y591" s="1549"/>
      <c r="Z591" s="1549"/>
      <c r="AA591" s="1549"/>
      <c r="AB591" s="1549"/>
      <c r="AC591" s="1549"/>
      <c r="AD591" s="1549"/>
      <c r="AE591" s="1549"/>
      <c r="AF591" s="1549"/>
      <c r="AG591" s="1549"/>
      <c r="AH591" s="1549"/>
    </row>
    <row r="592" spans="1:34" ht="12.75" customHeight="1" x14ac:dyDescent="0.2">
      <c r="A592" s="1549"/>
      <c r="B592" s="1549"/>
      <c r="C592" s="1549"/>
      <c r="D592" s="1549"/>
      <c r="E592" s="1549"/>
      <c r="F592" s="1549"/>
      <c r="G592" s="1549"/>
      <c r="H592" s="1549"/>
      <c r="I592" s="1549"/>
      <c r="J592" s="1549"/>
      <c r="K592" s="1549"/>
      <c r="L592" s="1549"/>
      <c r="M592" s="1549"/>
      <c r="N592" s="1549"/>
      <c r="O592" s="1549"/>
      <c r="P592" s="1549"/>
      <c r="Q592" s="1549"/>
      <c r="R592" s="1549"/>
      <c r="S592" s="1549"/>
      <c r="T592" s="1549"/>
      <c r="U592" s="1549"/>
      <c r="V592" s="1549"/>
      <c r="W592" s="1549"/>
      <c r="X592" s="1549"/>
      <c r="Y592" s="1549"/>
      <c r="Z592" s="1549"/>
      <c r="AA592" s="1549"/>
      <c r="AB592" s="1549"/>
      <c r="AC592" s="1549"/>
      <c r="AD592" s="1549"/>
      <c r="AE592" s="1549"/>
      <c r="AF592" s="1549"/>
      <c r="AG592" s="1549"/>
      <c r="AH592" s="1549"/>
    </row>
    <row r="593" spans="1:34" ht="12.75" customHeight="1" x14ac:dyDescent="0.2">
      <c r="A593" s="1549"/>
      <c r="B593" s="1549"/>
      <c r="C593" s="1549"/>
      <c r="D593" s="1549"/>
      <c r="E593" s="1549"/>
      <c r="F593" s="1549"/>
      <c r="G593" s="1549"/>
      <c r="H593" s="1549"/>
      <c r="I593" s="1549"/>
      <c r="J593" s="1549"/>
      <c r="K593" s="1549"/>
      <c r="L593" s="1549"/>
      <c r="M593" s="1549"/>
      <c r="N593" s="1549"/>
      <c r="O593" s="1549"/>
      <c r="P593" s="1549"/>
      <c r="Q593" s="1549"/>
      <c r="R593" s="1549"/>
      <c r="S593" s="1549"/>
      <c r="T593" s="1549"/>
      <c r="U593" s="1549"/>
      <c r="V593" s="1549"/>
      <c r="W593" s="1549"/>
      <c r="X593" s="1549"/>
      <c r="Y593" s="1549"/>
      <c r="Z593" s="1549"/>
      <c r="AA593" s="1549"/>
      <c r="AB593" s="1549"/>
      <c r="AC593" s="1549"/>
      <c r="AD593" s="1549"/>
      <c r="AE593" s="1549"/>
      <c r="AF593" s="1549"/>
      <c r="AG593" s="1549"/>
      <c r="AH593" s="1549"/>
    </row>
    <row r="594" spans="1:34" ht="12.75" customHeight="1" x14ac:dyDescent="0.2">
      <c r="A594" s="1549"/>
      <c r="B594" s="1549"/>
      <c r="C594" s="1549"/>
      <c r="D594" s="1549"/>
      <c r="E594" s="1549"/>
      <c r="F594" s="1549"/>
      <c r="G594" s="1549"/>
      <c r="H594" s="1549"/>
      <c r="I594" s="1549"/>
      <c r="J594" s="1549"/>
      <c r="K594" s="1549"/>
      <c r="L594" s="1549"/>
      <c r="M594" s="1549"/>
      <c r="N594" s="1549"/>
      <c r="O594" s="1549"/>
      <c r="P594" s="1549"/>
      <c r="Q594" s="1549"/>
      <c r="R594" s="1549"/>
      <c r="S594" s="1549"/>
      <c r="T594" s="1549"/>
      <c r="U594" s="1549"/>
      <c r="V594" s="1549"/>
      <c r="W594" s="1549"/>
      <c r="X594" s="1549"/>
      <c r="Y594" s="1549"/>
      <c r="Z594" s="1549"/>
      <c r="AA594" s="1549"/>
      <c r="AB594" s="1549"/>
      <c r="AC594" s="1549"/>
      <c r="AD594" s="1549"/>
      <c r="AE594" s="1549"/>
      <c r="AF594" s="1549"/>
      <c r="AG594" s="1549"/>
      <c r="AH594" s="1549"/>
    </row>
    <row r="595" spans="1:34" ht="12.75" customHeight="1" x14ac:dyDescent="0.2">
      <c r="A595" s="1549"/>
      <c r="B595" s="1549"/>
      <c r="C595" s="1549"/>
      <c r="D595" s="1549"/>
      <c r="E595" s="1549"/>
      <c r="F595" s="1549"/>
      <c r="G595" s="1549"/>
      <c r="H595" s="1549"/>
      <c r="I595" s="1549"/>
      <c r="J595" s="1549"/>
      <c r="K595" s="1549"/>
      <c r="L595" s="1549"/>
      <c r="M595" s="1549"/>
      <c r="N595" s="1549"/>
      <c r="O595" s="1549"/>
      <c r="P595" s="1549"/>
      <c r="Q595" s="1549"/>
      <c r="R595" s="1549"/>
      <c r="S595" s="1549"/>
      <c r="T595" s="1549"/>
      <c r="U595" s="1549"/>
      <c r="V595" s="1549"/>
      <c r="W595" s="1549"/>
      <c r="X595" s="1549"/>
      <c r="Y595" s="1549"/>
      <c r="Z595" s="1549"/>
      <c r="AA595" s="1549"/>
      <c r="AB595" s="1549"/>
      <c r="AC595" s="1549"/>
      <c r="AD595" s="1549"/>
      <c r="AE595" s="1549"/>
      <c r="AF595" s="1549"/>
      <c r="AG595" s="1549"/>
      <c r="AH595" s="1549"/>
    </row>
    <row r="596" spans="1:34" ht="12.75" customHeight="1" x14ac:dyDescent="0.2">
      <c r="A596" s="1549"/>
      <c r="B596" s="1549"/>
      <c r="C596" s="1549"/>
      <c r="D596" s="1549"/>
      <c r="E596" s="1549"/>
      <c r="F596" s="1549"/>
      <c r="G596" s="1549"/>
      <c r="H596" s="1549"/>
      <c r="I596" s="1549"/>
      <c r="J596" s="1549"/>
      <c r="K596" s="1549"/>
      <c r="L596" s="1549"/>
      <c r="M596" s="1549"/>
      <c r="N596" s="1549"/>
      <c r="O596" s="1549"/>
      <c r="P596" s="1549"/>
      <c r="Q596" s="1549"/>
      <c r="R596" s="1549"/>
      <c r="S596" s="1549"/>
      <c r="T596" s="1549"/>
      <c r="U596" s="1549"/>
      <c r="V596" s="1549"/>
      <c r="W596" s="1549"/>
      <c r="X596" s="1549"/>
      <c r="Y596" s="1549"/>
      <c r="Z596" s="1549"/>
      <c r="AA596" s="1549"/>
      <c r="AB596" s="1549"/>
      <c r="AC596" s="1549"/>
      <c r="AD596" s="1549"/>
      <c r="AE596" s="1549"/>
      <c r="AF596" s="1549"/>
      <c r="AG596" s="1549"/>
      <c r="AH596" s="1549"/>
    </row>
    <row r="597" spans="1:34" ht="12.75" customHeight="1" x14ac:dyDescent="0.2">
      <c r="A597" s="1549"/>
      <c r="B597" s="1549"/>
      <c r="C597" s="1549"/>
      <c r="D597" s="1549"/>
      <c r="E597" s="1549"/>
      <c r="F597" s="1549"/>
      <c r="G597" s="1549"/>
      <c r="H597" s="1549"/>
      <c r="I597" s="1549"/>
      <c r="J597" s="1549"/>
      <c r="K597" s="1549"/>
      <c r="L597" s="1549"/>
      <c r="M597" s="1549"/>
      <c r="N597" s="1549"/>
      <c r="O597" s="1549"/>
      <c r="P597" s="1549"/>
      <c r="Q597" s="1549"/>
      <c r="R597" s="1549"/>
      <c r="S597" s="1549"/>
      <c r="T597" s="1549"/>
      <c r="U597" s="1549"/>
      <c r="V597" s="1549"/>
      <c r="W597" s="1549"/>
      <c r="X597" s="1549"/>
      <c r="Y597" s="1549"/>
      <c r="Z597" s="1549"/>
      <c r="AA597" s="1549"/>
      <c r="AB597" s="1549"/>
      <c r="AC597" s="1549"/>
      <c r="AD597" s="1549"/>
      <c r="AE597" s="1549"/>
      <c r="AF597" s="1549"/>
      <c r="AG597" s="1549"/>
      <c r="AH597" s="1549"/>
    </row>
    <row r="598" spans="1:34" ht="12.75" customHeight="1" x14ac:dyDescent="0.2">
      <c r="A598" s="1549"/>
      <c r="B598" s="1549"/>
      <c r="C598" s="1549"/>
      <c r="D598" s="1549"/>
      <c r="E598" s="1549"/>
      <c r="F598" s="1549"/>
      <c r="G598" s="1549"/>
      <c r="H598" s="1549"/>
      <c r="I598" s="1549"/>
      <c r="J598" s="1549"/>
      <c r="K598" s="1549"/>
      <c r="L598" s="1549"/>
      <c r="M598" s="1549"/>
      <c r="N598" s="1549"/>
      <c r="O598" s="1549"/>
      <c r="P598" s="1549"/>
      <c r="Q598" s="1549"/>
      <c r="R598" s="1549"/>
      <c r="S598" s="1549"/>
      <c r="T598" s="1549"/>
      <c r="U598" s="1549"/>
      <c r="V598" s="1549"/>
      <c r="W598" s="1549"/>
      <c r="X598" s="1549"/>
      <c r="Y598" s="1549"/>
      <c r="Z598" s="1549"/>
      <c r="AA598" s="1549"/>
      <c r="AB598" s="1549"/>
      <c r="AC598" s="1549"/>
      <c r="AD598" s="1549"/>
      <c r="AE598" s="1549"/>
      <c r="AF598" s="1549"/>
      <c r="AG598" s="1549"/>
      <c r="AH598" s="1549"/>
    </row>
    <row r="599" spans="1:34" ht="12.75" customHeight="1" x14ac:dyDescent="0.2">
      <c r="A599" s="1549"/>
      <c r="B599" s="1549"/>
      <c r="C599" s="1549"/>
      <c r="D599" s="1549"/>
      <c r="E599" s="1549"/>
      <c r="F599" s="1549"/>
      <c r="G599" s="1549"/>
      <c r="H599" s="1549"/>
      <c r="I599" s="1549"/>
      <c r="J599" s="1549"/>
      <c r="K599" s="1549"/>
      <c r="L599" s="1549"/>
      <c r="M599" s="1549"/>
      <c r="N599" s="1549"/>
      <c r="O599" s="1549"/>
      <c r="P599" s="1549"/>
      <c r="Q599" s="1549"/>
      <c r="R599" s="1549"/>
      <c r="S599" s="1549"/>
      <c r="T599" s="1549"/>
      <c r="U599" s="1549"/>
      <c r="V599" s="1549"/>
      <c r="W599" s="1549"/>
      <c r="X599" s="1549"/>
      <c r="Y599" s="1549"/>
      <c r="Z599" s="1549"/>
      <c r="AA599" s="1549"/>
      <c r="AB599" s="1549"/>
      <c r="AC599" s="1549"/>
      <c r="AD599" s="1549"/>
      <c r="AE599" s="1549"/>
      <c r="AF599" s="1549"/>
      <c r="AG599" s="1549"/>
      <c r="AH599" s="1549"/>
    </row>
    <row r="600" spans="1:34" ht="12.75" customHeight="1" x14ac:dyDescent="0.2">
      <c r="A600" s="1549"/>
      <c r="B600" s="1549"/>
      <c r="C600" s="1549"/>
      <c r="D600" s="1549"/>
      <c r="E600" s="1549"/>
      <c r="F600" s="1549"/>
      <c r="G600" s="1549"/>
      <c r="H600" s="1549"/>
      <c r="I600" s="1549"/>
      <c r="J600" s="1549"/>
      <c r="K600" s="1549"/>
      <c r="L600" s="1549"/>
      <c r="M600" s="1549"/>
      <c r="N600" s="1549"/>
      <c r="O600" s="1549"/>
      <c r="P600" s="1549"/>
      <c r="Q600" s="1549"/>
      <c r="R600" s="1549"/>
      <c r="S600" s="1549"/>
      <c r="T600" s="1549"/>
      <c r="U600" s="1549"/>
      <c r="V600" s="1549"/>
      <c r="W600" s="1549"/>
      <c r="X600" s="1549"/>
      <c r="Y600" s="1549"/>
      <c r="Z600" s="1549"/>
      <c r="AA600" s="1549"/>
      <c r="AB600" s="1549"/>
      <c r="AC600" s="1549"/>
      <c r="AD600" s="1549"/>
      <c r="AE600" s="1549"/>
      <c r="AF600" s="1549"/>
      <c r="AG600" s="1549"/>
      <c r="AH600" s="1549"/>
    </row>
    <row r="601" spans="1:34" ht="12.75" customHeight="1" x14ac:dyDescent="0.2">
      <c r="A601" s="1549"/>
      <c r="B601" s="1549"/>
      <c r="C601" s="1549"/>
      <c r="D601" s="1549"/>
      <c r="E601" s="1549"/>
      <c r="F601" s="1549"/>
      <c r="G601" s="1549"/>
      <c r="H601" s="1549"/>
      <c r="I601" s="1549"/>
      <c r="J601" s="1549"/>
      <c r="K601" s="1549"/>
      <c r="L601" s="1549"/>
      <c r="M601" s="1549"/>
      <c r="N601" s="1549"/>
      <c r="O601" s="1549"/>
      <c r="P601" s="1549"/>
      <c r="Q601" s="1549"/>
      <c r="R601" s="1549"/>
      <c r="S601" s="1549"/>
      <c r="T601" s="1549"/>
      <c r="U601" s="1549"/>
      <c r="V601" s="1549"/>
      <c r="W601" s="1549"/>
      <c r="X601" s="1549"/>
      <c r="Y601" s="1549"/>
      <c r="Z601" s="1549"/>
      <c r="AA601" s="1549"/>
      <c r="AB601" s="1549"/>
      <c r="AC601" s="1549"/>
      <c r="AD601" s="1549"/>
      <c r="AE601" s="1549"/>
      <c r="AF601" s="1549"/>
      <c r="AG601" s="1549"/>
      <c r="AH601" s="1549"/>
    </row>
    <row r="602" spans="1:34" ht="12.75" customHeight="1" x14ac:dyDescent="0.2">
      <c r="A602" s="1549"/>
      <c r="B602" s="1549"/>
      <c r="C602" s="1549"/>
      <c r="D602" s="1549"/>
      <c r="E602" s="1549"/>
      <c r="F602" s="1549"/>
      <c r="G602" s="1549"/>
      <c r="H602" s="1549"/>
      <c r="I602" s="1549"/>
      <c r="J602" s="1549"/>
      <c r="K602" s="1549"/>
      <c r="L602" s="1549"/>
      <c r="M602" s="1549"/>
      <c r="N602" s="1549"/>
      <c r="O602" s="1549"/>
      <c r="P602" s="1549"/>
      <c r="Q602" s="1549"/>
      <c r="R602" s="1549"/>
      <c r="S602" s="1549"/>
      <c r="T602" s="1549"/>
      <c r="U602" s="1549"/>
      <c r="V602" s="1549"/>
      <c r="W602" s="1549"/>
      <c r="X602" s="1549"/>
      <c r="Y602" s="1549"/>
      <c r="Z602" s="1549"/>
      <c r="AA602" s="1549"/>
      <c r="AB602" s="1549"/>
      <c r="AC602" s="1549"/>
      <c r="AD602" s="1549"/>
      <c r="AE602" s="1549"/>
      <c r="AF602" s="1549"/>
      <c r="AG602" s="1549"/>
      <c r="AH602" s="1549"/>
    </row>
    <row r="603" spans="1:34" ht="12.75" customHeight="1" x14ac:dyDescent="0.2">
      <c r="A603" s="1549"/>
      <c r="B603" s="1549"/>
      <c r="C603" s="1549"/>
      <c r="D603" s="1549"/>
      <c r="E603" s="1549"/>
      <c r="F603" s="1549"/>
      <c r="G603" s="1549"/>
      <c r="H603" s="1549"/>
      <c r="I603" s="1549"/>
      <c r="J603" s="1549"/>
      <c r="K603" s="1549"/>
      <c r="L603" s="1549"/>
      <c r="M603" s="1549"/>
      <c r="N603" s="1549"/>
      <c r="O603" s="1549"/>
      <c r="P603" s="1549"/>
      <c r="Q603" s="1549"/>
      <c r="R603" s="1549"/>
      <c r="S603" s="1549"/>
      <c r="T603" s="1549"/>
      <c r="U603" s="1549"/>
      <c r="V603" s="1549"/>
      <c r="W603" s="1549"/>
      <c r="X603" s="1549"/>
      <c r="Y603" s="1549"/>
      <c r="Z603" s="1549"/>
      <c r="AA603" s="1549"/>
      <c r="AB603" s="1549"/>
      <c r="AC603" s="1549"/>
      <c r="AD603" s="1549"/>
      <c r="AE603" s="1549"/>
      <c r="AF603" s="1549"/>
      <c r="AG603" s="1549"/>
      <c r="AH603" s="1549"/>
    </row>
    <row r="604" spans="1:34" ht="12.75" customHeight="1" x14ac:dyDescent="0.2">
      <c r="A604" s="1549"/>
      <c r="B604" s="1549"/>
      <c r="C604" s="1549"/>
      <c r="D604" s="1549"/>
      <c r="E604" s="1549"/>
      <c r="F604" s="1549"/>
      <c r="G604" s="1549"/>
      <c r="H604" s="1549"/>
      <c r="I604" s="1549"/>
      <c r="J604" s="1549"/>
      <c r="K604" s="1549"/>
      <c r="L604" s="1549"/>
      <c r="M604" s="1549"/>
      <c r="N604" s="1549"/>
      <c r="O604" s="1549"/>
      <c r="P604" s="1549"/>
      <c r="Q604" s="1549"/>
      <c r="R604" s="1549"/>
      <c r="S604" s="1549"/>
      <c r="T604" s="1549"/>
      <c r="U604" s="1549"/>
      <c r="V604" s="1549"/>
      <c r="W604" s="1549"/>
      <c r="X604" s="1549"/>
      <c r="Y604" s="1549"/>
      <c r="Z604" s="1549"/>
      <c r="AA604" s="1549"/>
      <c r="AB604" s="1549"/>
      <c r="AC604" s="1549"/>
      <c r="AD604" s="1549"/>
      <c r="AE604" s="1549"/>
      <c r="AF604" s="1549"/>
      <c r="AG604" s="1549"/>
      <c r="AH604" s="1549"/>
    </row>
    <row r="605" spans="1:34" ht="12.75" customHeight="1" x14ac:dyDescent="0.2">
      <c r="A605" s="1549"/>
      <c r="B605" s="1549"/>
      <c r="C605" s="1549"/>
      <c r="D605" s="1549"/>
      <c r="E605" s="1549"/>
      <c r="F605" s="1549"/>
      <c r="G605" s="1549"/>
      <c r="H605" s="1549"/>
      <c r="I605" s="1549"/>
      <c r="J605" s="1549"/>
      <c r="K605" s="1549"/>
      <c r="L605" s="1549"/>
      <c r="M605" s="1549"/>
      <c r="N605" s="1549"/>
      <c r="O605" s="1549"/>
      <c r="P605" s="1549"/>
      <c r="Q605" s="1549"/>
      <c r="R605" s="1549"/>
      <c r="S605" s="1549"/>
      <c r="T605" s="1549"/>
      <c r="U605" s="1549"/>
      <c r="V605" s="1549"/>
      <c r="W605" s="1549"/>
      <c r="X605" s="1549"/>
      <c r="Y605" s="1549"/>
      <c r="Z605" s="1549"/>
      <c r="AA605" s="1549"/>
      <c r="AB605" s="1549"/>
      <c r="AC605" s="1549"/>
      <c r="AD605" s="1549"/>
      <c r="AE605" s="1549"/>
      <c r="AF605" s="1549"/>
      <c r="AG605" s="1549"/>
      <c r="AH605" s="1549"/>
    </row>
    <row r="606" spans="1:34" ht="12.75" customHeight="1" x14ac:dyDescent="0.2">
      <c r="A606" s="1549"/>
      <c r="B606" s="1549"/>
      <c r="C606" s="1549"/>
      <c r="D606" s="1549"/>
      <c r="E606" s="1549"/>
      <c r="F606" s="1549"/>
      <c r="G606" s="1549"/>
      <c r="H606" s="1549"/>
      <c r="I606" s="1549"/>
      <c r="J606" s="1549"/>
      <c r="K606" s="1549"/>
      <c r="L606" s="1549"/>
      <c r="M606" s="1549"/>
      <c r="N606" s="1549"/>
      <c r="O606" s="1549"/>
      <c r="P606" s="1549"/>
      <c r="Q606" s="1549"/>
      <c r="R606" s="1549"/>
      <c r="S606" s="1549"/>
      <c r="T606" s="1549"/>
      <c r="U606" s="1549"/>
      <c r="V606" s="1549"/>
      <c r="W606" s="1549"/>
      <c r="X606" s="1549"/>
      <c r="Y606" s="1549"/>
      <c r="Z606" s="1549"/>
      <c r="AA606" s="1549"/>
      <c r="AB606" s="1549"/>
      <c r="AC606" s="1549"/>
      <c r="AD606" s="1549"/>
      <c r="AE606" s="1549"/>
      <c r="AF606" s="1549"/>
      <c r="AG606" s="1549"/>
      <c r="AH606" s="1549"/>
    </row>
    <row r="607" spans="1:34" ht="12.75" customHeight="1" x14ac:dyDescent="0.2">
      <c r="A607" s="1549"/>
      <c r="B607" s="1549"/>
      <c r="C607" s="1549"/>
      <c r="D607" s="1549"/>
      <c r="E607" s="1549"/>
      <c r="F607" s="1549"/>
      <c r="G607" s="1549"/>
      <c r="H607" s="1549"/>
      <c r="I607" s="1549"/>
      <c r="J607" s="1549"/>
      <c r="K607" s="1549"/>
      <c r="L607" s="1549"/>
      <c r="M607" s="1549"/>
      <c r="N607" s="1549"/>
      <c r="O607" s="1549"/>
      <c r="P607" s="1549"/>
      <c r="Q607" s="1549"/>
      <c r="R607" s="1549"/>
      <c r="S607" s="1549"/>
      <c r="T607" s="1549"/>
      <c r="U607" s="1549"/>
      <c r="V607" s="1549"/>
      <c r="W607" s="1549"/>
      <c r="X607" s="1549"/>
      <c r="Y607" s="1549"/>
      <c r="Z607" s="1549"/>
      <c r="AA607" s="1549"/>
      <c r="AB607" s="1549"/>
      <c r="AC607" s="1549"/>
      <c r="AD607" s="1549"/>
      <c r="AE607" s="1549"/>
      <c r="AF607" s="1549"/>
      <c r="AG607" s="1549"/>
      <c r="AH607" s="1549"/>
    </row>
    <row r="608" spans="1:34" ht="12.75" customHeight="1" x14ac:dyDescent="0.2">
      <c r="A608" s="1549"/>
      <c r="B608" s="1549"/>
      <c r="C608" s="1549"/>
      <c r="D608" s="1549"/>
      <c r="E608" s="1549"/>
      <c r="F608" s="1549"/>
      <c r="G608" s="1549"/>
      <c r="H608" s="1549"/>
      <c r="I608" s="1549"/>
      <c r="J608" s="1549"/>
      <c r="K608" s="1549"/>
      <c r="L608" s="1549"/>
      <c r="M608" s="1549"/>
      <c r="N608" s="1549"/>
      <c r="O608" s="1549"/>
      <c r="P608" s="1549"/>
      <c r="Q608" s="1549"/>
      <c r="R608" s="1549"/>
      <c r="S608" s="1549"/>
      <c r="T608" s="1549"/>
      <c r="U608" s="1549"/>
      <c r="V608" s="1549"/>
      <c r="W608" s="1549"/>
      <c r="X608" s="1549"/>
      <c r="Y608" s="1549"/>
      <c r="Z608" s="1549"/>
      <c r="AA608" s="1549"/>
      <c r="AB608" s="1549"/>
      <c r="AC608" s="1549"/>
      <c r="AD608" s="1549"/>
      <c r="AE608" s="1549"/>
      <c r="AF608" s="1549"/>
      <c r="AG608" s="1549"/>
      <c r="AH608" s="1549"/>
    </row>
    <row r="609" spans="1:34" ht="12.75" customHeight="1" x14ac:dyDescent="0.2">
      <c r="A609" s="1549"/>
      <c r="B609" s="1549"/>
      <c r="C609" s="1549"/>
      <c r="D609" s="1549"/>
      <c r="E609" s="1549"/>
      <c r="F609" s="1549"/>
      <c r="G609" s="1549"/>
      <c r="H609" s="1549"/>
      <c r="I609" s="1549"/>
      <c r="J609" s="1549"/>
      <c r="K609" s="1549"/>
      <c r="L609" s="1549"/>
      <c r="M609" s="1549"/>
      <c r="N609" s="1549"/>
      <c r="O609" s="1549"/>
      <c r="P609" s="1549"/>
      <c r="Q609" s="1549"/>
      <c r="R609" s="1549"/>
      <c r="S609" s="1549"/>
      <c r="T609" s="1549"/>
      <c r="U609" s="1549"/>
      <c r="V609" s="1549"/>
      <c r="W609" s="1549"/>
      <c r="X609" s="1549"/>
      <c r="Y609" s="1549"/>
      <c r="Z609" s="1549"/>
      <c r="AA609" s="1549"/>
      <c r="AB609" s="1549"/>
      <c r="AC609" s="1549"/>
      <c r="AD609" s="1549"/>
      <c r="AE609" s="1549"/>
      <c r="AF609" s="1549"/>
      <c r="AG609" s="1549"/>
      <c r="AH609" s="1549"/>
    </row>
    <row r="610" spans="1:34" ht="12.75" customHeight="1" x14ac:dyDescent="0.2">
      <c r="A610" s="1549"/>
      <c r="B610" s="1549"/>
      <c r="C610" s="1549"/>
      <c r="D610" s="1549"/>
      <c r="E610" s="1549"/>
      <c r="F610" s="1549"/>
      <c r="G610" s="1549"/>
      <c r="H610" s="1549"/>
      <c r="I610" s="1549"/>
      <c r="J610" s="1549"/>
      <c r="K610" s="1549"/>
      <c r="L610" s="1549"/>
      <c r="M610" s="1549"/>
      <c r="N610" s="1549"/>
      <c r="O610" s="1549"/>
      <c r="P610" s="1549"/>
      <c r="Q610" s="1549"/>
      <c r="R610" s="1549"/>
      <c r="S610" s="1549"/>
      <c r="T610" s="1549"/>
      <c r="U610" s="1549"/>
      <c r="V610" s="1549"/>
      <c r="W610" s="1549"/>
      <c r="X610" s="1549"/>
      <c r="Y610" s="1549"/>
      <c r="Z610" s="1549"/>
      <c r="AA610" s="1549"/>
      <c r="AB610" s="1549"/>
      <c r="AC610" s="1549"/>
      <c r="AD610" s="1549"/>
      <c r="AE610" s="1549"/>
      <c r="AF610" s="1549"/>
      <c r="AG610" s="1549"/>
      <c r="AH610" s="1549"/>
    </row>
    <row r="611" spans="1:34" ht="12.75" customHeight="1" x14ac:dyDescent="0.2">
      <c r="A611" s="1549"/>
      <c r="B611" s="1549"/>
      <c r="C611" s="1549"/>
      <c r="D611" s="1549"/>
      <c r="E611" s="1549"/>
      <c r="F611" s="1549"/>
      <c r="G611" s="1549"/>
      <c r="H611" s="1549"/>
      <c r="I611" s="1549"/>
      <c r="J611" s="1549"/>
      <c r="K611" s="1549"/>
      <c r="L611" s="1549"/>
      <c r="M611" s="1549"/>
      <c r="N611" s="1549"/>
      <c r="O611" s="1549"/>
      <c r="P611" s="1549"/>
      <c r="Q611" s="1549"/>
      <c r="R611" s="1549"/>
      <c r="S611" s="1549"/>
      <c r="T611" s="1549"/>
      <c r="U611" s="1549"/>
      <c r="V611" s="1549"/>
      <c r="W611" s="1549"/>
      <c r="X611" s="1549"/>
      <c r="Y611" s="1549"/>
      <c r="Z611" s="1549"/>
      <c r="AA611" s="1549"/>
      <c r="AB611" s="1549"/>
      <c r="AC611" s="1549"/>
      <c r="AD611" s="1549"/>
      <c r="AE611" s="1549"/>
      <c r="AF611" s="1549"/>
      <c r="AG611" s="1549"/>
      <c r="AH611" s="1549"/>
    </row>
    <row r="612" spans="1:34" ht="12.75" customHeight="1" x14ac:dyDescent="0.2">
      <c r="A612" s="1549"/>
      <c r="B612" s="1549"/>
      <c r="C612" s="1549"/>
      <c r="D612" s="1549"/>
      <c r="E612" s="1549"/>
      <c r="F612" s="1549"/>
      <c r="G612" s="1549"/>
      <c r="H612" s="1549"/>
      <c r="I612" s="1549"/>
      <c r="J612" s="1549"/>
      <c r="K612" s="1549"/>
      <c r="L612" s="1549"/>
      <c r="M612" s="1549"/>
      <c r="N612" s="1549"/>
      <c r="O612" s="1549"/>
      <c r="P612" s="1549"/>
      <c r="Q612" s="1549"/>
      <c r="R612" s="1549"/>
      <c r="S612" s="1549"/>
      <c r="T612" s="1549"/>
      <c r="U612" s="1549"/>
      <c r="V612" s="1549"/>
      <c r="W612" s="1549"/>
      <c r="X612" s="1549"/>
      <c r="Y612" s="1549"/>
      <c r="Z612" s="1549"/>
      <c r="AA612" s="1549"/>
      <c r="AB612" s="1549"/>
      <c r="AC612" s="1549"/>
      <c r="AD612" s="1549"/>
      <c r="AE612" s="1549"/>
      <c r="AF612" s="1549"/>
      <c r="AG612" s="1549"/>
      <c r="AH612" s="1549"/>
    </row>
    <row r="613" spans="1:34" ht="12.75" customHeight="1" x14ac:dyDescent="0.2">
      <c r="A613" s="1549"/>
      <c r="B613" s="1549"/>
      <c r="C613" s="1549"/>
      <c r="D613" s="1549"/>
      <c r="E613" s="1549"/>
      <c r="F613" s="1549"/>
      <c r="G613" s="1549"/>
      <c r="H613" s="1549"/>
      <c r="I613" s="1549"/>
      <c r="J613" s="1549"/>
      <c r="K613" s="1549"/>
      <c r="L613" s="1549"/>
      <c r="M613" s="1549"/>
      <c r="N613" s="1549"/>
      <c r="O613" s="1549"/>
      <c r="P613" s="1549"/>
      <c r="Q613" s="1549"/>
      <c r="R613" s="1549"/>
      <c r="S613" s="1549"/>
      <c r="T613" s="1549"/>
      <c r="U613" s="1549"/>
      <c r="V613" s="1549"/>
      <c r="W613" s="1549"/>
      <c r="X613" s="1549"/>
      <c r="Y613" s="1549"/>
      <c r="Z613" s="1549"/>
      <c r="AA613" s="1549"/>
      <c r="AB613" s="1549"/>
      <c r="AC613" s="1549"/>
      <c r="AD613" s="1549"/>
      <c r="AE613" s="1549"/>
      <c r="AF613" s="1549"/>
      <c r="AG613" s="1549"/>
      <c r="AH613" s="1549"/>
    </row>
    <row r="614" spans="1:34" ht="12.75" customHeight="1" x14ac:dyDescent="0.2">
      <c r="A614" s="1549"/>
      <c r="B614" s="1549"/>
      <c r="C614" s="1549"/>
      <c r="D614" s="1549"/>
      <c r="E614" s="1549"/>
      <c r="F614" s="1549"/>
      <c r="G614" s="1549"/>
      <c r="H614" s="1549"/>
      <c r="I614" s="1549"/>
      <c r="J614" s="1549"/>
      <c r="K614" s="1549"/>
      <c r="L614" s="1549"/>
      <c r="M614" s="1549"/>
      <c r="N614" s="1549"/>
      <c r="O614" s="1549"/>
      <c r="P614" s="1549"/>
      <c r="Q614" s="1549"/>
      <c r="R614" s="1549"/>
      <c r="S614" s="1549"/>
      <c r="T614" s="1549"/>
      <c r="U614" s="1549"/>
      <c r="V614" s="1549"/>
      <c r="W614" s="1549"/>
      <c r="X614" s="1549"/>
      <c r="Y614" s="1549"/>
      <c r="Z614" s="1549"/>
      <c r="AA614" s="1549"/>
      <c r="AB614" s="1549"/>
      <c r="AC614" s="1549"/>
      <c r="AD614" s="1549"/>
      <c r="AE614" s="1549"/>
      <c r="AF614" s="1549"/>
      <c r="AG614" s="1549"/>
      <c r="AH614" s="1549"/>
    </row>
    <row r="615" spans="1:34" ht="12.75" customHeight="1" x14ac:dyDescent="0.2">
      <c r="A615" s="1549"/>
      <c r="B615" s="1549"/>
      <c r="C615" s="1549"/>
      <c r="D615" s="1549"/>
      <c r="E615" s="1549"/>
      <c r="F615" s="1549"/>
      <c r="G615" s="1549"/>
      <c r="H615" s="1549"/>
      <c r="I615" s="1549"/>
      <c r="J615" s="1549"/>
      <c r="K615" s="1549"/>
      <c r="L615" s="1549"/>
      <c r="M615" s="1549"/>
      <c r="N615" s="1549"/>
      <c r="O615" s="1549"/>
      <c r="P615" s="1549"/>
      <c r="Q615" s="1549"/>
      <c r="R615" s="1549"/>
      <c r="S615" s="1549"/>
      <c r="T615" s="1549"/>
      <c r="U615" s="1549"/>
      <c r="V615" s="1549"/>
      <c r="W615" s="1549"/>
      <c r="X615" s="1549"/>
      <c r="Y615" s="1549"/>
      <c r="Z615" s="1549"/>
      <c r="AA615" s="1549"/>
      <c r="AB615" s="1549"/>
      <c r="AC615" s="1549"/>
      <c r="AD615" s="1549"/>
      <c r="AE615" s="1549"/>
      <c r="AF615" s="1549"/>
      <c r="AG615" s="1549"/>
      <c r="AH615" s="1549"/>
    </row>
    <row r="616" spans="1:34" ht="12.75" customHeight="1" x14ac:dyDescent="0.2">
      <c r="A616" s="1549"/>
      <c r="B616" s="1549"/>
      <c r="C616" s="1549"/>
      <c r="D616" s="1549"/>
      <c r="E616" s="1549"/>
      <c r="F616" s="1549"/>
      <c r="G616" s="1549"/>
      <c r="H616" s="1549"/>
      <c r="I616" s="1549"/>
      <c r="J616" s="1549"/>
      <c r="K616" s="1549"/>
      <c r="L616" s="1549"/>
      <c r="M616" s="1549"/>
      <c r="N616" s="1549"/>
      <c r="O616" s="1549"/>
      <c r="P616" s="1549"/>
      <c r="Q616" s="1549"/>
      <c r="R616" s="1549"/>
      <c r="S616" s="1549"/>
      <c r="T616" s="1549"/>
      <c r="U616" s="1549"/>
      <c r="V616" s="1549"/>
      <c r="W616" s="1549"/>
      <c r="X616" s="1549"/>
      <c r="Y616" s="1549"/>
      <c r="Z616" s="1549"/>
      <c r="AA616" s="1549"/>
      <c r="AB616" s="1549"/>
      <c r="AC616" s="1549"/>
      <c r="AD616" s="1549"/>
      <c r="AE616" s="1549"/>
      <c r="AF616" s="1549"/>
      <c r="AG616" s="1549"/>
      <c r="AH616" s="1549"/>
    </row>
    <row r="617" spans="1:34" ht="12.75" customHeight="1" x14ac:dyDescent="0.2">
      <c r="A617" s="1549"/>
      <c r="B617" s="1549"/>
      <c r="C617" s="1549"/>
      <c r="D617" s="1549"/>
      <c r="E617" s="1549"/>
      <c r="F617" s="1549"/>
      <c r="G617" s="1549"/>
      <c r="H617" s="1549"/>
      <c r="I617" s="1549"/>
      <c r="J617" s="1549"/>
      <c r="K617" s="1549"/>
      <c r="L617" s="1549"/>
      <c r="M617" s="1549"/>
      <c r="N617" s="1549"/>
      <c r="O617" s="1549"/>
      <c r="P617" s="1549"/>
      <c r="Q617" s="1549"/>
      <c r="R617" s="1549"/>
      <c r="S617" s="1549"/>
      <c r="T617" s="1549"/>
      <c r="U617" s="1549"/>
      <c r="V617" s="1549"/>
      <c r="W617" s="1549"/>
      <c r="X617" s="1549"/>
      <c r="Y617" s="1549"/>
      <c r="Z617" s="1549"/>
      <c r="AA617" s="1549"/>
      <c r="AB617" s="1549"/>
      <c r="AC617" s="1549"/>
      <c r="AD617" s="1549"/>
      <c r="AE617" s="1549"/>
      <c r="AF617" s="1549"/>
      <c r="AG617" s="1549"/>
      <c r="AH617" s="1549"/>
    </row>
    <row r="618" spans="1:34" ht="12.75" customHeight="1" x14ac:dyDescent="0.2">
      <c r="A618" s="1549"/>
      <c r="B618" s="1549"/>
      <c r="C618" s="1549"/>
      <c r="D618" s="1549"/>
      <c r="E618" s="1549"/>
      <c r="F618" s="1549"/>
      <c r="G618" s="1549"/>
      <c r="H618" s="1549"/>
      <c r="I618" s="1549"/>
      <c r="J618" s="1549"/>
      <c r="K618" s="1549"/>
      <c r="L618" s="1549"/>
      <c r="M618" s="1549"/>
      <c r="N618" s="1549"/>
      <c r="O618" s="1549"/>
      <c r="P618" s="1549"/>
      <c r="Q618" s="1549"/>
      <c r="R618" s="1549"/>
      <c r="S618" s="1549"/>
      <c r="T618" s="1549"/>
      <c r="U618" s="1549"/>
      <c r="V618" s="1549"/>
      <c r="W618" s="1549"/>
      <c r="X618" s="1549"/>
      <c r="Y618" s="1549"/>
      <c r="Z618" s="1549"/>
      <c r="AA618" s="1549"/>
      <c r="AB618" s="1549"/>
      <c r="AC618" s="1549"/>
      <c r="AD618" s="1549"/>
      <c r="AE618" s="1549"/>
      <c r="AF618" s="1549"/>
      <c r="AG618" s="1549"/>
      <c r="AH618" s="1549"/>
    </row>
    <row r="619" spans="1:34" ht="12.75" customHeight="1" x14ac:dyDescent="0.2">
      <c r="A619" s="1549"/>
      <c r="B619" s="1549"/>
      <c r="C619" s="1549"/>
      <c r="D619" s="1549"/>
      <c r="E619" s="1549"/>
      <c r="F619" s="1549"/>
      <c r="G619" s="1549"/>
      <c r="H619" s="1549"/>
      <c r="I619" s="1549"/>
      <c r="J619" s="1549"/>
      <c r="K619" s="1549"/>
      <c r="L619" s="1549"/>
      <c r="M619" s="1549"/>
      <c r="N619" s="1549"/>
      <c r="O619" s="1549"/>
      <c r="P619" s="1549"/>
      <c r="Q619" s="1549"/>
      <c r="R619" s="1549"/>
      <c r="S619" s="1549"/>
      <c r="T619" s="1549"/>
      <c r="U619" s="1549"/>
      <c r="V619" s="1549"/>
      <c r="W619" s="1549"/>
      <c r="X619" s="1549"/>
      <c r="Y619" s="1549"/>
      <c r="Z619" s="1549"/>
      <c r="AA619" s="1549"/>
      <c r="AB619" s="1549"/>
      <c r="AC619" s="1549"/>
      <c r="AD619" s="1549"/>
      <c r="AE619" s="1549"/>
      <c r="AF619" s="1549"/>
      <c r="AG619" s="1549"/>
      <c r="AH619" s="1549"/>
    </row>
    <row r="620" spans="1:34" ht="12.75" customHeight="1" x14ac:dyDescent="0.2">
      <c r="A620" s="1549"/>
      <c r="B620" s="1549"/>
      <c r="C620" s="1549"/>
      <c r="D620" s="1549"/>
      <c r="E620" s="1549"/>
      <c r="F620" s="1549"/>
      <c r="G620" s="1549"/>
      <c r="H620" s="1549"/>
      <c r="I620" s="1549"/>
      <c r="J620" s="1549"/>
      <c r="K620" s="1549"/>
      <c r="L620" s="1549"/>
      <c r="M620" s="1549"/>
      <c r="N620" s="1549"/>
      <c r="O620" s="1549"/>
      <c r="P620" s="1549"/>
      <c r="Q620" s="1549"/>
      <c r="R620" s="1549"/>
      <c r="S620" s="1549"/>
      <c r="T620" s="1549"/>
      <c r="U620" s="1549"/>
      <c r="V620" s="1549"/>
      <c r="W620" s="1549"/>
      <c r="X620" s="1549"/>
      <c r="Y620" s="1549"/>
      <c r="Z620" s="1549"/>
      <c r="AA620" s="1549"/>
      <c r="AB620" s="1549"/>
      <c r="AC620" s="1549"/>
      <c r="AD620" s="1549"/>
      <c r="AE620" s="1549"/>
      <c r="AF620" s="1549"/>
      <c r="AG620" s="1549"/>
      <c r="AH620" s="1549"/>
    </row>
    <row r="621" spans="1:34" ht="12.75" customHeight="1" x14ac:dyDescent="0.2">
      <c r="A621" s="1549"/>
      <c r="B621" s="1549"/>
      <c r="C621" s="1549"/>
      <c r="D621" s="1549"/>
      <c r="E621" s="1549"/>
      <c r="F621" s="1549"/>
      <c r="G621" s="1549"/>
      <c r="H621" s="1549"/>
      <c r="I621" s="1549"/>
      <c r="J621" s="1549"/>
      <c r="K621" s="1549"/>
      <c r="L621" s="1549"/>
      <c r="M621" s="1549"/>
      <c r="N621" s="1549"/>
      <c r="O621" s="1549"/>
      <c r="P621" s="1549"/>
      <c r="Q621" s="1549"/>
      <c r="R621" s="1549"/>
      <c r="S621" s="1549"/>
      <c r="T621" s="1549"/>
      <c r="U621" s="1549"/>
      <c r="V621" s="1549"/>
      <c r="W621" s="1549"/>
      <c r="X621" s="1549"/>
      <c r="Y621" s="1549"/>
      <c r="Z621" s="1549"/>
      <c r="AA621" s="1549"/>
      <c r="AB621" s="1549"/>
      <c r="AC621" s="1549"/>
      <c r="AD621" s="1549"/>
      <c r="AE621" s="1549"/>
      <c r="AF621" s="1549"/>
      <c r="AG621" s="1549"/>
      <c r="AH621" s="1549"/>
    </row>
    <row r="622" spans="1:34" ht="12.75" customHeight="1" x14ac:dyDescent="0.2">
      <c r="A622" s="1549"/>
      <c r="B622" s="1549"/>
      <c r="C622" s="1549"/>
      <c r="D622" s="1549"/>
      <c r="E622" s="1549"/>
      <c r="F622" s="1549"/>
      <c r="G622" s="1549"/>
      <c r="H622" s="1549"/>
      <c r="I622" s="1549"/>
      <c r="J622" s="1549"/>
      <c r="K622" s="1549"/>
      <c r="L622" s="1549"/>
      <c r="M622" s="1549"/>
      <c r="N622" s="1549"/>
      <c r="O622" s="1549"/>
      <c r="P622" s="1549"/>
      <c r="Q622" s="1549"/>
      <c r="R622" s="1549"/>
      <c r="S622" s="1549"/>
      <c r="T622" s="1549"/>
      <c r="U622" s="1549"/>
      <c r="V622" s="1549"/>
      <c r="W622" s="1549"/>
      <c r="X622" s="1549"/>
      <c r="Y622" s="1549"/>
      <c r="Z622" s="1549"/>
      <c r="AA622" s="1549"/>
      <c r="AB622" s="1549"/>
      <c r="AC622" s="1549"/>
      <c r="AD622" s="1549"/>
      <c r="AE622" s="1549"/>
      <c r="AF622" s="1549"/>
      <c r="AG622" s="1549"/>
      <c r="AH622" s="1549"/>
    </row>
    <row r="623" spans="1:34" ht="12.75" customHeight="1" x14ac:dyDescent="0.2">
      <c r="A623" s="1549"/>
      <c r="B623" s="1549"/>
      <c r="C623" s="1549"/>
      <c r="D623" s="1549"/>
      <c r="E623" s="1549"/>
      <c r="F623" s="1549"/>
      <c r="G623" s="1549"/>
      <c r="H623" s="1549"/>
      <c r="I623" s="1549"/>
      <c r="J623" s="1549"/>
      <c r="K623" s="1549"/>
      <c r="L623" s="1549"/>
      <c r="M623" s="1549"/>
      <c r="N623" s="1549"/>
      <c r="O623" s="1549"/>
      <c r="P623" s="1549"/>
      <c r="Q623" s="1549"/>
      <c r="R623" s="1549"/>
      <c r="S623" s="1549"/>
      <c r="T623" s="1549"/>
      <c r="U623" s="1549"/>
      <c r="V623" s="1549"/>
      <c r="W623" s="1549"/>
      <c r="X623" s="1549"/>
      <c r="Y623" s="1549"/>
      <c r="Z623" s="1549"/>
      <c r="AA623" s="1549"/>
      <c r="AB623" s="1549"/>
      <c r="AC623" s="1549"/>
      <c r="AD623" s="1549"/>
      <c r="AE623" s="1549"/>
      <c r="AF623" s="1549"/>
      <c r="AG623" s="1549"/>
      <c r="AH623" s="1549"/>
    </row>
    <row r="624" spans="1:34" ht="12.75" customHeight="1" x14ac:dyDescent="0.2">
      <c r="A624" s="1549"/>
      <c r="B624" s="1549"/>
      <c r="C624" s="1549"/>
      <c r="D624" s="1549"/>
      <c r="E624" s="1549"/>
      <c r="F624" s="1549"/>
      <c r="G624" s="1549"/>
      <c r="H624" s="1549"/>
      <c r="I624" s="1549"/>
      <c r="J624" s="1549"/>
      <c r="K624" s="1549"/>
      <c r="L624" s="1549"/>
      <c r="M624" s="1549"/>
      <c r="N624" s="1549"/>
      <c r="O624" s="1549"/>
      <c r="P624" s="1549"/>
      <c r="Q624" s="1549"/>
      <c r="R624" s="1549"/>
      <c r="S624" s="1549"/>
      <c r="T624" s="1549"/>
      <c r="U624" s="1549"/>
      <c r="V624" s="1549"/>
      <c r="W624" s="1549"/>
      <c r="X624" s="1549"/>
      <c r="Y624" s="1549"/>
      <c r="Z624" s="1549"/>
      <c r="AA624" s="1549"/>
      <c r="AB624" s="1549"/>
      <c r="AC624" s="1549"/>
      <c r="AD624" s="1549"/>
      <c r="AE624" s="1549"/>
      <c r="AF624" s="1549"/>
      <c r="AG624" s="1549"/>
      <c r="AH624" s="1549"/>
    </row>
    <row r="625" spans="1:34" ht="12.75" customHeight="1" x14ac:dyDescent="0.2">
      <c r="A625" s="1549"/>
      <c r="B625" s="1549"/>
      <c r="C625" s="1549"/>
      <c r="D625" s="1549"/>
      <c r="E625" s="1549"/>
      <c r="F625" s="1549"/>
      <c r="G625" s="1549"/>
      <c r="H625" s="1549"/>
      <c r="I625" s="1549"/>
      <c r="J625" s="1549"/>
      <c r="K625" s="1549"/>
      <c r="L625" s="1549"/>
      <c r="M625" s="1549"/>
      <c r="N625" s="1549"/>
      <c r="O625" s="1549"/>
      <c r="P625" s="1549"/>
      <c r="Q625" s="1549"/>
      <c r="R625" s="1549"/>
      <c r="S625" s="1549"/>
      <c r="T625" s="1549"/>
      <c r="U625" s="1549"/>
      <c r="V625" s="1549"/>
      <c r="W625" s="1549"/>
      <c r="X625" s="1549"/>
      <c r="Y625" s="1549"/>
      <c r="Z625" s="1549"/>
      <c r="AA625" s="1549"/>
      <c r="AB625" s="1549"/>
      <c r="AC625" s="1549"/>
      <c r="AD625" s="1549"/>
      <c r="AE625" s="1549"/>
      <c r="AF625" s="1549"/>
      <c r="AG625" s="1549"/>
      <c r="AH625" s="1549"/>
    </row>
    <row r="626" spans="1:34" ht="12.75" customHeight="1" x14ac:dyDescent="0.2">
      <c r="A626" s="1549"/>
      <c r="B626" s="1549"/>
      <c r="C626" s="1549"/>
      <c r="D626" s="1549"/>
      <c r="E626" s="1549"/>
      <c r="F626" s="1549"/>
      <c r="G626" s="1549"/>
      <c r="H626" s="1549"/>
      <c r="I626" s="1549"/>
      <c r="J626" s="1549"/>
      <c r="K626" s="1549"/>
      <c r="L626" s="1549"/>
      <c r="M626" s="1549"/>
      <c r="N626" s="1549"/>
      <c r="O626" s="1549"/>
      <c r="P626" s="1549"/>
      <c r="Q626" s="1549"/>
      <c r="R626" s="1549"/>
      <c r="S626" s="1549"/>
      <c r="T626" s="1549"/>
      <c r="U626" s="1549"/>
      <c r="V626" s="1549"/>
      <c r="W626" s="1549"/>
      <c r="X626" s="1549"/>
      <c r="Y626" s="1549"/>
      <c r="Z626" s="1549"/>
      <c r="AA626" s="1549"/>
      <c r="AB626" s="1549"/>
      <c r="AC626" s="1549"/>
      <c r="AD626" s="1549"/>
      <c r="AE626" s="1549"/>
      <c r="AF626" s="1549"/>
      <c r="AG626" s="1549"/>
      <c r="AH626" s="1549"/>
    </row>
    <row r="627" spans="1:34" ht="12.75" customHeight="1" x14ac:dyDescent="0.2">
      <c r="A627" s="1549"/>
      <c r="B627" s="1549"/>
      <c r="C627" s="1549"/>
      <c r="D627" s="1549"/>
      <c r="E627" s="1549"/>
      <c r="F627" s="1549"/>
      <c r="G627" s="1549"/>
      <c r="H627" s="1549"/>
      <c r="I627" s="1549"/>
      <c r="J627" s="1549"/>
      <c r="K627" s="1549"/>
      <c r="L627" s="1549"/>
      <c r="M627" s="1549"/>
      <c r="N627" s="1549"/>
      <c r="O627" s="1549"/>
      <c r="P627" s="1549"/>
      <c r="Q627" s="1549"/>
      <c r="R627" s="1549"/>
      <c r="S627" s="1549"/>
      <c r="T627" s="1549"/>
      <c r="U627" s="1549"/>
      <c r="V627" s="1549"/>
      <c r="W627" s="1549"/>
      <c r="X627" s="1549"/>
      <c r="Y627" s="1549"/>
      <c r="Z627" s="1549"/>
      <c r="AA627" s="1549"/>
      <c r="AB627" s="1549"/>
      <c r="AC627" s="1549"/>
      <c r="AD627" s="1549"/>
      <c r="AE627" s="1549"/>
      <c r="AF627" s="1549"/>
      <c r="AG627" s="1549"/>
      <c r="AH627" s="1549"/>
    </row>
    <row r="628" spans="1:34" ht="12.75" customHeight="1" x14ac:dyDescent="0.2">
      <c r="A628" s="1549"/>
      <c r="B628" s="1549"/>
      <c r="C628" s="1549"/>
      <c r="D628" s="1549"/>
      <c r="E628" s="1549"/>
      <c r="F628" s="1549"/>
      <c r="G628" s="1549"/>
      <c r="H628" s="1549"/>
      <c r="I628" s="1549"/>
      <c r="J628" s="1549"/>
      <c r="K628" s="1549"/>
      <c r="L628" s="1549"/>
      <c r="M628" s="1549"/>
      <c r="N628" s="1549"/>
      <c r="O628" s="1549"/>
      <c r="P628" s="1549"/>
      <c r="Q628" s="1549"/>
      <c r="R628" s="1549"/>
      <c r="S628" s="1549"/>
      <c r="T628" s="1549"/>
      <c r="U628" s="1549"/>
      <c r="V628" s="1549"/>
      <c r="W628" s="1549"/>
      <c r="X628" s="1549"/>
      <c r="Y628" s="1549"/>
      <c r="Z628" s="1549"/>
      <c r="AA628" s="1549"/>
      <c r="AB628" s="1549"/>
      <c r="AC628" s="1549"/>
      <c r="AD628" s="1549"/>
      <c r="AE628" s="1549"/>
      <c r="AF628" s="1549"/>
      <c r="AG628" s="1549"/>
      <c r="AH628" s="1549"/>
    </row>
    <row r="629" spans="1:34" ht="12.75" customHeight="1" x14ac:dyDescent="0.2">
      <c r="A629" s="1549"/>
      <c r="B629" s="1549"/>
      <c r="C629" s="1549"/>
      <c r="D629" s="1549"/>
      <c r="E629" s="1549"/>
      <c r="F629" s="1549"/>
      <c r="G629" s="1549"/>
      <c r="H629" s="1549"/>
      <c r="I629" s="1549"/>
      <c r="J629" s="1549"/>
      <c r="K629" s="1549"/>
      <c r="L629" s="1549"/>
      <c r="M629" s="1549"/>
      <c r="N629" s="1549"/>
      <c r="O629" s="1549"/>
      <c r="P629" s="1549"/>
      <c r="Q629" s="1549"/>
      <c r="R629" s="1549"/>
      <c r="S629" s="1549"/>
      <c r="T629" s="1549"/>
      <c r="U629" s="1549"/>
      <c r="V629" s="1549"/>
      <c r="W629" s="1549"/>
      <c r="X629" s="1549"/>
      <c r="Y629" s="1549"/>
      <c r="Z629" s="1549"/>
      <c r="AA629" s="1549"/>
      <c r="AB629" s="1549"/>
      <c r="AC629" s="1549"/>
      <c r="AD629" s="1549"/>
      <c r="AE629" s="1549"/>
      <c r="AF629" s="1549"/>
      <c r="AG629" s="1549"/>
      <c r="AH629" s="1549"/>
    </row>
    <row r="630" spans="1:34" ht="12.75" customHeight="1" x14ac:dyDescent="0.2">
      <c r="A630" s="1549"/>
      <c r="B630" s="1549"/>
      <c r="C630" s="1549"/>
      <c r="D630" s="1549"/>
      <c r="E630" s="1549"/>
      <c r="F630" s="1549"/>
      <c r="G630" s="1549"/>
      <c r="H630" s="1549"/>
      <c r="I630" s="1549"/>
      <c r="J630" s="1549"/>
      <c r="K630" s="1549"/>
      <c r="L630" s="1549"/>
      <c r="M630" s="1549"/>
      <c r="N630" s="1549"/>
      <c r="O630" s="1549"/>
      <c r="P630" s="1549"/>
      <c r="Q630" s="1549"/>
      <c r="R630" s="1549"/>
      <c r="S630" s="1549"/>
      <c r="T630" s="1549"/>
      <c r="U630" s="1549"/>
      <c r="V630" s="1549"/>
      <c r="W630" s="1549"/>
      <c r="X630" s="1549"/>
      <c r="Y630" s="1549"/>
      <c r="Z630" s="1549"/>
      <c r="AA630" s="1549"/>
      <c r="AB630" s="1549"/>
      <c r="AC630" s="1549"/>
      <c r="AD630" s="1549"/>
      <c r="AE630" s="1549"/>
      <c r="AF630" s="1549"/>
      <c r="AG630" s="1549"/>
      <c r="AH630" s="1549"/>
    </row>
    <row r="631" spans="1:34" ht="12.75" customHeight="1" x14ac:dyDescent="0.2">
      <c r="A631" s="1549"/>
      <c r="B631" s="1549"/>
      <c r="C631" s="1549"/>
      <c r="D631" s="1549"/>
      <c r="E631" s="1549"/>
      <c r="F631" s="1549"/>
      <c r="G631" s="1549"/>
      <c r="H631" s="1549"/>
      <c r="I631" s="1549"/>
      <c r="J631" s="1549"/>
      <c r="K631" s="1549"/>
      <c r="L631" s="1549"/>
      <c r="M631" s="1549"/>
      <c r="N631" s="1549"/>
      <c r="O631" s="1549"/>
      <c r="P631" s="1549"/>
      <c r="Q631" s="1549"/>
      <c r="R631" s="1549"/>
      <c r="S631" s="1549"/>
      <c r="T631" s="1549"/>
      <c r="U631" s="1549"/>
      <c r="V631" s="1549"/>
      <c r="W631" s="1549"/>
      <c r="X631" s="1549"/>
      <c r="Y631" s="1549"/>
      <c r="Z631" s="1549"/>
      <c r="AA631" s="1549"/>
      <c r="AB631" s="1549"/>
      <c r="AC631" s="1549"/>
      <c r="AD631" s="1549"/>
      <c r="AE631" s="1549"/>
      <c r="AF631" s="1549"/>
      <c r="AG631" s="1549"/>
      <c r="AH631" s="1549"/>
    </row>
    <row r="632" spans="1:34" ht="12.75" customHeight="1" x14ac:dyDescent="0.2">
      <c r="A632" s="1549"/>
      <c r="B632" s="1549"/>
      <c r="C632" s="1549"/>
      <c r="D632" s="1549"/>
      <c r="E632" s="1549"/>
      <c r="F632" s="1549"/>
      <c r="G632" s="1549"/>
      <c r="H632" s="1549"/>
      <c r="I632" s="1549"/>
      <c r="J632" s="1549"/>
      <c r="K632" s="1549"/>
      <c r="L632" s="1549"/>
      <c r="M632" s="1549"/>
      <c r="N632" s="1549"/>
      <c r="O632" s="1549"/>
      <c r="P632" s="1549"/>
      <c r="Q632" s="1549"/>
      <c r="R632" s="1549"/>
      <c r="S632" s="1549"/>
      <c r="T632" s="1549"/>
      <c r="U632" s="1549"/>
      <c r="V632" s="1549"/>
      <c r="W632" s="1549"/>
      <c r="X632" s="1549"/>
      <c r="Y632" s="1549"/>
      <c r="Z632" s="1549"/>
      <c r="AA632" s="1549"/>
      <c r="AB632" s="1549"/>
      <c r="AC632" s="1549"/>
      <c r="AD632" s="1549"/>
      <c r="AE632" s="1549"/>
      <c r="AF632" s="1549"/>
      <c r="AG632" s="1549"/>
      <c r="AH632" s="1549"/>
    </row>
    <row r="633" spans="1:34" ht="12.75" customHeight="1" x14ac:dyDescent="0.2">
      <c r="A633" s="1549"/>
      <c r="B633" s="1549"/>
      <c r="C633" s="1549"/>
      <c r="D633" s="1549"/>
      <c r="E633" s="1549"/>
      <c r="F633" s="1549"/>
      <c r="G633" s="1549"/>
      <c r="H633" s="1549"/>
      <c r="I633" s="1549"/>
      <c r="J633" s="1549"/>
      <c r="K633" s="1549"/>
      <c r="L633" s="1549"/>
      <c r="M633" s="1549"/>
      <c r="N633" s="1549"/>
      <c r="O633" s="1549"/>
      <c r="P633" s="1549"/>
      <c r="Q633" s="1549"/>
      <c r="R633" s="1549"/>
      <c r="S633" s="1549"/>
      <c r="T633" s="1549"/>
      <c r="U633" s="1549"/>
      <c r="V633" s="1549"/>
      <c r="W633" s="1549"/>
      <c r="X633" s="1549"/>
      <c r="Y633" s="1549"/>
      <c r="Z633" s="1549"/>
      <c r="AA633" s="1549"/>
      <c r="AB633" s="1549"/>
      <c r="AC633" s="1549"/>
      <c r="AD633" s="1549"/>
      <c r="AE633" s="1549"/>
      <c r="AF633" s="1549"/>
      <c r="AG633" s="1549"/>
      <c r="AH633" s="1549"/>
    </row>
    <row r="634" spans="1:34" ht="12.75" customHeight="1" x14ac:dyDescent="0.2">
      <c r="A634" s="1549"/>
      <c r="B634" s="1549"/>
      <c r="C634" s="1549"/>
      <c r="D634" s="1549"/>
      <c r="E634" s="1549"/>
      <c r="F634" s="1549"/>
      <c r="G634" s="1549"/>
      <c r="H634" s="1549"/>
      <c r="I634" s="1549"/>
      <c r="J634" s="1549"/>
      <c r="K634" s="1549"/>
      <c r="L634" s="1549"/>
      <c r="M634" s="1549"/>
      <c r="N634" s="1549"/>
      <c r="O634" s="1549"/>
      <c r="P634" s="1549"/>
      <c r="Q634" s="1549"/>
      <c r="R634" s="1549"/>
      <c r="S634" s="1549"/>
      <c r="T634" s="1549"/>
      <c r="U634" s="1549"/>
      <c r="V634" s="1549"/>
      <c r="W634" s="1549"/>
      <c r="X634" s="1549"/>
      <c r="Y634" s="1549"/>
      <c r="Z634" s="1549"/>
      <c r="AA634" s="1549"/>
      <c r="AB634" s="1549"/>
      <c r="AC634" s="1549"/>
      <c r="AD634" s="1549"/>
      <c r="AE634" s="1549"/>
      <c r="AF634" s="1549"/>
      <c r="AG634" s="1549"/>
      <c r="AH634" s="1549"/>
    </row>
    <row r="635" spans="1:34" ht="12.75" customHeight="1" x14ac:dyDescent="0.2">
      <c r="A635" s="1549"/>
      <c r="B635" s="1549"/>
      <c r="C635" s="1549"/>
      <c r="D635" s="1549"/>
      <c r="E635" s="1549"/>
      <c r="F635" s="1549"/>
      <c r="G635" s="1549"/>
      <c r="H635" s="1549"/>
      <c r="I635" s="1549"/>
      <c r="J635" s="1549"/>
      <c r="K635" s="1549"/>
      <c r="L635" s="1549"/>
      <c r="M635" s="1549"/>
      <c r="N635" s="1549"/>
      <c r="O635" s="1549"/>
      <c r="P635" s="1549"/>
      <c r="Q635" s="1549"/>
      <c r="R635" s="1549"/>
      <c r="S635" s="1549"/>
      <c r="T635" s="1549"/>
      <c r="U635" s="1549"/>
      <c r="V635" s="1549"/>
      <c r="W635" s="1549"/>
      <c r="X635" s="1549"/>
      <c r="Y635" s="1549"/>
      <c r="Z635" s="1549"/>
      <c r="AA635" s="1549"/>
      <c r="AB635" s="1549"/>
      <c r="AC635" s="1549"/>
      <c r="AD635" s="1549"/>
      <c r="AE635" s="1549"/>
      <c r="AF635" s="1549"/>
      <c r="AG635" s="1549"/>
      <c r="AH635" s="1549"/>
    </row>
    <row r="636" spans="1:34" ht="12.75" customHeight="1" x14ac:dyDescent="0.2">
      <c r="A636" s="1549"/>
      <c r="B636" s="1549"/>
      <c r="C636" s="1549"/>
      <c r="D636" s="1549"/>
      <c r="E636" s="1549"/>
      <c r="F636" s="1549"/>
      <c r="G636" s="1549"/>
      <c r="H636" s="1549"/>
      <c r="I636" s="1549"/>
      <c r="J636" s="1549"/>
      <c r="K636" s="1549"/>
      <c r="L636" s="1549"/>
      <c r="M636" s="1549"/>
      <c r="N636" s="1549"/>
      <c r="O636" s="1549"/>
      <c r="P636" s="1549"/>
      <c r="Q636" s="1549"/>
      <c r="R636" s="1549"/>
      <c r="S636" s="1549"/>
      <c r="T636" s="1549"/>
      <c r="U636" s="1549"/>
      <c r="V636" s="1549"/>
      <c r="W636" s="1549"/>
      <c r="X636" s="1549"/>
      <c r="Y636" s="1549"/>
      <c r="Z636" s="1549"/>
      <c r="AA636" s="1549"/>
      <c r="AB636" s="1549"/>
      <c r="AC636" s="1549"/>
      <c r="AD636" s="1549"/>
      <c r="AE636" s="1549"/>
      <c r="AF636" s="1549"/>
      <c r="AG636" s="1549"/>
      <c r="AH636" s="1549"/>
    </row>
    <row r="637" spans="1:34" ht="12.75" customHeight="1" x14ac:dyDescent="0.2">
      <c r="A637" s="1549"/>
      <c r="B637" s="1549"/>
      <c r="C637" s="1549"/>
      <c r="D637" s="1549"/>
      <c r="E637" s="1549"/>
      <c r="F637" s="1549"/>
      <c r="G637" s="1549"/>
      <c r="H637" s="1549"/>
      <c r="I637" s="1549"/>
      <c r="J637" s="1549"/>
      <c r="K637" s="1549"/>
      <c r="L637" s="1549"/>
      <c r="M637" s="1549"/>
      <c r="N637" s="1549"/>
      <c r="O637" s="1549"/>
      <c r="P637" s="1549"/>
      <c r="Q637" s="1549"/>
      <c r="R637" s="1549"/>
      <c r="S637" s="1549"/>
      <c r="T637" s="1549"/>
      <c r="U637" s="1549"/>
      <c r="V637" s="1549"/>
      <c r="W637" s="1549"/>
      <c r="X637" s="1549"/>
      <c r="Y637" s="1549"/>
      <c r="Z637" s="1549"/>
      <c r="AA637" s="1549"/>
      <c r="AB637" s="1549"/>
      <c r="AC637" s="1549"/>
      <c r="AD637" s="1549"/>
      <c r="AE637" s="1549"/>
      <c r="AF637" s="1549"/>
      <c r="AG637" s="1549"/>
      <c r="AH637" s="1549"/>
    </row>
    <row r="638" spans="1:34" ht="12.75" customHeight="1" x14ac:dyDescent="0.2">
      <c r="A638" s="1549"/>
      <c r="B638" s="1549"/>
      <c r="C638" s="1549"/>
      <c r="D638" s="1549"/>
      <c r="E638" s="1549"/>
      <c r="F638" s="1549"/>
      <c r="G638" s="1549"/>
      <c r="H638" s="1549"/>
      <c r="I638" s="1549"/>
      <c r="J638" s="1549"/>
      <c r="K638" s="1549"/>
      <c r="L638" s="1549"/>
      <c r="M638" s="1549"/>
      <c r="N638" s="1549"/>
      <c r="O638" s="1549"/>
      <c r="P638" s="1549"/>
      <c r="Q638" s="1549"/>
      <c r="R638" s="1549"/>
      <c r="S638" s="1549"/>
      <c r="T638" s="1549"/>
      <c r="U638" s="1549"/>
      <c r="V638" s="1549"/>
      <c r="W638" s="1549"/>
      <c r="X638" s="1549"/>
      <c r="Y638" s="1549"/>
      <c r="Z638" s="1549"/>
      <c r="AA638" s="1549"/>
      <c r="AB638" s="1549"/>
      <c r="AC638" s="1549"/>
      <c r="AD638" s="1549"/>
      <c r="AE638" s="1549"/>
      <c r="AF638" s="1549"/>
      <c r="AG638" s="1549"/>
      <c r="AH638" s="1549"/>
    </row>
    <row r="639" spans="1:34" ht="12.75" customHeight="1" x14ac:dyDescent="0.2">
      <c r="A639" s="1549"/>
      <c r="B639" s="1549"/>
      <c r="C639" s="1549"/>
      <c r="D639" s="1549"/>
      <c r="E639" s="1549"/>
      <c r="F639" s="1549"/>
      <c r="G639" s="1549"/>
      <c r="H639" s="1549"/>
      <c r="I639" s="1549"/>
      <c r="J639" s="1549"/>
      <c r="K639" s="1549"/>
      <c r="L639" s="1549"/>
      <c r="M639" s="1549"/>
      <c r="N639" s="1549"/>
      <c r="O639" s="1549"/>
      <c r="P639" s="1549"/>
      <c r="Q639" s="1549"/>
      <c r="R639" s="1549"/>
      <c r="S639" s="1549"/>
      <c r="T639" s="1549"/>
      <c r="U639" s="1549"/>
      <c r="V639" s="1549"/>
      <c r="W639" s="1549"/>
      <c r="X639" s="1549"/>
      <c r="Y639" s="1549"/>
      <c r="Z639" s="1549"/>
      <c r="AA639" s="1549"/>
      <c r="AB639" s="1549"/>
      <c r="AC639" s="1549"/>
      <c r="AD639" s="1549"/>
      <c r="AE639" s="1549"/>
      <c r="AF639" s="1549"/>
      <c r="AG639" s="1549"/>
      <c r="AH639" s="1549"/>
    </row>
    <row r="640" spans="1:34" ht="12.75" customHeight="1" x14ac:dyDescent="0.2">
      <c r="A640" s="1549"/>
      <c r="B640" s="1549"/>
      <c r="C640" s="1549"/>
      <c r="D640" s="1549"/>
      <c r="E640" s="1549"/>
      <c r="F640" s="1549"/>
      <c r="G640" s="1549"/>
      <c r="H640" s="1549"/>
      <c r="I640" s="1549"/>
      <c r="J640" s="1549"/>
      <c r="K640" s="1549"/>
      <c r="L640" s="1549"/>
      <c r="M640" s="1549"/>
      <c r="N640" s="1549"/>
      <c r="O640" s="1549"/>
      <c r="P640" s="1549"/>
      <c r="Q640" s="1549"/>
      <c r="R640" s="1549"/>
      <c r="S640" s="1549"/>
      <c r="T640" s="1549"/>
      <c r="U640" s="1549"/>
      <c r="V640" s="1549"/>
      <c r="W640" s="1549"/>
      <c r="X640" s="1549"/>
      <c r="Y640" s="1549"/>
      <c r="Z640" s="1549"/>
      <c r="AA640" s="1549"/>
      <c r="AB640" s="1549"/>
      <c r="AC640" s="1549"/>
      <c r="AD640" s="1549"/>
      <c r="AE640" s="1549"/>
      <c r="AF640" s="1549"/>
      <c r="AG640" s="1549"/>
      <c r="AH640" s="1549"/>
    </row>
    <row r="641" spans="1:34" ht="12.75" customHeight="1" x14ac:dyDescent="0.2">
      <c r="A641" s="1549"/>
      <c r="B641" s="1549"/>
      <c r="C641" s="1549"/>
      <c r="D641" s="1549"/>
      <c r="E641" s="1549"/>
      <c r="F641" s="1549"/>
      <c r="G641" s="1549"/>
      <c r="H641" s="1549"/>
      <c r="I641" s="1549"/>
      <c r="J641" s="1549"/>
      <c r="K641" s="1549"/>
      <c r="L641" s="1549"/>
      <c r="M641" s="1549"/>
      <c r="N641" s="1549"/>
      <c r="O641" s="1549"/>
      <c r="P641" s="1549"/>
      <c r="Q641" s="1549"/>
      <c r="R641" s="1549"/>
      <c r="S641" s="1549"/>
      <c r="T641" s="1549"/>
      <c r="U641" s="1549"/>
      <c r="V641" s="1549"/>
      <c r="W641" s="1549"/>
      <c r="X641" s="1549"/>
      <c r="Y641" s="1549"/>
      <c r="Z641" s="1549"/>
      <c r="AA641" s="1549"/>
      <c r="AB641" s="1549"/>
      <c r="AC641" s="1549"/>
      <c r="AD641" s="1549"/>
      <c r="AE641" s="1549"/>
      <c r="AF641" s="1549"/>
      <c r="AG641" s="1549"/>
      <c r="AH641" s="1549"/>
    </row>
    <row r="642" spans="1:34" ht="12.75" customHeight="1" x14ac:dyDescent="0.2">
      <c r="A642" s="1549"/>
      <c r="B642" s="1549"/>
      <c r="C642" s="1549"/>
      <c r="D642" s="1549"/>
      <c r="E642" s="1549"/>
      <c r="F642" s="1549"/>
      <c r="G642" s="1549"/>
      <c r="H642" s="1549"/>
      <c r="I642" s="1549"/>
      <c r="J642" s="1549"/>
      <c r="K642" s="1549"/>
      <c r="L642" s="1549"/>
      <c r="M642" s="1549"/>
      <c r="N642" s="1549"/>
      <c r="O642" s="1549"/>
      <c r="P642" s="1549"/>
      <c r="Q642" s="1549"/>
      <c r="R642" s="1549"/>
      <c r="S642" s="1549"/>
      <c r="T642" s="1549"/>
      <c r="U642" s="1549"/>
      <c r="V642" s="1549"/>
      <c r="W642" s="1549"/>
      <c r="X642" s="1549"/>
      <c r="Y642" s="1549"/>
      <c r="Z642" s="1549"/>
      <c r="AA642" s="1549"/>
      <c r="AB642" s="1549"/>
      <c r="AC642" s="1549"/>
      <c r="AD642" s="1549"/>
      <c r="AE642" s="1549"/>
      <c r="AF642" s="1549"/>
      <c r="AG642" s="1549"/>
      <c r="AH642" s="1549"/>
    </row>
    <row r="643" spans="1:34" ht="12.75" customHeight="1" x14ac:dyDescent="0.2">
      <c r="A643" s="1549"/>
      <c r="B643" s="1549"/>
      <c r="C643" s="1549"/>
      <c r="D643" s="1549"/>
      <c r="E643" s="1549"/>
      <c r="F643" s="1549"/>
      <c r="G643" s="1549"/>
      <c r="H643" s="1549"/>
      <c r="I643" s="1549"/>
      <c r="J643" s="1549"/>
      <c r="K643" s="1549"/>
      <c r="L643" s="1549"/>
      <c r="M643" s="1549"/>
      <c r="N643" s="1549"/>
      <c r="O643" s="1549"/>
      <c r="P643" s="1549"/>
      <c r="Q643" s="1549"/>
      <c r="R643" s="1549"/>
      <c r="S643" s="1549"/>
      <c r="T643" s="1549"/>
      <c r="U643" s="1549"/>
      <c r="V643" s="1549"/>
      <c r="W643" s="1549"/>
      <c r="X643" s="1549"/>
      <c r="Y643" s="1549"/>
      <c r="Z643" s="1549"/>
      <c r="AA643" s="1549"/>
      <c r="AB643" s="1549"/>
      <c r="AC643" s="1549"/>
      <c r="AD643" s="1549"/>
      <c r="AE643" s="1549"/>
      <c r="AF643" s="1549"/>
      <c r="AG643" s="1549"/>
      <c r="AH643" s="1549"/>
    </row>
    <row r="644" spans="1:34" ht="12.75" customHeight="1" x14ac:dyDescent="0.2">
      <c r="A644" s="1549"/>
      <c r="B644" s="1549"/>
      <c r="C644" s="1549"/>
      <c r="D644" s="1549"/>
      <c r="E644" s="1549"/>
      <c r="F644" s="1549"/>
      <c r="G644" s="1549"/>
      <c r="H644" s="1549"/>
      <c r="I644" s="1549"/>
      <c r="J644" s="1549"/>
      <c r="K644" s="1549"/>
      <c r="L644" s="1549"/>
      <c r="M644" s="1549"/>
      <c r="N644" s="1549"/>
      <c r="O644" s="1549"/>
      <c r="P644" s="1549"/>
      <c r="Q644" s="1549"/>
      <c r="R644" s="1549"/>
      <c r="S644" s="1549"/>
      <c r="T644" s="1549"/>
      <c r="U644" s="1549"/>
      <c r="V644" s="1549"/>
      <c r="W644" s="1549"/>
      <c r="X644" s="1549"/>
      <c r="Y644" s="1549"/>
      <c r="Z644" s="1549"/>
      <c r="AA644" s="1549"/>
      <c r="AB644" s="1549"/>
      <c r="AC644" s="1549"/>
      <c r="AD644" s="1549"/>
      <c r="AE644" s="1549"/>
      <c r="AF644" s="1549"/>
      <c r="AG644" s="1549"/>
      <c r="AH644" s="1549"/>
    </row>
    <row r="645" spans="1:34" ht="12.75" customHeight="1" x14ac:dyDescent="0.2">
      <c r="A645" s="1549"/>
      <c r="B645" s="1549"/>
      <c r="C645" s="1549"/>
      <c r="D645" s="1549"/>
      <c r="E645" s="1549"/>
      <c r="F645" s="1549"/>
      <c r="G645" s="1549"/>
      <c r="H645" s="1549"/>
      <c r="I645" s="1549"/>
      <c r="J645" s="1549"/>
      <c r="K645" s="1549"/>
      <c r="L645" s="1549"/>
      <c r="M645" s="1549"/>
      <c r="N645" s="1549"/>
      <c r="O645" s="1549"/>
      <c r="P645" s="1549"/>
      <c r="Q645" s="1549"/>
      <c r="R645" s="1549"/>
      <c r="S645" s="1549"/>
      <c r="T645" s="1549"/>
      <c r="U645" s="1549"/>
      <c r="V645" s="1549"/>
      <c r="W645" s="1549"/>
      <c r="X645" s="1549"/>
      <c r="Y645" s="1549"/>
      <c r="Z645" s="1549"/>
      <c r="AA645" s="1549"/>
      <c r="AB645" s="1549"/>
      <c r="AC645" s="1549"/>
      <c r="AD645" s="1549"/>
      <c r="AE645" s="1549"/>
      <c r="AF645" s="1549"/>
      <c r="AG645" s="1549"/>
      <c r="AH645" s="1549"/>
    </row>
    <row r="646" spans="1:34" ht="12.75" customHeight="1" x14ac:dyDescent="0.2">
      <c r="A646" s="1549"/>
      <c r="B646" s="1549"/>
      <c r="C646" s="1549"/>
      <c r="D646" s="1549"/>
      <c r="E646" s="1549"/>
      <c r="F646" s="1549"/>
      <c r="G646" s="1549"/>
      <c r="H646" s="1549"/>
      <c r="I646" s="1549"/>
      <c r="J646" s="1549"/>
      <c r="K646" s="1549"/>
      <c r="L646" s="1549"/>
      <c r="M646" s="1549"/>
      <c r="N646" s="1549"/>
      <c r="O646" s="1549"/>
      <c r="P646" s="1549"/>
      <c r="Q646" s="1549"/>
      <c r="R646" s="1549"/>
      <c r="S646" s="1549"/>
      <c r="T646" s="1549"/>
      <c r="U646" s="1549"/>
      <c r="V646" s="1549"/>
      <c r="W646" s="1549"/>
      <c r="X646" s="1549"/>
      <c r="Y646" s="1549"/>
      <c r="Z646" s="1549"/>
      <c r="AA646" s="1549"/>
      <c r="AB646" s="1549"/>
      <c r="AC646" s="1549"/>
      <c r="AD646" s="1549"/>
      <c r="AE646" s="1549"/>
      <c r="AF646" s="1549"/>
      <c r="AG646" s="1549"/>
      <c r="AH646" s="1549"/>
    </row>
    <row r="647" spans="1:34" ht="12.75" customHeight="1" x14ac:dyDescent="0.2">
      <c r="A647" s="1549"/>
      <c r="B647" s="1549"/>
      <c r="C647" s="1549"/>
      <c r="D647" s="1549"/>
      <c r="E647" s="1549"/>
      <c r="F647" s="1549"/>
      <c r="G647" s="1549"/>
      <c r="H647" s="1549"/>
      <c r="I647" s="1549"/>
      <c r="J647" s="1549"/>
      <c r="K647" s="1549"/>
      <c r="L647" s="1549"/>
      <c r="M647" s="1549"/>
      <c r="N647" s="1549"/>
      <c r="O647" s="1549"/>
      <c r="P647" s="1549"/>
      <c r="Q647" s="1549"/>
      <c r="R647" s="1549"/>
      <c r="S647" s="1549"/>
      <c r="T647" s="1549"/>
      <c r="U647" s="1549"/>
      <c r="V647" s="1549"/>
      <c r="W647" s="1549"/>
      <c r="X647" s="1549"/>
      <c r="Y647" s="1549"/>
      <c r="Z647" s="1549"/>
      <c r="AA647" s="1549"/>
      <c r="AB647" s="1549"/>
      <c r="AC647" s="1549"/>
      <c r="AD647" s="1549"/>
      <c r="AE647" s="1549"/>
      <c r="AF647" s="1549"/>
      <c r="AG647" s="1549"/>
      <c r="AH647" s="1549"/>
    </row>
    <row r="648" spans="1:34" ht="12.75" customHeight="1" x14ac:dyDescent="0.2">
      <c r="A648" s="1549"/>
      <c r="B648" s="1549"/>
      <c r="C648" s="1549"/>
      <c r="D648" s="1549"/>
      <c r="E648" s="1549"/>
      <c r="F648" s="1549"/>
      <c r="G648" s="1549"/>
      <c r="H648" s="1549"/>
      <c r="I648" s="1549"/>
      <c r="J648" s="1549"/>
      <c r="K648" s="1549"/>
      <c r="L648" s="1549"/>
      <c r="M648" s="1549"/>
      <c r="N648" s="1549"/>
      <c r="O648" s="1549"/>
      <c r="P648" s="1549"/>
      <c r="Q648" s="1549"/>
      <c r="R648" s="1549"/>
      <c r="S648" s="1549"/>
      <c r="T648" s="1549"/>
      <c r="U648" s="1549"/>
      <c r="V648" s="1549"/>
      <c r="W648" s="1549"/>
      <c r="X648" s="1549"/>
      <c r="Y648" s="1549"/>
      <c r="Z648" s="1549"/>
      <c r="AA648" s="1549"/>
      <c r="AB648" s="1549"/>
      <c r="AC648" s="1549"/>
      <c r="AD648" s="1549"/>
      <c r="AE648" s="1549"/>
      <c r="AF648" s="1549"/>
      <c r="AG648" s="1549"/>
      <c r="AH648" s="1549"/>
    </row>
    <row r="649" spans="1:34" ht="12.75" customHeight="1" x14ac:dyDescent="0.2">
      <c r="A649" s="1549"/>
      <c r="B649" s="1549"/>
      <c r="C649" s="1549"/>
      <c r="D649" s="1549"/>
      <c r="E649" s="1549"/>
      <c r="F649" s="1549"/>
      <c r="G649" s="1549"/>
      <c r="H649" s="1549"/>
      <c r="I649" s="1549"/>
      <c r="J649" s="1549"/>
      <c r="K649" s="1549"/>
      <c r="L649" s="1549"/>
      <c r="M649" s="1549"/>
      <c r="N649" s="1549"/>
      <c r="O649" s="1549"/>
      <c r="P649" s="1549"/>
      <c r="Q649" s="1549"/>
      <c r="R649" s="1549"/>
      <c r="S649" s="1549"/>
      <c r="T649" s="1549"/>
      <c r="U649" s="1549"/>
      <c r="V649" s="1549"/>
      <c r="W649" s="1549"/>
      <c r="X649" s="1549"/>
      <c r="Y649" s="1549"/>
      <c r="Z649" s="1549"/>
      <c r="AA649" s="1549"/>
      <c r="AB649" s="1549"/>
      <c r="AC649" s="1549"/>
      <c r="AD649" s="1549"/>
      <c r="AE649" s="1549"/>
      <c r="AF649" s="1549"/>
      <c r="AG649" s="1549"/>
      <c r="AH649" s="1549"/>
    </row>
    <row r="650" spans="1:34" ht="12.75" customHeight="1" x14ac:dyDescent="0.2">
      <c r="A650" s="1549"/>
      <c r="B650" s="1549"/>
      <c r="C650" s="1549"/>
      <c r="D650" s="1549"/>
      <c r="E650" s="1549"/>
      <c r="F650" s="1549"/>
      <c r="G650" s="1549"/>
      <c r="H650" s="1549"/>
      <c r="I650" s="1549"/>
      <c r="J650" s="1549"/>
      <c r="K650" s="1549"/>
      <c r="L650" s="1549"/>
      <c r="M650" s="1549"/>
      <c r="N650" s="1549"/>
      <c r="O650" s="1549"/>
      <c r="P650" s="1549"/>
      <c r="Q650" s="1549"/>
      <c r="R650" s="1549"/>
      <c r="S650" s="1549"/>
      <c r="T650" s="1549"/>
      <c r="U650" s="1549"/>
      <c r="V650" s="1549"/>
      <c r="W650" s="1549"/>
      <c r="X650" s="1549"/>
      <c r="Y650" s="1549"/>
      <c r="Z650" s="1549"/>
      <c r="AA650" s="1549"/>
      <c r="AB650" s="1549"/>
      <c r="AC650" s="1549"/>
      <c r="AD650" s="1549"/>
      <c r="AE650" s="1549"/>
      <c r="AF650" s="1549"/>
      <c r="AG650" s="1549"/>
      <c r="AH650" s="1549"/>
    </row>
    <row r="651" spans="1:34" ht="12.75" customHeight="1" x14ac:dyDescent="0.2">
      <c r="A651" s="1549"/>
      <c r="B651" s="1549"/>
      <c r="C651" s="1549"/>
      <c r="D651" s="1549"/>
      <c r="E651" s="1549"/>
      <c r="F651" s="1549"/>
      <c r="G651" s="1549"/>
      <c r="H651" s="1549"/>
      <c r="I651" s="1549"/>
      <c r="J651" s="1549"/>
      <c r="K651" s="1549"/>
      <c r="L651" s="1549"/>
      <c r="M651" s="1549"/>
      <c r="N651" s="1549"/>
      <c r="O651" s="1549"/>
      <c r="P651" s="1549"/>
      <c r="Q651" s="1549"/>
      <c r="R651" s="1549"/>
      <c r="S651" s="1549"/>
      <c r="T651" s="1549"/>
      <c r="U651" s="1549"/>
      <c r="V651" s="1549"/>
      <c r="W651" s="1549"/>
      <c r="X651" s="1549"/>
      <c r="Y651" s="1549"/>
      <c r="Z651" s="1549"/>
      <c r="AA651" s="1549"/>
      <c r="AB651" s="1549"/>
      <c r="AC651" s="1549"/>
      <c r="AD651" s="1549"/>
      <c r="AE651" s="1549"/>
      <c r="AF651" s="1549"/>
      <c r="AG651" s="1549"/>
      <c r="AH651" s="1549"/>
    </row>
    <row r="652" spans="1:34" ht="12.75" customHeight="1" x14ac:dyDescent="0.2">
      <c r="A652" s="1549"/>
      <c r="B652" s="1549"/>
      <c r="C652" s="1549"/>
      <c r="D652" s="1549"/>
      <c r="E652" s="1549"/>
      <c r="F652" s="1549"/>
      <c r="G652" s="1549"/>
      <c r="H652" s="1549"/>
      <c r="I652" s="1549"/>
      <c r="J652" s="1549"/>
      <c r="K652" s="1549"/>
      <c r="L652" s="1549"/>
      <c r="M652" s="1549"/>
      <c r="N652" s="1549"/>
      <c r="O652" s="1549"/>
      <c r="P652" s="1549"/>
      <c r="Q652" s="1549"/>
      <c r="R652" s="1549"/>
      <c r="S652" s="1549"/>
      <c r="T652" s="1549"/>
      <c r="U652" s="1549"/>
      <c r="V652" s="1549"/>
      <c r="W652" s="1549"/>
      <c r="X652" s="1549"/>
      <c r="Y652" s="1549"/>
      <c r="Z652" s="1549"/>
      <c r="AA652" s="1549"/>
      <c r="AB652" s="1549"/>
      <c r="AC652" s="1549"/>
      <c r="AD652" s="1549"/>
      <c r="AE652" s="1549"/>
      <c r="AF652" s="1549"/>
      <c r="AG652" s="1549"/>
      <c r="AH652" s="1549"/>
    </row>
    <row r="653" spans="1:34" ht="12.75" customHeight="1" x14ac:dyDescent="0.2">
      <c r="A653" s="1549"/>
      <c r="B653" s="1549"/>
      <c r="C653" s="1549"/>
      <c r="D653" s="1549"/>
      <c r="E653" s="1549"/>
      <c r="F653" s="1549"/>
      <c r="G653" s="1549"/>
      <c r="H653" s="1549"/>
      <c r="I653" s="1549"/>
      <c r="J653" s="1549"/>
      <c r="K653" s="1549"/>
      <c r="L653" s="1549"/>
      <c r="M653" s="1549"/>
      <c r="N653" s="1549"/>
      <c r="O653" s="1549"/>
      <c r="P653" s="1549"/>
      <c r="Q653" s="1549"/>
      <c r="R653" s="1549"/>
      <c r="S653" s="1549"/>
      <c r="T653" s="1549"/>
      <c r="U653" s="1549"/>
      <c r="V653" s="1549"/>
      <c r="W653" s="1549"/>
      <c r="X653" s="1549"/>
      <c r="Y653" s="1549"/>
      <c r="Z653" s="1549"/>
      <c r="AA653" s="1549"/>
      <c r="AB653" s="1549"/>
      <c r="AC653" s="1549"/>
      <c r="AD653" s="1549"/>
      <c r="AE653" s="1549"/>
      <c r="AF653" s="1549"/>
      <c r="AG653" s="1549"/>
      <c r="AH653" s="1549"/>
    </row>
    <row r="654" spans="1:34" ht="12.75" customHeight="1" x14ac:dyDescent="0.2">
      <c r="A654" s="1549"/>
      <c r="B654" s="1549"/>
      <c r="C654" s="1549"/>
      <c r="D654" s="1549"/>
      <c r="E654" s="1549"/>
      <c r="F654" s="1549"/>
      <c r="G654" s="1549"/>
      <c r="H654" s="1549"/>
      <c r="I654" s="1549"/>
      <c r="J654" s="1549"/>
      <c r="K654" s="1549"/>
      <c r="L654" s="1549"/>
      <c r="M654" s="1549"/>
      <c r="N654" s="1549"/>
      <c r="O654" s="1549"/>
      <c r="P654" s="1549"/>
      <c r="Q654" s="1549"/>
      <c r="R654" s="1549"/>
      <c r="S654" s="1549"/>
      <c r="T654" s="1549"/>
      <c r="U654" s="1549"/>
      <c r="V654" s="1549"/>
      <c r="W654" s="1549"/>
      <c r="X654" s="1549"/>
      <c r="Y654" s="1549"/>
      <c r="Z654" s="1549"/>
      <c r="AA654" s="1549"/>
      <c r="AB654" s="1549"/>
      <c r="AC654" s="1549"/>
      <c r="AD654" s="1549"/>
      <c r="AE654" s="1549"/>
      <c r="AF654" s="1549"/>
      <c r="AG654" s="1549"/>
      <c r="AH654" s="1549"/>
    </row>
    <row r="655" spans="1:34" ht="12.75" customHeight="1" x14ac:dyDescent="0.2">
      <c r="A655" s="1549"/>
      <c r="B655" s="1549"/>
      <c r="C655" s="1549"/>
      <c r="D655" s="1549"/>
      <c r="E655" s="1549"/>
      <c r="F655" s="1549"/>
      <c r="G655" s="1549"/>
      <c r="H655" s="1549"/>
      <c r="I655" s="1549"/>
      <c r="J655" s="1549"/>
      <c r="K655" s="1549"/>
      <c r="L655" s="1549"/>
      <c r="M655" s="1549"/>
      <c r="N655" s="1549"/>
      <c r="O655" s="1549"/>
      <c r="P655" s="1549"/>
      <c r="Q655" s="1549"/>
      <c r="R655" s="1549"/>
      <c r="S655" s="1549"/>
      <c r="T655" s="1549"/>
      <c r="U655" s="1549"/>
      <c r="V655" s="1549"/>
      <c r="W655" s="1549"/>
      <c r="X655" s="1549"/>
      <c r="Y655" s="1549"/>
      <c r="Z655" s="1549"/>
      <c r="AA655" s="1549"/>
      <c r="AB655" s="1549"/>
      <c r="AC655" s="1549"/>
      <c r="AD655" s="1549"/>
      <c r="AE655" s="1549"/>
      <c r="AF655" s="1549"/>
      <c r="AG655" s="1549"/>
      <c r="AH655" s="1549"/>
    </row>
    <row r="656" spans="1:34" ht="12.75" customHeight="1" x14ac:dyDescent="0.2">
      <c r="A656" s="1549"/>
      <c r="B656" s="1549"/>
      <c r="C656" s="1549"/>
      <c r="D656" s="1549"/>
      <c r="E656" s="1549"/>
      <c r="F656" s="1549"/>
      <c r="G656" s="1549"/>
      <c r="H656" s="1549"/>
      <c r="I656" s="1549"/>
      <c r="J656" s="1549"/>
      <c r="K656" s="1549"/>
      <c r="L656" s="1549"/>
      <c r="M656" s="1549"/>
      <c r="N656" s="1549"/>
      <c r="O656" s="1549"/>
      <c r="P656" s="1549"/>
      <c r="Q656" s="1549"/>
      <c r="R656" s="1549"/>
      <c r="S656" s="1549"/>
      <c r="T656" s="1549"/>
      <c r="U656" s="1549"/>
      <c r="V656" s="1549"/>
      <c r="W656" s="1549"/>
      <c r="X656" s="1549"/>
      <c r="Y656" s="1549"/>
      <c r="Z656" s="1549"/>
      <c r="AA656" s="1549"/>
      <c r="AB656" s="1549"/>
      <c r="AC656" s="1549"/>
      <c r="AD656" s="1549"/>
      <c r="AE656" s="1549"/>
      <c r="AF656" s="1549"/>
      <c r="AG656" s="1549"/>
      <c r="AH656" s="1549"/>
    </row>
    <row r="657" spans="1:34" ht="12.75" customHeight="1" x14ac:dyDescent="0.2">
      <c r="A657" s="1549"/>
      <c r="B657" s="1549"/>
      <c r="C657" s="1549"/>
      <c r="D657" s="1549"/>
      <c r="E657" s="1549"/>
      <c r="F657" s="1549"/>
      <c r="G657" s="1549"/>
      <c r="H657" s="1549"/>
      <c r="I657" s="1549"/>
      <c r="J657" s="1549"/>
      <c r="K657" s="1549"/>
      <c r="L657" s="1549"/>
      <c r="M657" s="1549"/>
      <c r="N657" s="1549"/>
      <c r="O657" s="1549"/>
      <c r="P657" s="1549"/>
      <c r="Q657" s="1549"/>
      <c r="R657" s="1549"/>
      <c r="S657" s="1549"/>
      <c r="T657" s="1549"/>
      <c r="U657" s="1549"/>
      <c r="V657" s="1549"/>
      <c r="W657" s="1549"/>
      <c r="X657" s="1549"/>
      <c r="Y657" s="1549"/>
      <c r="Z657" s="1549"/>
      <c r="AA657" s="1549"/>
      <c r="AB657" s="1549"/>
      <c r="AC657" s="1549"/>
      <c r="AD657" s="1549"/>
      <c r="AE657" s="1549"/>
      <c r="AF657" s="1549"/>
      <c r="AG657" s="1549"/>
      <c r="AH657" s="1549"/>
    </row>
    <row r="658" spans="1:34" ht="12.75" customHeight="1" x14ac:dyDescent="0.2">
      <c r="A658" s="1549"/>
      <c r="B658" s="1549"/>
      <c r="C658" s="1549"/>
      <c r="D658" s="1549"/>
      <c r="E658" s="1549"/>
      <c r="F658" s="1549"/>
      <c r="G658" s="1549"/>
      <c r="H658" s="1549"/>
      <c r="I658" s="1549"/>
      <c r="J658" s="1549"/>
      <c r="K658" s="1549"/>
      <c r="L658" s="1549"/>
      <c r="M658" s="1549"/>
      <c r="N658" s="1549"/>
      <c r="O658" s="1549"/>
      <c r="P658" s="1549"/>
      <c r="Q658" s="1549"/>
      <c r="R658" s="1549"/>
      <c r="S658" s="1549"/>
      <c r="T658" s="1549"/>
      <c r="U658" s="1549"/>
      <c r="V658" s="1549"/>
      <c r="W658" s="1549"/>
      <c r="X658" s="1549"/>
      <c r="Y658" s="1549"/>
      <c r="Z658" s="1549"/>
      <c r="AA658" s="1549"/>
      <c r="AB658" s="1549"/>
      <c r="AC658" s="1549"/>
      <c r="AD658" s="1549"/>
      <c r="AE658" s="1549"/>
      <c r="AF658" s="1549"/>
      <c r="AG658" s="1549"/>
      <c r="AH658" s="1549"/>
    </row>
    <row r="659" spans="1:34" ht="12.75" customHeight="1" x14ac:dyDescent="0.2">
      <c r="A659" s="1549"/>
      <c r="B659" s="1549"/>
      <c r="C659" s="1549"/>
      <c r="D659" s="1549"/>
      <c r="E659" s="1549"/>
      <c r="F659" s="1549"/>
      <c r="G659" s="1549"/>
      <c r="H659" s="1549"/>
      <c r="I659" s="1549"/>
      <c r="J659" s="1549"/>
      <c r="K659" s="1549"/>
      <c r="L659" s="1549"/>
      <c r="M659" s="1549"/>
      <c r="N659" s="1549"/>
      <c r="O659" s="1549"/>
      <c r="P659" s="1549"/>
      <c r="Q659" s="1549"/>
      <c r="R659" s="1549"/>
      <c r="S659" s="1549"/>
      <c r="T659" s="1549"/>
      <c r="U659" s="1549"/>
      <c r="V659" s="1549"/>
      <c r="W659" s="1549"/>
      <c r="X659" s="1549"/>
      <c r="Y659" s="1549"/>
      <c r="Z659" s="1549"/>
      <c r="AA659" s="1549"/>
      <c r="AB659" s="1549"/>
      <c r="AC659" s="1549"/>
      <c r="AD659" s="1549"/>
      <c r="AE659" s="1549"/>
      <c r="AF659" s="1549"/>
      <c r="AG659" s="1549"/>
      <c r="AH659" s="1549"/>
    </row>
    <row r="660" spans="1:34" ht="12.75" customHeight="1" x14ac:dyDescent="0.2">
      <c r="A660" s="1549"/>
      <c r="B660" s="1549"/>
      <c r="C660" s="1549"/>
      <c r="D660" s="1549"/>
      <c r="E660" s="1549"/>
      <c r="F660" s="1549"/>
      <c r="G660" s="1549"/>
      <c r="H660" s="1549"/>
      <c r="I660" s="1549"/>
      <c r="J660" s="1549"/>
      <c r="K660" s="1549"/>
      <c r="L660" s="1549"/>
      <c r="M660" s="1549"/>
      <c r="N660" s="1549"/>
      <c r="O660" s="1549"/>
      <c r="P660" s="1549"/>
      <c r="Q660" s="1549"/>
      <c r="R660" s="1549"/>
      <c r="S660" s="1549"/>
      <c r="T660" s="1549"/>
      <c r="U660" s="1549"/>
      <c r="V660" s="1549"/>
      <c r="W660" s="1549"/>
      <c r="X660" s="1549"/>
      <c r="Y660" s="1549"/>
      <c r="Z660" s="1549"/>
      <c r="AA660" s="1549"/>
      <c r="AB660" s="1549"/>
      <c r="AC660" s="1549"/>
      <c r="AD660" s="1549"/>
      <c r="AE660" s="1549"/>
      <c r="AF660" s="1549"/>
      <c r="AG660" s="1549"/>
      <c r="AH660" s="1549"/>
    </row>
    <row r="661" spans="1:34" ht="12.75" customHeight="1" x14ac:dyDescent="0.2">
      <c r="A661" s="1549"/>
      <c r="B661" s="1549"/>
      <c r="C661" s="1549"/>
      <c r="D661" s="1549"/>
      <c r="E661" s="1549"/>
      <c r="F661" s="1549"/>
      <c r="G661" s="1549"/>
      <c r="H661" s="1549"/>
      <c r="I661" s="1549"/>
      <c r="J661" s="1549"/>
      <c r="K661" s="1549"/>
      <c r="L661" s="1549"/>
      <c r="M661" s="1549"/>
      <c r="N661" s="1549"/>
      <c r="O661" s="1549"/>
      <c r="P661" s="1549"/>
      <c r="Q661" s="1549"/>
      <c r="R661" s="1549"/>
      <c r="S661" s="1549"/>
      <c r="T661" s="1549"/>
      <c r="U661" s="1549"/>
      <c r="V661" s="1549"/>
      <c r="W661" s="1549"/>
      <c r="X661" s="1549"/>
      <c r="Y661" s="1549"/>
      <c r="Z661" s="1549"/>
      <c r="AA661" s="1549"/>
      <c r="AB661" s="1549"/>
      <c r="AC661" s="1549"/>
      <c r="AD661" s="1549"/>
      <c r="AE661" s="1549"/>
      <c r="AF661" s="1549"/>
      <c r="AG661" s="1549"/>
      <c r="AH661" s="1549"/>
    </row>
    <row r="662" spans="1:34" ht="12.75" customHeight="1" x14ac:dyDescent="0.2">
      <c r="A662" s="1549"/>
      <c r="B662" s="1549"/>
      <c r="C662" s="1549"/>
      <c r="D662" s="1549"/>
      <c r="E662" s="1549"/>
      <c r="F662" s="1549"/>
      <c r="G662" s="1549"/>
      <c r="H662" s="1549"/>
      <c r="I662" s="1549"/>
      <c r="J662" s="1549"/>
      <c r="K662" s="1549"/>
      <c r="L662" s="1549"/>
      <c r="M662" s="1549"/>
      <c r="N662" s="1549"/>
      <c r="O662" s="1549"/>
      <c r="P662" s="1549"/>
      <c r="Q662" s="1549"/>
      <c r="R662" s="1549"/>
      <c r="S662" s="1549"/>
      <c r="T662" s="1549"/>
      <c r="U662" s="1549"/>
      <c r="V662" s="1549"/>
      <c r="W662" s="1549"/>
      <c r="X662" s="1549"/>
      <c r="Y662" s="1549"/>
      <c r="Z662" s="1549"/>
      <c r="AA662" s="1549"/>
      <c r="AB662" s="1549"/>
      <c r="AC662" s="1549"/>
      <c r="AD662" s="1549"/>
      <c r="AE662" s="1549"/>
      <c r="AF662" s="1549"/>
      <c r="AG662" s="1549"/>
      <c r="AH662" s="1549"/>
    </row>
    <row r="663" spans="1:34" ht="12.75" customHeight="1" x14ac:dyDescent="0.2">
      <c r="A663" s="1549"/>
      <c r="B663" s="1549"/>
      <c r="C663" s="1549"/>
      <c r="D663" s="1549"/>
      <c r="E663" s="1549"/>
      <c r="F663" s="1549"/>
      <c r="G663" s="1549"/>
      <c r="H663" s="1549"/>
      <c r="I663" s="1549"/>
      <c r="J663" s="1549"/>
      <c r="K663" s="1549"/>
      <c r="L663" s="1549"/>
      <c r="M663" s="1549"/>
      <c r="N663" s="1549"/>
      <c r="O663" s="1549"/>
      <c r="P663" s="1549"/>
      <c r="Q663" s="1549"/>
      <c r="R663" s="1549"/>
      <c r="S663" s="1549"/>
      <c r="T663" s="1549"/>
      <c r="U663" s="1549"/>
      <c r="V663" s="1549"/>
      <c r="W663" s="1549"/>
      <c r="X663" s="1549"/>
      <c r="Y663" s="1549"/>
      <c r="Z663" s="1549"/>
      <c r="AA663" s="1549"/>
      <c r="AB663" s="1549"/>
      <c r="AC663" s="1549"/>
      <c r="AD663" s="1549"/>
      <c r="AE663" s="1549"/>
      <c r="AF663" s="1549"/>
      <c r="AG663" s="1549"/>
      <c r="AH663" s="1549"/>
    </row>
    <row r="664" spans="1:34" ht="12.75" customHeight="1" x14ac:dyDescent="0.2">
      <c r="A664" s="1549"/>
      <c r="B664" s="1549"/>
      <c r="C664" s="1549"/>
      <c r="D664" s="1549"/>
      <c r="E664" s="1549"/>
      <c r="F664" s="1549"/>
      <c r="G664" s="1549"/>
      <c r="H664" s="1549"/>
      <c r="I664" s="1549"/>
      <c r="J664" s="1549"/>
      <c r="K664" s="1549"/>
      <c r="L664" s="1549"/>
      <c r="M664" s="1549"/>
      <c r="N664" s="1549"/>
      <c r="O664" s="1549"/>
      <c r="P664" s="1549"/>
      <c r="Q664" s="1549"/>
      <c r="R664" s="1549"/>
      <c r="S664" s="1549"/>
      <c r="T664" s="1549"/>
      <c r="U664" s="1549"/>
      <c r="V664" s="1549"/>
      <c r="W664" s="1549"/>
      <c r="X664" s="1549"/>
      <c r="Y664" s="1549"/>
      <c r="Z664" s="1549"/>
      <c r="AA664" s="1549"/>
      <c r="AB664" s="1549"/>
      <c r="AC664" s="1549"/>
      <c r="AD664" s="1549"/>
      <c r="AE664" s="1549"/>
      <c r="AF664" s="1549"/>
      <c r="AG664" s="1549"/>
      <c r="AH664" s="1549"/>
    </row>
    <row r="665" spans="1:34" ht="12.75" customHeight="1" x14ac:dyDescent="0.2">
      <c r="A665" s="1549"/>
      <c r="B665" s="1549"/>
      <c r="C665" s="1549"/>
      <c r="D665" s="1549"/>
      <c r="E665" s="1549"/>
      <c r="F665" s="1549"/>
      <c r="G665" s="1549"/>
      <c r="H665" s="1549"/>
      <c r="I665" s="1549"/>
      <c r="J665" s="1549"/>
      <c r="K665" s="1549"/>
      <c r="L665" s="1549"/>
      <c r="M665" s="1549"/>
      <c r="N665" s="1549"/>
      <c r="O665" s="1549"/>
      <c r="P665" s="1549"/>
      <c r="Q665" s="1549"/>
      <c r="R665" s="1549"/>
      <c r="S665" s="1549"/>
      <c r="T665" s="1549"/>
      <c r="U665" s="1549"/>
      <c r="V665" s="1549"/>
      <c r="W665" s="1549"/>
      <c r="X665" s="1549"/>
      <c r="Y665" s="1549"/>
      <c r="Z665" s="1549"/>
      <c r="AA665" s="1549"/>
      <c r="AB665" s="1549"/>
      <c r="AC665" s="1549"/>
      <c r="AD665" s="1549"/>
      <c r="AE665" s="1549"/>
      <c r="AF665" s="1549"/>
      <c r="AG665" s="1549"/>
      <c r="AH665" s="1549"/>
    </row>
    <row r="666" spans="1:34" ht="12.75" customHeight="1" x14ac:dyDescent="0.2">
      <c r="A666" s="1549"/>
      <c r="B666" s="1549"/>
      <c r="C666" s="1549"/>
      <c r="D666" s="1549"/>
      <c r="E666" s="1549"/>
      <c r="F666" s="1549"/>
      <c r="G666" s="1549"/>
      <c r="H666" s="1549"/>
      <c r="I666" s="1549"/>
      <c r="J666" s="1549"/>
      <c r="K666" s="1549"/>
      <c r="L666" s="1549"/>
      <c r="M666" s="1549"/>
      <c r="N666" s="1549"/>
      <c r="O666" s="1549"/>
      <c r="P666" s="1549"/>
      <c r="Q666" s="1549"/>
      <c r="R666" s="1549"/>
      <c r="S666" s="1549"/>
      <c r="T666" s="1549"/>
      <c r="U666" s="1549"/>
      <c r="V666" s="1549"/>
      <c r="W666" s="1549"/>
      <c r="X666" s="1549"/>
      <c r="Y666" s="1549"/>
      <c r="Z666" s="1549"/>
      <c r="AA666" s="1549"/>
      <c r="AB666" s="1549"/>
      <c r="AC666" s="1549"/>
      <c r="AD666" s="1549"/>
      <c r="AE666" s="1549"/>
      <c r="AF666" s="1549"/>
      <c r="AG666" s="1549"/>
      <c r="AH666" s="1549"/>
    </row>
    <row r="667" spans="1:34" ht="12.75" customHeight="1" x14ac:dyDescent="0.2">
      <c r="A667" s="1549"/>
      <c r="B667" s="1549"/>
      <c r="C667" s="1549"/>
      <c r="D667" s="1549"/>
      <c r="E667" s="1549"/>
      <c r="F667" s="1549"/>
      <c r="G667" s="1549"/>
      <c r="H667" s="1549"/>
      <c r="I667" s="1549"/>
      <c r="J667" s="1549"/>
      <c r="K667" s="1549"/>
      <c r="L667" s="1549"/>
      <c r="M667" s="1549"/>
      <c r="N667" s="1549"/>
      <c r="O667" s="1549"/>
      <c r="P667" s="1549"/>
      <c r="Q667" s="1549"/>
      <c r="R667" s="1549"/>
      <c r="S667" s="1549"/>
      <c r="T667" s="1549"/>
      <c r="U667" s="1549"/>
      <c r="V667" s="1549"/>
      <c r="W667" s="1549"/>
      <c r="X667" s="1549"/>
      <c r="Y667" s="1549"/>
      <c r="Z667" s="1549"/>
      <c r="AA667" s="1549"/>
      <c r="AB667" s="1549"/>
      <c r="AC667" s="1549"/>
      <c r="AD667" s="1549"/>
      <c r="AE667" s="1549"/>
      <c r="AF667" s="1549"/>
      <c r="AG667" s="1549"/>
      <c r="AH667" s="1549"/>
    </row>
    <row r="668" spans="1:34" ht="12.75" customHeight="1" x14ac:dyDescent="0.2">
      <c r="A668" s="1549"/>
      <c r="B668" s="1549"/>
      <c r="C668" s="1549"/>
      <c r="D668" s="1549"/>
      <c r="E668" s="1549"/>
      <c r="F668" s="1549"/>
      <c r="G668" s="1549"/>
      <c r="H668" s="1549"/>
      <c r="I668" s="1549"/>
      <c r="J668" s="1549"/>
      <c r="K668" s="1549"/>
      <c r="L668" s="1549"/>
      <c r="M668" s="1549"/>
      <c r="N668" s="1549"/>
      <c r="O668" s="1549"/>
      <c r="P668" s="1549"/>
      <c r="Q668" s="1549"/>
      <c r="R668" s="1549"/>
      <c r="S668" s="1549"/>
      <c r="T668" s="1549"/>
      <c r="U668" s="1549"/>
      <c r="V668" s="1549"/>
      <c r="W668" s="1549"/>
      <c r="X668" s="1549"/>
      <c r="Y668" s="1549"/>
      <c r="Z668" s="1549"/>
      <c r="AA668" s="1549"/>
      <c r="AB668" s="1549"/>
      <c r="AC668" s="1549"/>
      <c r="AD668" s="1549"/>
      <c r="AE668" s="1549"/>
      <c r="AF668" s="1549"/>
      <c r="AG668" s="1549"/>
      <c r="AH668" s="1549"/>
    </row>
    <row r="669" spans="1:34" ht="12.75" customHeight="1" x14ac:dyDescent="0.2">
      <c r="A669" s="1549"/>
      <c r="B669" s="1549"/>
      <c r="C669" s="1549"/>
      <c r="D669" s="1549"/>
      <c r="E669" s="1549"/>
      <c r="F669" s="1549"/>
      <c r="G669" s="1549"/>
      <c r="H669" s="1549"/>
      <c r="I669" s="1549"/>
      <c r="J669" s="1549"/>
      <c r="K669" s="1549"/>
      <c r="L669" s="1549"/>
      <c r="M669" s="1549"/>
      <c r="N669" s="1549"/>
      <c r="O669" s="1549"/>
      <c r="P669" s="1549"/>
      <c r="Q669" s="1549"/>
      <c r="R669" s="1549"/>
      <c r="S669" s="1549"/>
      <c r="T669" s="1549"/>
      <c r="U669" s="1549"/>
      <c r="V669" s="1549"/>
      <c r="W669" s="1549"/>
      <c r="X669" s="1549"/>
      <c r="Y669" s="1549"/>
      <c r="Z669" s="1549"/>
      <c r="AA669" s="1549"/>
      <c r="AB669" s="1549"/>
      <c r="AC669" s="1549"/>
      <c r="AD669" s="1549"/>
      <c r="AE669" s="1549"/>
      <c r="AF669" s="1549"/>
      <c r="AG669" s="1549"/>
      <c r="AH669" s="1549"/>
    </row>
    <row r="670" spans="1:34" ht="12.75" customHeight="1" x14ac:dyDescent="0.2">
      <c r="A670" s="1549"/>
      <c r="B670" s="1549"/>
      <c r="C670" s="1549"/>
      <c r="D670" s="1549"/>
      <c r="E670" s="1549"/>
      <c r="F670" s="1549"/>
      <c r="G670" s="1549"/>
      <c r="H670" s="1549"/>
      <c r="I670" s="1549"/>
      <c r="J670" s="1549"/>
      <c r="K670" s="1549"/>
      <c r="L670" s="1549"/>
      <c r="M670" s="1549"/>
      <c r="N670" s="1549"/>
      <c r="O670" s="1549"/>
      <c r="P670" s="1549"/>
      <c r="Q670" s="1549"/>
      <c r="R670" s="1549"/>
      <c r="S670" s="1549"/>
      <c r="T670" s="1549"/>
      <c r="U670" s="1549"/>
      <c r="V670" s="1549"/>
      <c r="W670" s="1549"/>
      <c r="X670" s="1549"/>
      <c r="Y670" s="1549"/>
      <c r="Z670" s="1549"/>
      <c r="AA670" s="1549"/>
      <c r="AB670" s="1549"/>
      <c r="AC670" s="1549"/>
      <c r="AD670" s="1549"/>
      <c r="AE670" s="1549"/>
      <c r="AF670" s="1549"/>
      <c r="AG670" s="1549"/>
      <c r="AH670" s="1549"/>
    </row>
    <row r="671" spans="1:34" ht="12.75" customHeight="1" x14ac:dyDescent="0.2">
      <c r="A671" s="1549"/>
      <c r="B671" s="1549"/>
      <c r="C671" s="1549"/>
      <c r="D671" s="1549"/>
      <c r="E671" s="1549"/>
      <c r="F671" s="1549"/>
      <c r="G671" s="1549"/>
      <c r="H671" s="1549"/>
      <c r="I671" s="1549"/>
      <c r="J671" s="1549"/>
      <c r="K671" s="1549"/>
      <c r="L671" s="1549"/>
      <c r="M671" s="1549"/>
      <c r="N671" s="1549"/>
      <c r="O671" s="1549"/>
      <c r="P671" s="1549"/>
      <c r="Q671" s="1549"/>
      <c r="R671" s="1549"/>
      <c r="S671" s="1549"/>
      <c r="T671" s="1549"/>
      <c r="U671" s="1549"/>
      <c r="V671" s="1549"/>
      <c r="W671" s="1549"/>
      <c r="X671" s="1549"/>
      <c r="Y671" s="1549"/>
      <c r="Z671" s="1549"/>
      <c r="AA671" s="1549"/>
      <c r="AB671" s="1549"/>
      <c r="AC671" s="1549"/>
      <c r="AD671" s="1549"/>
      <c r="AE671" s="1549"/>
      <c r="AF671" s="1549"/>
      <c r="AG671" s="1549"/>
      <c r="AH671" s="1549"/>
    </row>
    <row r="672" spans="1:34" ht="12.75" customHeight="1" x14ac:dyDescent="0.2">
      <c r="A672" s="1549"/>
      <c r="B672" s="1549"/>
      <c r="C672" s="1549"/>
      <c r="D672" s="1549"/>
      <c r="E672" s="1549"/>
      <c r="F672" s="1549"/>
      <c r="G672" s="1549"/>
      <c r="H672" s="1549"/>
      <c r="I672" s="1549"/>
      <c r="J672" s="1549"/>
      <c r="K672" s="1549"/>
      <c r="L672" s="1549"/>
      <c r="M672" s="1549"/>
      <c r="N672" s="1549"/>
      <c r="O672" s="1549"/>
      <c r="P672" s="1549"/>
      <c r="Q672" s="1549"/>
      <c r="R672" s="1549"/>
      <c r="S672" s="1549"/>
      <c r="T672" s="1549"/>
      <c r="U672" s="1549"/>
      <c r="V672" s="1549"/>
      <c r="W672" s="1549"/>
      <c r="X672" s="1549"/>
      <c r="Y672" s="1549"/>
      <c r="Z672" s="1549"/>
      <c r="AA672" s="1549"/>
      <c r="AB672" s="1549"/>
      <c r="AC672" s="1549"/>
      <c r="AD672" s="1549"/>
      <c r="AE672" s="1549"/>
      <c r="AF672" s="1549"/>
      <c r="AG672" s="1549"/>
      <c r="AH672" s="1549"/>
    </row>
    <row r="673" spans="1:34" ht="12.75" customHeight="1" x14ac:dyDescent="0.2">
      <c r="A673" s="1549"/>
      <c r="B673" s="1549"/>
      <c r="C673" s="1549"/>
      <c r="D673" s="1549"/>
      <c r="E673" s="1549"/>
      <c r="F673" s="1549"/>
      <c r="G673" s="1549"/>
      <c r="H673" s="1549"/>
      <c r="I673" s="1549"/>
      <c r="J673" s="1549"/>
      <c r="K673" s="1549"/>
      <c r="L673" s="1549"/>
      <c r="M673" s="1549"/>
      <c r="N673" s="1549"/>
      <c r="O673" s="1549"/>
      <c r="P673" s="1549"/>
      <c r="Q673" s="1549"/>
      <c r="R673" s="1549"/>
      <c r="S673" s="1549"/>
      <c r="T673" s="1549"/>
      <c r="U673" s="1549"/>
      <c r="V673" s="1549"/>
      <c r="W673" s="1549"/>
      <c r="X673" s="1549"/>
      <c r="Y673" s="1549"/>
      <c r="Z673" s="1549"/>
      <c r="AA673" s="1549"/>
      <c r="AB673" s="1549"/>
      <c r="AC673" s="1549"/>
      <c r="AD673" s="1549"/>
      <c r="AE673" s="1549"/>
      <c r="AF673" s="1549"/>
      <c r="AG673" s="1549"/>
      <c r="AH673" s="1549"/>
    </row>
    <row r="674" spans="1:34" ht="12.75" customHeight="1" x14ac:dyDescent="0.2">
      <c r="A674" s="1549"/>
      <c r="B674" s="1549"/>
      <c r="C674" s="1549"/>
      <c r="D674" s="1549"/>
      <c r="E674" s="1549"/>
      <c r="F674" s="1549"/>
      <c r="G674" s="1549"/>
      <c r="H674" s="1549"/>
      <c r="I674" s="1549"/>
      <c r="J674" s="1549"/>
      <c r="K674" s="1549"/>
      <c r="L674" s="1549"/>
      <c r="M674" s="1549"/>
      <c r="N674" s="1549"/>
      <c r="O674" s="1549"/>
      <c r="P674" s="1549"/>
      <c r="Q674" s="1549"/>
      <c r="R674" s="1549"/>
      <c r="S674" s="1549"/>
      <c r="T674" s="1549"/>
      <c r="U674" s="1549"/>
      <c r="V674" s="1549"/>
      <c r="W674" s="1549"/>
      <c r="X674" s="1549"/>
      <c r="Y674" s="1549"/>
      <c r="Z674" s="1549"/>
      <c r="AA674" s="1549"/>
      <c r="AB674" s="1549"/>
      <c r="AC674" s="1549"/>
      <c r="AD674" s="1549"/>
      <c r="AE674" s="1549"/>
      <c r="AF674" s="1549"/>
      <c r="AG674" s="1549"/>
      <c r="AH674" s="1549"/>
    </row>
    <row r="675" spans="1:34" ht="12.75" customHeight="1" x14ac:dyDescent="0.2">
      <c r="A675" s="1549"/>
      <c r="B675" s="1549"/>
      <c r="C675" s="1549"/>
      <c r="D675" s="1549"/>
      <c r="E675" s="1549"/>
      <c r="F675" s="1549"/>
      <c r="G675" s="1549"/>
      <c r="H675" s="1549"/>
      <c r="I675" s="1549"/>
      <c r="J675" s="1549"/>
      <c r="K675" s="1549"/>
      <c r="L675" s="1549"/>
      <c r="M675" s="1549"/>
      <c r="N675" s="1549"/>
      <c r="O675" s="1549"/>
      <c r="P675" s="1549"/>
      <c r="Q675" s="1549"/>
      <c r="R675" s="1549"/>
      <c r="S675" s="1549"/>
      <c r="T675" s="1549"/>
      <c r="U675" s="1549"/>
      <c r="V675" s="1549"/>
      <c r="W675" s="1549"/>
      <c r="X675" s="1549"/>
      <c r="Y675" s="1549"/>
      <c r="Z675" s="1549"/>
      <c r="AA675" s="1549"/>
      <c r="AB675" s="1549"/>
      <c r="AC675" s="1549"/>
      <c r="AD675" s="1549"/>
      <c r="AE675" s="1549"/>
      <c r="AF675" s="1549"/>
      <c r="AG675" s="1549"/>
      <c r="AH675" s="1549"/>
    </row>
    <row r="676" spans="1:34" ht="12.75" customHeight="1" x14ac:dyDescent="0.2">
      <c r="A676" s="1549"/>
      <c r="B676" s="1549"/>
      <c r="C676" s="1549"/>
      <c r="D676" s="1549"/>
      <c r="E676" s="1549"/>
      <c r="F676" s="1549"/>
      <c r="G676" s="1549"/>
      <c r="H676" s="1549"/>
      <c r="I676" s="1549"/>
      <c r="J676" s="1549"/>
      <c r="K676" s="1549"/>
      <c r="L676" s="1549"/>
      <c r="M676" s="1549"/>
      <c r="N676" s="1549"/>
      <c r="O676" s="1549"/>
      <c r="P676" s="1549"/>
      <c r="Q676" s="1549"/>
      <c r="R676" s="1549"/>
      <c r="S676" s="1549"/>
      <c r="T676" s="1549"/>
      <c r="U676" s="1549"/>
      <c r="V676" s="1549"/>
      <c r="W676" s="1549"/>
      <c r="X676" s="1549"/>
      <c r="Y676" s="1549"/>
      <c r="Z676" s="1549"/>
      <c r="AA676" s="1549"/>
      <c r="AB676" s="1549"/>
      <c r="AC676" s="1549"/>
      <c r="AD676" s="1549"/>
      <c r="AE676" s="1549"/>
      <c r="AF676" s="1549"/>
      <c r="AG676" s="1549"/>
      <c r="AH676" s="1549"/>
    </row>
    <row r="677" spans="1:34" ht="12.75" customHeight="1" x14ac:dyDescent="0.2">
      <c r="A677" s="1549"/>
      <c r="B677" s="1549"/>
      <c r="C677" s="1549"/>
      <c r="D677" s="1549"/>
      <c r="E677" s="1549"/>
      <c r="F677" s="1549"/>
      <c r="G677" s="1549"/>
      <c r="H677" s="1549"/>
      <c r="I677" s="1549"/>
      <c r="J677" s="1549"/>
      <c r="K677" s="1549"/>
      <c r="L677" s="1549"/>
      <c r="M677" s="1549"/>
      <c r="N677" s="1549"/>
      <c r="O677" s="1549"/>
      <c r="P677" s="1549"/>
      <c r="Q677" s="1549"/>
      <c r="R677" s="1549"/>
      <c r="S677" s="1549"/>
      <c r="T677" s="1549"/>
      <c r="U677" s="1549"/>
      <c r="V677" s="1549"/>
      <c r="W677" s="1549"/>
      <c r="X677" s="1549"/>
      <c r="Y677" s="1549"/>
      <c r="Z677" s="1549"/>
      <c r="AA677" s="1549"/>
      <c r="AB677" s="1549"/>
      <c r="AC677" s="1549"/>
      <c r="AD677" s="1549"/>
      <c r="AE677" s="1549"/>
      <c r="AF677" s="1549"/>
      <c r="AG677" s="1549"/>
      <c r="AH677" s="1549"/>
    </row>
    <row r="678" spans="1:34" ht="12.75" customHeight="1" x14ac:dyDescent="0.2">
      <c r="A678" s="1549"/>
      <c r="B678" s="1549"/>
      <c r="C678" s="1549"/>
      <c r="D678" s="1549"/>
      <c r="E678" s="1549"/>
      <c r="F678" s="1549"/>
      <c r="G678" s="1549"/>
      <c r="H678" s="1549"/>
      <c r="I678" s="1549"/>
      <c r="J678" s="1549"/>
      <c r="K678" s="1549"/>
      <c r="L678" s="1549"/>
      <c r="M678" s="1549"/>
      <c r="N678" s="1549"/>
      <c r="O678" s="1549"/>
      <c r="P678" s="1549"/>
      <c r="Q678" s="1549"/>
      <c r="R678" s="1549"/>
      <c r="S678" s="1549"/>
      <c r="T678" s="1549"/>
      <c r="U678" s="1549"/>
      <c r="V678" s="1549"/>
      <c r="W678" s="1549"/>
      <c r="X678" s="1549"/>
      <c r="Y678" s="1549"/>
      <c r="Z678" s="1549"/>
      <c r="AA678" s="1549"/>
      <c r="AB678" s="1549"/>
      <c r="AC678" s="1549"/>
      <c r="AD678" s="1549"/>
      <c r="AE678" s="1549"/>
      <c r="AF678" s="1549"/>
      <c r="AG678" s="1549"/>
      <c r="AH678" s="1549"/>
    </row>
    <row r="679" spans="1:34" ht="12.75" customHeight="1" x14ac:dyDescent="0.2">
      <c r="A679" s="1549"/>
      <c r="B679" s="1549"/>
      <c r="C679" s="1549"/>
      <c r="D679" s="1549"/>
      <c r="E679" s="1549"/>
      <c r="F679" s="1549"/>
      <c r="G679" s="1549"/>
      <c r="H679" s="1549"/>
      <c r="I679" s="1549"/>
      <c r="J679" s="1549"/>
      <c r="K679" s="1549"/>
      <c r="L679" s="1549"/>
      <c r="M679" s="1549"/>
      <c r="N679" s="1549"/>
      <c r="O679" s="1549"/>
      <c r="P679" s="1549"/>
      <c r="Q679" s="1549"/>
      <c r="R679" s="1549"/>
      <c r="S679" s="1549"/>
      <c r="T679" s="1549"/>
      <c r="U679" s="1549"/>
      <c r="V679" s="1549"/>
      <c r="W679" s="1549"/>
      <c r="X679" s="1549"/>
      <c r="Y679" s="1549"/>
      <c r="Z679" s="1549"/>
      <c r="AA679" s="1549"/>
      <c r="AB679" s="1549"/>
      <c r="AC679" s="1549"/>
      <c r="AD679" s="1549"/>
      <c r="AE679" s="1549"/>
      <c r="AF679" s="1549"/>
      <c r="AG679" s="1549"/>
      <c r="AH679" s="1549"/>
    </row>
    <row r="680" spans="1:34" ht="12.75" customHeight="1" x14ac:dyDescent="0.2">
      <c r="A680" s="1549"/>
      <c r="B680" s="1549"/>
      <c r="C680" s="1549"/>
      <c r="D680" s="1549"/>
      <c r="E680" s="1549"/>
      <c r="F680" s="1549"/>
      <c r="G680" s="1549"/>
      <c r="H680" s="1549"/>
      <c r="I680" s="1549"/>
      <c r="J680" s="1549"/>
      <c r="K680" s="1549"/>
      <c r="L680" s="1549"/>
      <c r="M680" s="1549"/>
      <c r="N680" s="1549"/>
      <c r="O680" s="1549"/>
      <c r="P680" s="1549"/>
      <c r="Q680" s="1549"/>
      <c r="R680" s="1549"/>
      <c r="S680" s="1549"/>
      <c r="T680" s="1549"/>
      <c r="U680" s="1549"/>
      <c r="V680" s="1549"/>
      <c r="W680" s="1549"/>
      <c r="X680" s="1549"/>
      <c r="Y680" s="1549"/>
      <c r="Z680" s="1549"/>
      <c r="AA680" s="1549"/>
      <c r="AB680" s="1549"/>
      <c r="AC680" s="1549"/>
      <c r="AD680" s="1549"/>
      <c r="AE680" s="1549"/>
      <c r="AF680" s="1549"/>
      <c r="AG680" s="1549"/>
      <c r="AH680" s="1549"/>
    </row>
    <row r="681" spans="1:34" ht="12.75" customHeight="1" x14ac:dyDescent="0.2">
      <c r="A681" s="1549"/>
      <c r="B681" s="1549"/>
      <c r="C681" s="1549"/>
      <c r="D681" s="1549"/>
      <c r="E681" s="1549"/>
      <c r="F681" s="1549"/>
      <c r="G681" s="1549"/>
      <c r="H681" s="1549"/>
      <c r="I681" s="1549"/>
      <c r="J681" s="1549"/>
      <c r="K681" s="1549"/>
      <c r="L681" s="1549"/>
      <c r="M681" s="1549"/>
      <c r="N681" s="1549"/>
      <c r="O681" s="1549"/>
      <c r="P681" s="1549"/>
      <c r="Q681" s="1549"/>
      <c r="R681" s="1549"/>
      <c r="S681" s="1549"/>
      <c r="T681" s="1549"/>
      <c r="U681" s="1549"/>
      <c r="V681" s="1549"/>
      <c r="W681" s="1549"/>
      <c r="X681" s="1549"/>
      <c r="Y681" s="1549"/>
      <c r="Z681" s="1549"/>
      <c r="AA681" s="1549"/>
      <c r="AB681" s="1549"/>
      <c r="AC681" s="1549"/>
      <c r="AD681" s="1549"/>
      <c r="AE681" s="1549"/>
      <c r="AF681" s="1549"/>
      <c r="AG681" s="1549"/>
      <c r="AH681" s="1549"/>
    </row>
    <row r="682" spans="1:34" ht="12.75" customHeight="1" x14ac:dyDescent="0.2">
      <c r="A682" s="1549"/>
      <c r="B682" s="1549"/>
      <c r="C682" s="1549"/>
      <c r="D682" s="1549"/>
      <c r="E682" s="1549"/>
      <c r="F682" s="1549"/>
      <c r="G682" s="1549"/>
      <c r="H682" s="1549"/>
      <c r="I682" s="1549"/>
      <c r="J682" s="1549"/>
      <c r="K682" s="1549"/>
      <c r="L682" s="1549"/>
      <c r="M682" s="1549"/>
      <c r="N682" s="1549"/>
      <c r="O682" s="1549"/>
      <c r="P682" s="1549"/>
      <c r="Q682" s="1549"/>
      <c r="R682" s="1549"/>
      <c r="S682" s="1549"/>
      <c r="T682" s="1549"/>
      <c r="U682" s="1549"/>
      <c r="V682" s="1549"/>
      <c r="W682" s="1549"/>
      <c r="X682" s="1549"/>
      <c r="Y682" s="1549"/>
      <c r="Z682" s="1549"/>
      <c r="AA682" s="1549"/>
      <c r="AB682" s="1549"/>
      <c r="AC682" s="1549"/>
      <c r="AD682" s="1549"/>
      <c r="AE682" s="1549"/>
      <c r="AF682" s="1549"/>
      <c r="AG682" s="1549"/>
      <c r="AH682" s="1549"/>
    </row>
    <row r="683" spans="1:34" ht="12.75" customHeight="1" x14ac:dyDescent="0.2">
      <c r="A683" s="1549"/>
      <c r="B683" s="1549"/>
      <c r="C683" s="1549"/>
      <c r="D683" s="1549"/>
      <c r="E683" s="1549"/>
      <c r="F683" s="1549"/>
      <c r="G683" s="1549"/>
      <c r="H683" s="1549"/>
      <c r="I683" s="1549"/>
      <c r="J683" s="1549"/>
      <c r="K683" s="1549"/>
      <c r="L683" s="1549"/>
      <c r="M683" s="1549"/>
      <c r="N683" s="1549"/>
      <c r="O683" s="1549"/>
      <c r="P683" s="1549"/>
      <c r="Q683" s="1549"/>
      <c r="R683" s="1549"/>
      <c r="S683" s="1549"/>
      <c r="T683" s="1549"/>
      <c r="U683" s="1549"/>
      <c r="V683" s="1549"/>
      <c r="W683" s="1549"/>
      <c r="X683" s="1549"/>
      <c r="Y683" s="1549"/>
      <c r="Z683" s="1549"/>
      <c r="AA683" s="1549"/>
      <c r="AB683" s="1549"/>
      <c r="AC683" s="1549"/>
      <c r="AD683" s="1549"/>
      <c r="AE683" s="1549"/>
      <c r="AF683" s="1549"/>
      <c r="AG683" s="1549"/>
      <c r="AH683" s="1549"/>
    </row>
    <row r="684" spans="1:34" ht="12.75" customHeight="1" x14ac:dyDescent="0.2">
      <c r="A684" s="1549"/>
      <c r="B684" s="1549"/>
      <c r="C684" s="1549"/>
      <c r="D684" s="1549"/>
      <c r="E684" s="1549"/>
      <c r="F684" s="1549"/>
      <c r="G684" s="1549"/>
      <c r="H684" s="1549"/>
      <c r="I684" s="1549"/>
      <c r="J684" s="1549"/>
      <c r="K684" s="1549"/>
      <c r="L684" s="1549"/>
      <c r="M684" s="1549"/>
      <c r="N684" s="1549"/>
      <c r="O684" s="1549"/>
      <c r="P684" s="1549"/>
      <c r="Q684" s="1549"/>
      <c r="R684" s="1549"/>
      <c r="S684" s="1549"/>
      <c r="T684" s="1549"/>
      <c r="U684" s="1549"/>
      <c r="V684" s="1549"/>
      <c r="W684" s="1549"/>
      <c r="X684" s="1549"/>
      <c r="Y684" s="1549"/>
      <c r="Z684" s="1549"/>
      <c r="AA684" s="1549"/>
      <c r="AB684" s="1549"/>
      <c r="AC684" s="1549"/>
      <c r="AD684" s="1549"/>
      <c r="AE684" s="1549"/>
      <c r="AF684" s="1549"/>
      <c r="AG684" s="1549"/>
      <c r="AH684" s="1549"/>
    </row>
    <row r="685" spans="1:34" ht="12.75" customHeight="1" x14ac:dyDescent="0.2">
      <c r="A685" s="1549"/>
      <c r="B685" s="1549"/>
      <c r="C685" s="1549"/>
      <c r="D685" s="1549"/>
      <c r="E685" s="1549"/>
      <c r="F685" s="1549"/>
      <c r="G685" s="1549"/>
      <c r="H685" s="1549"/>
      <c r="I685" s="1549"/>
      <c r="J685" s="1549"/>
      <c r="K685" s="1549"/>
      <c r="L685" s="1549"/>
      <c r="M685" s="1549"/>
      <c r="N685" s="1549"/>
      <c r="O685" s="1549"/>
      <c r="P685" s="1549"/>
      <c r="Q685" s="1549"/>
      <c r="R685" s="1549"/>
      <c r="S685" s="1549"/>
      <c r="T685" s="1549"/>
      <c r="U685" s="1549"/>
      <c r="V685" s="1549"/>
      <c r="W685" s="1549"/>
      <c r="X685" s="1549"/>
      <c r="Y685" s="1549"/>
      <c r="Z685" s="1549"/>
      <c r="AA685" s="1549"/>
      <c r="AB685" s="1549"/>
      <c r="AC685" s="1549"/>
      <c r="AD685" s="1549"/>
      <c r="AE685" s="1549"/>
      <c r="AF685" s="1549"/>
      <c r="AG685" s="1549"/>
      <c r="AH685" s="1549"/>
    </row>
    <row r="686" spans="1:34" ht="12.75" customHeight="1" x14ac:dyDescent="0.2">
      <c r="A686" s="1549"/>
      <c r="B686" s="1549"/>
      <c r="C686" s="1549"/>
      <c r="D686" s="1549"/>
      <c r="E686" s="1549"/>
      <c r="F686" s="1549"/>
      <c r="G686" s="1549"/>
      <c r="H686" s="1549"/>
      <c r="I686" s="1549"/>
      <c r="J686" s="1549"/>
      <c r="K686" s="1549"/>
      <c r="L686" s="1549"/>
      <c r="M686" s="1549"/>
      <c r="N686" s="1549"/>
      <c r="O686" s="1549"/>
      <c r="P686" s="1549"/>
      <c r="Q686" s="1549"/>
      <c r="R686" s="1549"/>
      <c r="S686" s="1549"/>
      <c r="T686" s="1549"/>
      <c r="U686" s="1549"/>
      <c r="V686" s="1549"/>
      <c r="W686" s="1549"/>
      <c r="X686" s="1549"/>
      <c r="Y686" s="1549"/>
      <c r="Z686" s="1549"/>
      <c r="AA686" s="1549"/>
      <c r="AB686" s="1549"/>
      <c r="AC686" s="1549"/>
      <c r="AD686" s="1549"/>
      <c r="AE686" s="1549"/>
      <c r="AF686" s="1549"/>
      <c r="AG686" s="1549"/>
      <c r="AH686" s="1549"/>
    </row>
    <row r="687" spans="1:34" ht="12.75" customHeight="1" x14ac:dyDescent="0.2">
      <c r="A687" s="1549"/>
      <c r="B687" s="1549"/>
      <c r="C687" s="1549"/>
      <c r="D687" s="1549"/>
      <c r="E687" s="1549"/>
      <c r="F687" s="1549"/>
      <c r="G687" s="1549"/>
      <c r="H687" s="1549"/>
      <c r="I687" s="1549"/>
      <c r="J687" s="1549"/>
      <c r="K687" s="1549"/>
      <c r="L687" s="1549"/>
      <c r="M687" s="1549"/>
      <c r="N687" s="1549"/>
      <c r="O687" s="1549"/>
      <c r="P687" s="1549"/>
      <c r="Q687" s="1549"/>
      <c r="R687" s="1549"/>
      <c r="S687" s="1549"/>
      <c r="T687" s="1549"/>
      <c r="U687" s="1549"/>
      <c r="V687" s="1549"/>
      <c r="W687" s="1549"/>
      <c r="X687" s="1549"/>
      <c r="Y687" s="1549"/>
      <c r="Z687" s="1549"/>
      <c r="AA687" s="1549"/>
      <c r="AB687" s="1549"/>
      <c r="AC687" s="1549"/>
      <c r="AD687" s="1549"/>
      <c r="AE687" s="1549"/>
      <c r="AF687" s="1549"/>
      <c r="AG687" s="1549"/>
      <c r="AH687" s="1549"/>
    </row>
    <row r="688" spans="1:34" ht="12.75" customHeight="1" x14ac:dyDescent="0.2">
      <c r="A688" s="1549"/>
      <c r="B688" s="1549"/>
      <c r="C688" s="1549"/>
      <c r="D688" s="1549"/>
      <c r="E688" s="1549"/>
      <c r="F688" s="1549"/>
      <c r="G688" s="1549"/>
      <c r="H688" s="1549"/>
      <c r="I688" s="1549"/>
      <c r="J688" s="1549"/>
      <c r="K688" s="1549"/>
      <c r="L688" s="1549"/>
      <c r="M688" s="1549"/>
      <c r="N688" s="1549"/>
      <c r="O688" s="1549"/>
      <c r="P688" s="1549"/>
      <c r="Q688" s="1549"/>
      <c r="R688" s="1549"/>
      <c r="S688" s="1549"/>
      <c r="T688" s="1549"/>
      <c r="U688" s="1549"/>
      <c r="V688" s="1549"/>
      <c r="W688" s="1549"/>
      <c r="X688" s="1549"/>
      <c r="Y688" s="1549"/>
      <c r="Z688" s="1549"/>
      <c r="AA688" s="1549"/>
      <c r="AB688" s="1549"/>
      <c r="AC688" s="1549"/>
      <c r="AD688" s="1549"/>
      <c r="AE688" s="1549"/>
      <c r="AF688" s="1549"/>
      <c r="AG688" s="1549"/>
      <c r="AH688" s="1549"/>
    </row>
    <row r="689" spans="1:34" ht="12.75" customHeight="1" x14ac:dyDescent="0.2">
      <c r="A689" s="1549"/>
      <c r="B689" s="1549"/>
      <c r="C689" s="1549"/>
      <c r="D689" s="1549"/>
      <c r="E689" s="1549"/>
      <c r="F689" s="1549"/>
      <c r="G689" s="1549"/>
      <c r="H689" s="1549"/>
      <c r="I689" s="1549"/>
      <c r="J689" s="1549"/>
      <c r="K689" s="1549"/>
      <c r="L689" s="1549"/>
      <c r="M689" s="1549"/>
      <c r="N689" s="1549"/>
      <c r="O689" s="1549"/>
      <c r="P689" s="1549"/>
      <c r="Q689" s="1549"/>
      <c r="R689" s="1549"/>
      <c r="S689" s="1549"/>
      <c r="T689" s="1549"/>
      <c r="U689" s="1549"/>
      <c r="V689" s="1549"/>
      <c r="W689" s="1549"/>
      <c r="X689" s="1549"/>
      <c r="Y689" s="1549"/>
      <c r="Z689" s="1549"/>
      <c r="AA689" s="1549"/>
      <c r="AB689" s="1549"/>
      <c r="AC689" s="1549"/>
      <c r="AD689" s="1549"/>
      <c r="AE689" s="1549"/>
      <c r="AF689" s="1549"/>
      <c r="AG689" s="1549"/>
      <c r="AH689" s="1549"/>
    </row>
    <row r="690" spans="1:34" ht="12.75" customHeight="1" x14ac:dyDescent="0.2">
      <c r="A690" s="1549"/>
      <c r="B690" s="1549"/>
      <c r="C690" s="1549"/>
      <c r="D690" s="1549"/>
      <c r="E690" s="1549"/>
      <c r="F690" s="1549"/>
      <c r="G690" s="1549"/>
      <c r="H690" s="1549"/>
      <c r="I690" s="1549"/>
      <c r="J690" s="1549"/>
      <c r="K690" s="1549"/>
      <c r="L690" s="1549"/>
      <c r="M690" s="1549"/>
      <c r="N690" s="1549"/>
      <c r="O690" s="1549"/>
      <c r="P690" s="1549"/>
      <c r="Q690" s="1549"/>
      <c r="R690" s="1549"/>
      <c r="S690" s="1549"/>
      <c r="T690" s="1549"/>
      <c r="U690" s="1549"/>
      <c r="V690" s="1549"/>
      <c r="W690" s="1549"/>
      <c r="X690" s="1549"/>
      <c r="Y690" s="1549"/>
      <c r="Z690" s="1549"/>
      <c r="AA690" s="1549"/>
      <c r="AB690" s="1549"/>
      <c r="AC690" s="1549"/>
      <c r="AD690" s="1549"/>
      <c r="AE690" s="1549"/>
      <c r="AF690" s="1549"/>
      <c r="AG690" s="1549"/>
      <c r="AH690" s="1549"/>
    </row>
    <row r="691" spans="1:34" ht="12.75" customHeight="1" x14ac:dyDescent="0.2">
      <c r="A691" s="1549"/>
      <c r="B691" s="1549"/>
      <c r="C691" s="1549"/>
      <c r="D691" s="1549"/>
      <c r="E691" s="1549"/>
      <c r="F691" s="1549"/>
      <c r="G691" s="1549"/>
      <c r="H691" s="1549"/>
      <c r="I691" s="1549"/>
      <c r="J691" s="1549"/>
      <c r="K691" s="1549"/>
      <c r="L691" s="1549"/>
      <c r="M691" s="1549"/>
      <c r="N691" s="1549"/>
      <c r="O691" s="1549"/>
      <c r="P691" s="1549"/>
      <c r="Q691" s="1549"/>
      <c r="R691" s="1549"/>
      <c r="S691" s="1549"/>
      <c r="T691" s="1549"/>
      <c r="U691" s="1549"/>
      <c r="V691" s="1549"/>
      <c r="W691" s="1549"/>
      <c r="X691" s="1549"/>
      <c r="Y691" s="1549"/>
      <c r="Z691" s="1549"/>
      <c r="AA691" s="1549"/>
      <c r="AB691" s="1549"/>
      <c r="AC691" s="1549"/>
      <c r="AD691" s="1549"/>
      <c r="AE691" s="1549"/>
      <c r="AF691" s="1549"/>
      <c r="AG691" s="1549"/>
      <c r="AH691" s="1549"/>
    </row>
    <row r="692" spans="1:34" ht="12.75" customHeight="1" x14ac:dyDescent="0.2">
      <c r="A692" s="1549"/>
      <c r="B692" s="1549"/>
      <c r="C692" s="1549"/>
      <c r="D692" s="1549"/>
      <c r="E692" s="1549"/>
      <c r="F692" s="1549"/>
      <c r="G692" s="1549"/>
      <c r="H692" s="1549"/>
      <c r="I692" s="1549"/>
      <c r="J692" s="1549"/>
      <c r="K692" s="1549"/>
      <c r="L692" s="1549"/>
      <c r="M692" s="1549"/>
      <c r="N692" s="1549"/>
      <c r="O692" s="1549"/>
      <c r="P692" s="1549"/>
      <c r="Q692" s="1549"/>
      <c r="R692" s="1549"/>
      <c r="S692" s="1549"/>
      <c r="T692" s="1549"/>
      <c r="U692" s="1549"/>
      <c r="V692" s="1549"/>
      <c r="W692" s="1549"/>
      <c r="X692" s="1549"/>
      <c r="Y692" s="1549"/>
      <c r="Z692" s="1549"/>
      <c r="AA692" s="1549"/>
      <c r="AB692" s="1549"/>
      <c r="AC692" s="1549"/>
      <c r="AD692" s="1549"/>
      <c r="AE692" s="1549"/>
      <c r="AF692" s="1549"/>
      <c r="AG692" s="1549"/>
      <c r="AH692" s="1549"/>
    </row>
    <row r="693" spans="1:34" ht="12.75" customHeight="1" x14ac:dyDescent="0.2">
      <c r="A693" s="1549"/>
      <c r="B693" s="1549"/>
      <c r="C693" s="1549"/>
      <c r="D693" s="1549"/>
      <c r="E693" s="1549"/>
      <c r="F693" s="1549"/>
      <c r="G693" s="1549"/>
      <c r="H693" s="1549"/>
      <c r="I693" s="1549"/>
      <c r="J693" s="1549"/>
      <c r="K693" s="1549"/>
      <c r="L693" s="1549"/>
      <c r="M693" s="1549"/>
      <c r="N693" s="1549"/>
      <c r="O693" s="1549"/>
      <c r="P693" s="1549"/>
      <c r="Q693" s="1549"/>
      <c r="R693" s="1549"/>
      <c r="S693" s="1549"/>
      <c r="T693" s="1549"/>
      <c r="U693" s="1549"/>
      <c r="V693" s="1549"/>
      <c r="W693" s="1549"/>
      <c r="X693" s="1549"/>
      <c r="Y693" s="1549"/>
      <c r="Z693" s="1549"/>
      <c r="AA693" s="1549"/>
      <c r="AB693" s="1549"/>
      <c r="AC693" s="1549"/>
      <c r="AD693" s="1549"/>
      <c r="AE693" s="1549"/>
      <c r="AF693" s="1549"/>
      <c r="AG693" s="1549"/>
      <c r="AH693" s="1549"/>
    </row>
    <row r="694" spans="1:34" ht="12.75" customHeight="1" x14ac:dyDescent="0.2">
      <c r="A694" s="1549"/>
      <c r="B694" s="1549"/>
      <c r="C694" s="1549"/>
      <c r="D694" s="1549"/>
      <c r="E694" s="1549"/>
      <c r="F694" s="1549"/>
      <c r="G694" s="1549"/>
      <c r="H694" s="1549"/>
      <c r="I694" s="1549"/>
      <c r="J694" s="1549"/>
      <c r="K694" s="1549"/>
      <c r="L694" s="1549"/>
      <c r="M694" s="1549"/>
      <c r="N694" s="1549"/>
      <c r="O694" s="1549"/>
      <c r="P694" s="1549"/>
      <c r="Q694" s="1549"/>
      <c r="R694" s="1549"/>
      <c r="S694" s="1549"/>
      <c r="T694" s="1549"/>
      <c r="U694" s="1549"/>
      <c r="V694" s="1549"/>
      <c r="W694" s="1549"/>
      <c r="X694" s="1549"/>
      <c r="Y694" s="1549"/>
      <c r="Z694" s="1549"/>
      <c r="AA694" s="1549"/>
      <c r="AB694" s="1549"/>
      <c r="AC694" s="1549"/>
      <c r="AD694" s="1549"/>
      <c r="AE694" s="1549"/>
      <c r="AF694" s="1549"/>
      <c r="AG694" s="1549"/>
      <c r="AH694" s="1549"/>
    </row>
    <row r="695" spans="1:34" ht="12.75" customHeight="1" x14ac:dyDescent="0.2">
      <c r="A695" s="1549"/>
      <c r="B695" s="1549"/>
      <c r="C695" s="1549"/>
      <c r="D695" s="1549"/>
      <c r="E695" s="1549"/>
      <c r="F695" s="1549"/>
      <c r="G695" s="1549"/>
      <c r="H695" s="1549"/>
      <c r="I695" s="1549"/>
      <c r="J695" s="1549"/>
      <c r="K695" s="1549"/>
      <c r="L695" s="1549"/>
      <c r="M695" s="1549"/>
      <c r="N695" s="1549"/>
      <c r="O695" s="1549"/>
      <c r="P695" s="1549"/>
      <c r="Q695" s="1549"/>
      <c r="R695" s="1549"/>
      <c r="S695" s="1549"/>
      <c r="T695" s="1549"/>
      <c r="U695" s="1549"/>
      <c r="V695" s="1549"/>
      <c r="W695" s="1549"/>
      <c r="X695" s="1549"/>
      <c r="Y695" s="1549"/>
      <c r="Z695" s="1549"/>
      <c r="AA695" s="1549"/>
      <c r="AB695" s="1549"/>
      <c r="AC695" s="1549"/>
      <c r="AD695" s="1549"/>
      <c r="AE695" s="1549"/>
      <c r="AF695" s="1549"/>
      <c r="AG695" s="1549"/>
      <c r="AH695" s="1549"/>
    </row>
    <row r="696" spans="1:34" ht="12.75" customHeight="1" x14ac:dyDescent="0.2">
      <c r="A696" s="1549"/>
      <c r="B696" s="1549"/>
      <c r="C696" s="1549"/>
      <c r="D696" s="1549"/>
      <c r="E696" s="1549"/>
      <c r="F696" s="1549"/>
      <c r="G696" s="1549"/>
      <c r="H696" s="1549"/>
      <c r="I696" s="1549"/>
      <c r="J696" s="1549"/>
      <c r="K696" s="1549"/>
      <c r="L696" s="1549"/>
      <c r="M696" s="1549"/>
      <c r="N696" s="1549"/>
      <c r="O696" s="1549"/>
      <c r="P696" s="1549"/>
      <c r="Q696" s="1549"/>
      <c r="R696" s="1549"/>
      <c r="S696" s="1549"/>
      <c r="T696" s="1549"/>
      <c r="U696" s="1549"/>
      <c r="V696" s="1549"/>
      <c r="W696" s="1549"/>
      <c r="X696" s="1549"/>
      <c r="Y696" s="1549"/>
      <c r="Z696" s="1549"/>
      <c r="AA696" s="1549"/>
      <c r="AB696" s="1549"/>
      <c r="AC696" s="1549"/>
      <c r="AD696" s="1549"/>
      <c r="AE696" s="1549"/>
      <c r="AF696" s="1549"/>
      <c r="AG696" s="1549"/>
      <c r="AH696" s="1549"/>
    </row>
    <row r="697" spans="1:34" ht="12.75" customHeight="1" x14ac:dyDescent="0.2">
      <c r="A697" s="1549"/>
      <c r="B697" s="1549"/>
      <c r="C697" s="1549"/>
      <c r="D697" s="1549"/>
      <c r="E697" s="1549"/>
      <c r="F697" s="1549"/>
      <c r="G697" s="1549"/>
      <c r="H697" s="1549"/>
      <c r="I697" s="1549"/>
      <c r="J697" s="1549"/>
      <c r="K697" s="1549"/>
      <c r="L697" s="1549"/>
      <c r="M697" s="1549"/>
      <c r="N697" s="1549"/>
      <c r="O697" s="1549"/>
      <c r="P697" s="1549"/>
      <c r="Q697" s="1549"/>
      <c r="R697" s="1549"/>
      <c r="S697" s="1549"/>
      <c r="T697" s="1549"/>
      <c r="U697" s="1549"/>
      <c r="V697" s="1549"/>
      <c r="W697" s="1549"/>
      <c r="X697" s="1549"/>
      <c r="Y697" s="1549"/>
      <c r="Z697" s="1549"/>
      <c r="AA697" s="1549"/>
      <c r="AB697" s="1549"/>
      <c r="AC697" s="1549"/>
      <c r="AD697" s="1549"/>
      <c r="AE697" s="1549"/>
      <c r="AF697" s="1549"/>
      <c r="AG697" s="1549"/>
      <c r="AH697" s="1549"/>
    </row>
    <row r="698" spans="1:34" ht="12.75" customHeight="1" x14ac:dyDescent="0.2">
      <c r="A698" s="1549"/>
      <c r="B698" s="1549"/>
      <c r="C698" s="1549"/>
      <c r="D698" s="1549"/>
      <c r="E698" s="1549"/>
      <c r="F698" s="1549"/>
      <c r="G698" s="1549"/>
      <c r="H698" s="1549"/>
      <c r="I698" s="1549"/>
      <c r="J698" s="1549"/>
      <c r="K698" s="1549"/>
      <c r="L698" s="1549"/>
      <c r="M698" s="1549"/>
      <c r="N698" s="1549"/>
      <c r="O698" s="1549"/>
      <c r="P698" s="1549"/>
      <c r="Q698" s="1549"/>
      <c r="R698" s="1549"/>
      <c r="S698" s="1549"/>
      <c r="T698" s="1549"/>
      <c r="U698" s="1549"/>
      <c r="V698" s="1549"/>
      <c r="W698" s="1549"/>
      <c r="X698" s="1549"/>
      <c r="Y698" s="1549"/>
      <c r="Z698" s="1549"/>
      <c r="AA698" s="1549"/>
      <c r="AB698" s="1549"/>
      <c r="AC698" s="1549"/>
      <c r="AD698" s="1549"/>
      <c r="AE698" s="1549"/>
      <c r="AF698" s="1549"/>
      <c r="AG698" s="1549"/>
      <c r="AH698" s="1549"/>
    </row>
    <row r="699" spans="1:34" ht="12.75" customHeight="1" x14ac:dyDescent="0.2">
      <c r="A699" s="1549"/>
      <c r="B699" s="1549"/>
      <c r="C699" s="1549"/>
      <c r="D699" s="1549"/>
      <c r="E699" s="1549"/>
      <c r="F699" s="1549"/>
      <c r="G699" s="1549"/>
      <c r="H699" s="1549"/>
      <c r="I699" s="1549"/>
      <c r="J699" s="1549"/>
      <c r="K699" s="1549"/>
      <c r="L699" s="1549"/>
      <c r="M699" s="1549"/>
      <c r="N699" s="1549"/>
      <c r="O699" s="1549"/>
      <c r="P699" s="1549"/>
      <c r="Q699" s="1549"/>
      <c r="R699" s="1549"/>
      <c r="S699" s="1549"/>
      <c r="T699" s="1549"/>
      <c r="U699" s="1549"/>
      <c r="V699" s="1549"/>
      <c r="W699" s="1549"/>
      <c r="X699" s="1549"/>
      <c r="Y699" s="1549"/>
      <c r="Z699" s="1549"/>
      <c r="AA699" s="1549"/>
      <c r="AB699" s="1549"/>
      <c r="AC699" s="1549"/>
      <c r="AD699" s="1549"/>
      <c r="AE699" s="1549"/>
      <c r="AF699" s="1549"/>
      <c r="AG699" s="1549"/>
      <c r="AH699" s="1549"/>
    </row>
    <row r="700" spans="1:34" ht="12.75" customHeight="1" x14ac:dyDescent="0.2">
      <c r="A700" s="1549"/>
      <c r="B700" s="1549"/>
      <c r="C700" s="1549"/>
      <c r="D700" s="1549"/>
      <c r="E700" s="1549"/>
      <c r="F700" s="1549"/>
      <c r="G700" s="1549"/>
      <c r="H700" s="1549"/>
      <c r="I700" s="1549"/>
      <c r="J700" s="1549"/>
      <c r="K700" s="1549"/>
      <c r="L700" s="1549"/>
      <c r="M700" s="1549"/>
      <c r="N700" s="1549"/>
      <c r="O700" s="1549"/>
      <c r="P700" s="1549"/>
      <c r="Q700" s="1549"/>
      <c r="R700" s="1549"/>
      <c r="S700" s="1549"/>
      <c r="T700" s="1549"/>
      <c r="U700" s="1549"/>
      <c r="V700" s="1549"/>
      <c r="W700" s="1549"/>
      <c r="X700" s="1549"/>
      <c r="Y700" s="1549"/>
      <c r="Z700" s="1549"/>
      <c r="AA700" s="1549"/>
      <c r="AB700" s="1549"/>
      <c r="AC700" s="1549"/>
      <c r="AD700" s="1549"/>
      <c r="AE700" s="1549"/>
      <c r="AF700" s="1549"/>
      <c r="AG700" s="1549"/>
      <c r="AH700" s="1549"/>
    </row>
    <row r="701" spans="1:34" ht="12.75" customHeight="1" x14ac:dyDescent="0.2">
      <c r="A701" s="1549"/>
      <c r="B701" s="1549"/>
      <c r="C701" s="1549"/>
      <c r="D701" s="1549"/>
      <c r="E701" s="1549"/>
      <c r="F701" s="1549"/>
      <c r="G701" s="1549"/>
      <c r="H701" s="1549"/>
      <c r="I701" s="1549"/>
      <c r="J701" s="1549"/>
      <c r="K701" s="1549"/>
      <c r="L701" s="1549"/>
      <c r="M701" s="1549"/>
      <c r="N701" s="1549"/>
      <c r="O701" s="1549"/>
      <c r="P701" s="1549"/>
      <c r="Q701" s="1549"/>
      <c r="R701" s="1549"/>
      <c r="S701" s="1549"/>
      <c r="T701" s="1549"/>
      <c r="U701" s="1549"/>
      <c r="V701" s="1549"/>
      <c r="W701" s="1549"/>
      <c r="X701" s="1549"/>
      <c r="Y701" s="1549"/>
      <c r="Z701" s="1549"/>
      <c r="AA701" s="1549"/>
      <c r="AB701" s="1549"/>
      <c r="AC701" s="1549"/>
      <c r="AD701" s="1549"/>
      <c r="AE701" s="1549"/>
      <c r="AF701" s="1549"/>
      <c r="AG701" s="1549"/>
      <c r="AH701" s="1549"/>
    </row>
    <row r="702" spans="1:34" ht="12.75" customHeight="1" x14ac:dyDescent="0.2">
      <c r="A702" s="1549"/>
      <c r="B702" s="1549"/>
      <c r="C702" s="1549"/>
      <c r="D702" s="1549"/>
      <c r="E702" s="1549"/>
      <c r="F702" s="1549"/>
      <c r="G702" s="1549"/>
      <c r="H702" s="1549"/>
      <c r="I702" s="1549"/>
      <c r="J702" s="1549"/>
      <c r="K702" s="1549"/>
      <c r="L702" s="1549"/>
      <c r="M702" s="1549"/>
      <c r="N702" s="1549"/>
      <c r="O702" s="1549"/>
      <c r="P702" s="1549"/>
      <c r="Q702" s="1549"/>
      <c r="R702" s="1549"/>
      <c r="S702" s="1549"/>
      <c r="T702" s="1549"/>
      <c r="U702" s="1549"/>
      <c r="V702" s="1549"/>
      <c r="W702" s="1549"/>
      <c r="X702" s="1549"/>
      <c r="Y702" s="1549"/>
      <c r="Z702" s="1549"/>
      <c r="AA702" s="1549"/>
      <c r="AB702" s="1549"/>
      <c r="AC702" s="1549"/>
      <c r="AD702" s="1549"/>
      <c r="AE702" s="1549"/>
      <c r="AF702" s="1549"/>
      <c r="AG702" s="1549"/>
      <c r="AH702" s="1549"/>
    </row>
    <row r="703" spans="1:34" ht="12.75" customHeight="1" x14ac:dyDescent="0.2">
      <c r="A703" s="1549"/>
      <c r="B703" s="1549"/>
      <c r="C703" s="1549"/>
      <c r="D703" s="1549"/>
      <c r="E703" s="1549"/>
      <c r="F703" s="1549"/>
      <c r="G703" s="1549"/>
      <c r="H703" s="1549"/>
      <c r="I703" s="1549"/>
      <c r="J703" s="1549"/>
      <c r="K703" s="1549"/>
      <c r="L703" s="1549"/>
      <c r="M703" s="1549"/>
      <c r="N703" s="1549"/>
      <c r="O703" s="1549"/>
      <c r="P703" s="1549"/>
      <c r="Q703" s="1549"/>
      <c r="R703" s="1549"/>
      <c r="S703" s="1549"/>
      <c r="T703" s="1549"/>
      <c r="U703" s="1549"/>
      <c r="V703" s="1549"/>
      <c r="W703" s="1549"/>
      <c r="X703" s="1549"/>
      <c r="Y703" s="1549"/>
      <c r="Z703" s="1549"/>
      <c r="AA703" s="1549"/>
      <c r="AB703" s="1549"/>
      <c r="AC703" s="1549"/>
      <c r="AD703" s="1549"/>
      <c r="AE703" s="1549"/>
      <c r="AF703" s="1549"/>
      <c r="AG703" s="1549"/>
      <c r="AH703" s="1549"/>
    </row>
    <row r="704" spans="1:34" ht="12.75" customHeight="1" x14ac:dyDescent="0.2">
      <c r="A704" s="1549"/>
      <c r="B704" s="1549"/>
      <c r="C704" s="1549"/>
      <c r="D704" s="1549"/>
      <c r="E704" s="1549"/>
      <c r="F704" s="1549"/>
      <c r="G704" s="1549"/>
      <c r="H704" s="1549"/>
      <c r="I704" s="1549"/>
      <c r="J704" s="1549"/>
      <c r="K704" s="1549"/>
      <c r="L704" s="1549"/>
      <c r="M704" s="1549"/>
      <c r="N704" s="1549"/>
      <c r="O704" s="1549"/>
      <c r="P704" s="1549"/>
      <c r="Q704" s="1549"/>
      <c r="R704" s="1549"/>
      <c r="S704" s="1549"/>
      <c r="T704" s="1549"/>
      <c r="U704" s="1549"/>
      <c r="V704" s="1549"/>
      <c r="W704" s="1549"/>
      <c r="X704" s="1549"/>
      <c r="Y704" s="1549"/>
      <c r="Z704" s="1549"/>
      <c r="AA704" s="1549"/>
      <c r="AB704" s="1549"/>
      <c r="AC704" s="1549"/>
      <c r="AD704" s="1549"/>
      <c r="AE704" s="1549"/>
      <c r="AF704" s="1549"/>
      <c r="AG704" s="1549"/>
      <c r="AH704" s="1549"/>
    </row>
    <row r="705" spans="1:34" ht="12.75" customHeight="1" x14ac:dyDescent="0.2">
      <c r="A705" s="1549"/>
      <c r="B705" s="1549"/>
      <c r="C705" s="1549"/>
      <c r="D705" s="1549"/>
      <c r="E705" s="1549"/>
      <c r="F705" s="1549"/>
      <c r="G705" s="1549"/>
      <c r="H705" s="1549"/>
      <c r="I705" s="1549"/>
      <c r="J705" s="1549"/>
      <c r="K705" s="1549"/>
      <c r="L705" s="1549"/>
      <c r="M705" s="1549"/>
      <c r="N705" s="1549"/>
      <c r="O705" s="1549"/>
      <c r="P705" s="1549"/>
      <c r="Q705" s="1549"/>
      <c r="R705" s="1549"/>
      <c r="S705" s="1549"/>
      <c r="T705" s="1549"/>
      <c r="U705" s="1549"/>
      <c r="V705" s="1549"/>
      <c r="W705" s="1549"/>
      <c r="X705" s="1549"/>
      <c r="Y705" s="1549"/>
      <c r="Z705" s="1549"/>
      <c r="AA705" s="1549"/>
      <c r="AB705" s="1549"/>
      <c r="AC705" s="1549"/>
      <c r="AD705" s="1549"/>
      <c r="AE705" s="1549"/>
      <c r="AF705" s="1549"/>
      <c r="AG705" s="1549"/>
      <c r="AH705" s="1549"/>
    </row>
    <row r="706" spans="1:34" ht="12.75" customHeight="1" x14ac:dyDescent="0.2">
      <c r="A706" s="1549"/>
      <c r="B706" s="1549"/>
      <c r="C706" s="1549"/>
      <c r="D706" s="1549"/>
      <c r="E706" s="1549"/>
      <c r="F706" s="1549"/>
      <c r="G706" s="1549"/>
      <c r="H706" s="1549"/>
      <c r="I706" s="1549"/>
      <c r="J706" s="1549"/>
      <c r="K706" s="1549"/>
      <c r="L706" s="1549"/>
      <c r="M706" s="1549"/>
      <c r="N706" s="1549"/>
      <c r="O706" s="1549"/>
      <c r="P706" s="1549"/>
      <c r="Q706" s="1549"/>
      <c r="R706" s="1549"/>
      <c r="S706" s="1549"/>
      <c r="T706" s="1549"/>
      <c r="U706" s="1549"/>
      <c r="V706" s="1549"/>
      <c r="W706" s="1549"/>
      <c r="X706" s="1549"/>
      <c r="Y706" s="1549"/>
      <c r="Z706" s="1549"/>
      <c r="AA706" s="1549"/>
      <c r="AB706" s="1549"/>
      <c r="AC706" s="1549"/>
      <c r="AD706" s="1549"/>
      <c r="AE706" s="1549"/>
      <c r="AF706" s="1549"/>
      <c r="AG706" s="1549"/>
      <c r="AH706" s="1549"/>
    </row>
    <row r="707" spans="1:34" ht="12.75" customHeight="1" x14ac:dyDescent="0.2">
      <c r="A707" s="1549"/>
      <c r="B707" s="1549"/>
      <c r="C707" s="1549"/>
      <c r="D707" s="1549"/>
      <c r="E707" s="1549"/>
      <c r="F707" s="1549"/>
      <c r="G707" s="1549"/>
      <c r="H707" s="1549"/>
      <c r="I707" s="1549"/>
      <c r="J707" s="1549"/>
      <c r="K707" s="1549"/>
      <c r="L707" s="1549"/>
      <c r="M707" s="1549"/>
      <c r="N707" s="1549"/>
      <c r="O707" s="1549"/>
      <c r="P707" s="1549"/>
      <c r="Q707" s="1549"/>
      <c r="R707" s="1549"/>
      <c r="S707" s="1549"/>
      <c r="T707" s="1549"/>
      <c r="U707" s="1549"/>
      <c r="V707" s="1549"/>
      <c r="W707" s="1549"/>
      <c r="X707" s="1549"/>
      <c r="Y707" s="1549"/>
      <c r="Z707" s="1549"/>
      <c r="AA707" s="1549"/>
      <c r="AB707" s="1549"/>
      <c r="AC707" s="1549"/>
      <c r="AD707" s="1549"/>
      <c r="AE707" s="1549"/>
      <c r="AF707" s="1549"/>
      <c r="AG707" s="1549"/>
      <c r="AH707" s="1549"/>
    </row>
    <row r="708" spans="1:34" ht="12.75" customHeight="1" x14ac:dyDescent="0.2">
      <c r="A708" s="1549"/>
      <c r="B708" s="1549"/>
      <c r="C708" s="1549"/>
      <c r="D708" s="1549"/>
      <c r="E708" s="1549"/>
      <c r="F708" s="1549"/>
      <c r="G708" s="1549"/>
      <c r="H708" s="1549"/>
      <c r="I708" s="1549"/>
      <c r="J708" s="1549"/>
      <c r="K708" s="1549"/>
      <c r="L708" s="1549"/>
      <c r="M708" s="1549"/>
      <c r="N708" s="1549"/>
      <c r="O708" s="1549"/>
      <c r="P708" s="1549"/>
      <c r="Q708" s="1549"/>
      <c r="R708" s="1549"/>
      <c r="S708" s="1549"/>
      <c r="T708" s="1549"/>
      <c r="U708" s="1549"/>
      <c r="V708" s="1549"/>
      <c r="W708" s="1549"/>
      <c r="X708" s="1549"/>
      <c r="Y708" s="1549"/>
      <c r="Z708" s="1549"/>
      <c r="AA708" s="1549"/>
      <c r="AB708" s="1549"/>
      <c r="AC708" s="1549"/>
      <c r="AD708" s="1549"/>
      <c r="AE708" s="1549"/>
      <c r="AF708" s="1549"/>
      <c r="AG708" s="1549"/>
      <c r="AH708" s="1549"/>
    </row>
    <row r="709" spans="1:34" ht="12.75" customHeight="1" x14ac:dyDescent="0.2">
      <c r="A709" s="1549"/>
      <c r="B709" s="1549"/>
      <c r="C709" s="1549"/>
      <c r="D709" s="1549"/>
      <c r="E709" s="1549"/>
      <c r="F709" s="1549"/>
      <c r="G709" s="1549"/>
      <c r="H709" s="1549"/>
      <c r="I709" s="1549"/>
      <c r="J709" s="1549"/>
      <c r="K709" s="1549"/>
      <c r="L709" s="1549"/>
      <c r="M709" s="1549"/>
      <c r="N709" s="1549"/>
      <c r="O709" s="1549"/>
      <c r="P709" s="1549"/>
      <c r="Q709" s="1549"/>
      <c r="R709" s="1549"/>
      <c r="S709" s="1549"/>
      <c r="T709" s="1549"/>
      <c r="U709" s="1549"/>
      <c r="V709" s="1549"/>
      <c r="W709" s="1549"/>
      <c r="X709" s="1549"/>
      <c r="Y709" s="1549"/>
      <c r="Z709" s="1549"/>
      <c r="AA709" s="1549"/>
      <c r="AB709" s="1549"/>
      <c r="AC709" s="1549"/>
      <c r="AD709" s="1549"/>
      <c r="AE709" s="1549"/>
      <c r="AF709" s="1549"/>
      <c r="AG709" s="1549"/>
      <c r="AH709" s="1549"/>
    </row>
    <row r="710" spans="1:34" ht="12.75" customHeight="1" x14ac:dyDescent="0.2">
      <c r="A710" s="1549"/>
      <c r="B710" s="1549"/>
      <c r="C710" s="1549"/>
      <c r="D710" s="1549"/>
      <c r="E710" s="1549"/>
      <c r="F710" s="1549"/>
      <c r="G710" s="1549"/>
      <c r="H710" s="1549"/>
      <c r="I710" s="1549"/>
      <c r="J710" s="1549"/>
      <c r="K710" s="1549"/>
      <c r="L710" s="1549"/>
      <c r="M710" s="1549"/>
      <c r="N710" s="1549"/>
      <c r="O710" s="1549"/>
      <c r="P710" s="1549"/>
      <c r="Q710" s="1549"/>
      <c r="R710" s="1549"/>
      <c r="S710" s="1549"/>
      <c r="T710" s="1549"/>
      <c r="U710" s="1549"/>
      <c r="V710" s="1549"/>
      <c r="W710" s="1549"/>
      <c r="X710" s="1549"/>
      <c r="Y710" s="1549"/>
      <c r="Z710" s="1549"/>
      <c r="AA710" s="1549"/>
      <c r="AB710" s="1549"/>
      <c r="AC710" s="1549"/>
      <c r="AD710" s="1549"/>
      <c r="AE710" s="1549"/>
      <c r="AF710" s="1549"/>
      <c r="AG710" s="1549"/>
      <c r="AH710" s="1549"/>
    </row>
    <row r="711" spans="1:34" ht="12.75" customHeight="1" x14ac:dyDescent="0.2">
      <c r="A711" s="1549"/>
      <c r="B711" s="1549"/>
      <c r="C711" s="1549"/>
      <c r="D711" s="1549"/>
      <c r="E711" s="1549"/>
      <c r="F711" s="1549"/>
      <c r="G711" s="1549"/>
      <c r="H711" s="1549"/>
      <c r="I711" s="1549"/>
      <c r="J711" s="1549"/>
      <c r="K711" s="1549"/>
      <c r="L711" s="1549"/>
      <c r="M711" s="1549"/>
      <c r="N711" s="1549"/>
      <c r="O711" s="1549"/>
      <c r="P711" s="1549"/>
      <c r="Q711" s="1549"/>
      <c r="R711" s="1549"/>
      <c r="S711" s="1549"/>
      <c r="T711" s="1549"/>
      <c r="U711" s="1549"/>
      <c r="V711" s="1549"/>
      <c r="W711" s="1549"/>
      <c r="X711" s="1549"/>
      <c r="Y711" s="1549"/>
      <c r="Z711" s="1549"/>
      <c r="AA711" s="1549"/>
      <c r="AB711" s="1549"/>
      <c r="AC711" s="1549"/>
      <c r="AD711" s="1549"/>
      <c r="AE711" s="1549"/>
      <c r="AF711" s="1549"/>
      <c r="AG711" s="1549"/>
      <c r="AH711" s="1549"/>
    </row>
    <row r="712" spans="1:34" ht="12.75" customHeight="1" x14ac:dyDescent="0.2">
      <c r="A712" s="1549"/>
      <c r="B712" s="1549"/>
      <c r="C712" s="1549"/>
      <c r="D712" s="1549"/>
      <c r="E712" s="1549"/>
      <c r="F712" s="1549"/>
      <c r="G712" s="1549"/>
      <c r="H712" s="1549"/>
      <c r="I712" s="1549"/>
      <c r="J712" s="1549"/>
      <c r="K712" s="1549"/>
      <c r="L712" s="1549"/>
      <c r="M712" s="1549"/>
      <c r="N712" s="1549"/>
      <c r="O712" s="1549"/>
      <c r="P712" s="1549"/>
      <c r="Q712" s="1549"/>
      <c r="R712" s="1549"/>
      <c r="S712" s="1549"/>
      <c r="T712" s="1549"/>
      <c r="U712" s="1549"/>
      <c r="V712" s="1549"/>
      <c r="W712" s="1549"/>
      <c r="X712" s="1549"/>
      <c r="Y712" s="1549"/>
      <c r="Z712" s="1549"/>
      <c r="AA712" s="1549"/>
      <c r="AB712" s="1549"/>
      <c r="AC712" s="1549"/>
      <c r="AD712" s="1549"/>
      <c r="AE712" s="1549"/>
      <c r="AF712" s="1549"/>
      <c r="AG712" s="1549"/>
      <c r="AH712" s="1549"/>
    </row>
    <row r="713" spans="1:34" ht="12.75" customHeight="1" x14ac:dyDescent="0.2">
      <c r="A713" s="1549"/>
      <c r="B713" s="1549"/>
      <c r="C713" s="1549"/>
      <c r="D713" s="1549"/>
      <c r="E713" s="1549"/>
      <c r="F713" s="1549"/>
      <c r="G713" s="1549"/>
      <c r="H713" s="1549"/>
      <c r="I713" s="1549"/>
      <c r="J713" s="1549"/>
      <c r="K713" s="1549"/>
      <c r="L713" s="1549"/>
      <c r="M713" s="1549"/>
      <c r="N713" s="1549"/>
      <c r="O713" s="1549"/>
      <c r="P713" s="1549"/>
      <c r="Q713" s="1549"/>
      <c r="R713" s="1549"/>
      <c r="S713" s="1549"/>
      <c r="T713" s="1549"/>
      <c r="U713" s="1549"/>
      <c r="V713" s="1549"/>
      <c r="W713" s="1549"/>
      <c r="X713" s="1549"/>
      <c r="Y713" s="1549"/>
      <c r="Z713" s="1549"/>
      <c r="AA713" s="1549"/>
      <c r="AB713" s="1549"/>
      <c r="AC713" s="1549"/>
      <c r="AD713" s="1549"/>
      <c r="AE713" s="1549"/>
      <c r="AF713" s="1549"/>
      <c r="AG713" s="1549"/>
      <c r="AH713" s="1549"/>
    </row>
    <row r="714" spans="1:34" ht="12.75" customHeight="1" x14ac:dyDescent="0.2">
      <c r="A714" s="1549"/>
      <c r="B714" s="1549"/>
      <c r="C714" s="1549"/>
      <c r="D714" s="1549"/>
      <c r="E714" s="1549"/>
      <c r="F714" s="1549"/>
      <c r="G714" s="1549"/>
      <c r="H714" s="1549"/>
      <c r="I714" s="1549"/>
      <c r="J714" s="1549"/>
      <c r="K714" s="1549"/>
      <c r="L714" s="1549"/>
      <c r="M714" s="1549"/>
      <c r="N714" s="1549"/>
      <c r="O714" s="1549"/>
      <c r="P714" s="1549"/>
      <c r="Q714" s="1549"/>
      <c r="R714" s="1549"/>
      <c r="S714" s="1549"/>
      <c r="T714" s="1549"/>
      <c r="U714" s="1549"/>
      <c r="V714" s="1549"/>
      <c r="W714" s="1549"/>
      <c r="X714" s="1549"/>
      <c r="Y714" s="1549"/>
      <c r="Z714" s="1549"/>
      <c r="AA714" s="1549"/>
      <c r="AB714" s="1549"/>
      <c r="AC714" s="1549"/>
      <c r="AD714" s="1549"/>
      <c r="AE714" s="1549"/>
      <c r="AF714" s="1549"/>
      <c r="AG714" s="1549"/>
      <c r="AH714" s="1549"/>
    </row>
    <row r="715" spans="1:34" ht="12.75" customHeight="1" x14ac:dyDescent="0.2">
      <c r="A715" s="1549"/>
      <c r="B715" s="1549"/>
      <c r="C715" s="1549"/>
      <c r="D715" s="1549"/>
      <c r="E715" s="1549"/>
      <c r="F715" s="1549"/>
      <c r="G715" s="1549"/>
      <c r="H715" s="1549"/>
      <c r="I715" s="1549"/>
      <c r="J715" s="1549"/>
      <c r="K715" s="1549"/>
      <c r="L715" s="1549"/>
      <c r="M715" s="1549"/>
      <c r="N715" s="1549"/>
      <c r="O715" s="1549"/>
      <c r="P715" s="1549"/>
      <c r="Q715" s="1549"/>
      <c r="R715" s="1549"/>
      <c r="S715" s="1549"/>
      <c r="T715" s="1549"/>
      <c r="U715" s="1549"/>
      <c r="V715" s="1549"/>
      <c r="W715" s="1549"/>
      <c r="X715" s="1549"/>
      <c r="Y715" s="1549"/>
      <c r="Z715" s="1549"/>
      <c r="AA715" s="1549"/>
      <c r="AB715" s="1549"/>
      <c r="AC715" s="1549"/>
      <c r="AD715" s="1549"/>
      <c r="AE715" s="1549"/>
      <c r="AF715" s="1549"/>
      <c r="AG715" s="1549"/>
      <c r="AH715" s="1549"/>
    </row>
    <row r="716" spans="1:34" ht="12.75" customHeight="1" x14ac:dyDescent="0.2">
      <c r="A716" s="1549"/>
      <c r="B716" s="1549"/>
      <c r="C716" s="1549"/>
      <c r="D716" s="1549"/>
      <c r="E716" s="1549"/>
      <c r="F716" s="1549"/>
      <c r="G716" s="1549"/>
      <c r="H716" s="1549"/>
      <c r="I716" s="1549"/>
      <c r="J716" s="1549"/>
      <c r="K716" s="1549"/>
      <c r="L716" s="1549"/>
      <c r="M716" s="1549"/>
      <c r="N716" s="1549"/>
      <c r="O716" s="1549"/>
      <c r="P716" s="1549"/>
      <c r="Q716" s="1549"/>
      <c r="R716" s="1549"/>
      <c r="S716" s="1549"/>
      <c r="T716" s="1549"/>
      <c r="U716" s="1549"/>
      <c r="V716" s="1549"/>
      <c r="W716" s="1549"/>
      <c r="X716" s="1549"/>
      <c r="Y716" s="1549"/>
      <c r="Z716" s="1549"/>
      <c r="AA716" s="1549"/>
      <c r="AB716" s="1549"/>
      <c r="AC716" s="1549"/>
      <c r="AD716" s="1549"/>
      <c r="AE716" s="1549"/>
      <c r="AF716" s="1549"/>
      <c r="AG716" s="1549"/>
      <c r="AH716" s="1549"/>
    </row>
    <row r="717" spans="1:34" ht="12.75" customHeight="1" x14ac:dyDescent="0.2">
      <c r="A717" s="1549"/>
      <c r="B717" s="1549"/>
      <c r="C717" s="1549"/>
      <c r="D717" s="1549"/>
      <c r="E717" s="1549"/>
      <c r="F717" s="1549"/>
      <c r="G717" s="1549"/>
      <c r="H717" s="1549"/>
      <c r="I717" s="1549"/>
      <c r="J717" s="1549"/>
      <c r="K717" s="1549"/>
      <c r="L717" s="1549"/>
      <c r="M717" s="1549"/>
      <c r="N717" s="1549"/>
      <c r="O717" s="1549"/>
      <c r="P717" s="1549"/>
      <c r="Q717" s="1549"/>
      <c r="R717" s="1549"/>
      <c r="S717" s="1549"/>
      <c r="T717" s="1549"/>
      <c r="U717" s="1549"/>
      <c r="V717" s="1549"/>
      <c r="W717" s="1549"/>
      <c r="X717" s="1549"/>
      <c r="Y717" s="1549"/>
      <c r="Z717" s="1549"/>
      <c r="AA717" s="1549"/>
      <c r="AB717" s="1549"/>
      <c r="AC717" s="1549"/>
      <c r="AD717" s="1549"/>
      <c r="AE717" s="1549"/>
      <c r="AF717" s="1549"/>
      <c r="AG717" s="1549"/>
      <c r="AH717" s="1549"/>
    </row>
    <row r="718" spans="1:34" ht="12.75" customHeight="1" x14ac:dyDescent="0.2">
      <c r="A718" s="1549"/>
      <c r="B718" s="1549"/>
      <c r="C718" s="1549"/>
      <c r="D718" s="1549"/>
      <c r="E718" s="1549"/>
      <c r="F718" s="1549"/>
      <c r="G718" s="1549"/>
      <c r="H718" s="1549"/>
      <c r="I718" s="1549"/>
      <c r="J718" s="1549"/>
      <c r="K718" s="1549"/>
      <c r="L718" s="1549"/>
      <c r="M718" s="1549"/>
      <c r="N718" s="1549"/>
      <c r="O718" s="1549"/>
      <c r="P718" s="1549"/>
      <c r="Q718" s="1549"/>
      <c r="R718" s="1549"/>
      <c r="S718" s="1549"/>
      <c r="T718" s="1549"/>
      <c r="U718" s="1549"/>
      <c r="V718" s="1549"/>
      <c r="W718" s="1549"/>
      <c r="X718" s="1549"/>
      <c r="Y718" s="1549"/>
      <c r="Z718" s="1549"/>
      <c r="AA718" s="1549"/>
      <c r="AB718" s="1549"/>
      <c r="AC718" s="1549"/>
      <c r="AD718" s="1549"/>
      <c r="AE718" s="1549"/>
      <c r="AF718" s="1549"/>
      <c r="AG718" s="1549"/>
      <c r="AH718" s="1549"/>
    </row>
    <row r="719" spans="1:34" ht="12.75" customHeight="1" x14ac:dyDescent="0.2">
      <c r="A719" s="1549"/>
      <c r="B719" s="1549"/>
      <c r="C719" s="1549"/>
      <c r="D719" s="1549"/>
      <c r="E719" s="1549"/>
      <c r="F719" s="1549"/>
      <c r="G719" s="1549"/>
      <c r="H719" s="1549"/>
      <c r="I719" s="1549"/>
      <c r="J719" s="1549"/>
      <c r="K719" s="1549"/>
      <c r="L719" s="1549"/>
      <c r="M719" s="1549"/>
      <c r="N719" s="1549"/>
      <c r="O719" s="1549"/>
      <c r="P719" s="1549"/>
      <c r="Q719" s="1549"/>
      <c r="R719" s="1549"/>
      <c r="S719" s="1549"/>
      <c r="T719" s="1549"/>
      <c r="U719" s="1549"/>
      <c r="V719" s="1549"/>
      <c r="W719" s="1549"/>
      <c r="X719" s="1549"/>
      <c r="Y719" s="1549"/>
      <c r="Z719" s="1549"/>
      <c r="AA719" s="1549"/>
      <c r="AB719" s="1549"/>
      <c r="AC719" s="1549"/>
      <c r="AD719" s="1549"/>
      <c r="AE719" s="1549"/>
      <c r="AF719" s="1549"/>
      <c r="AG719" s="1549"/>
      <c r="AH719" s="1549"/>
    </row>
    <row r="720" spans="1:34" ht="12.75" customHeight="1" x14ac:dyDescent="0.2">
      <c r="A720" s="1549"/>
      <c r="B720" s="1549"/>
      <c r="C720" s="1549"/>
      <c r="D720" s="1549"/>
      <c r="E720" s="1549"/>
      <c r="F720" s="1549"/>
      <c r="G720" s="1549"/>
      <c r="H720" s="1549"/>
      <c r="I720" s="1549"/>
      <c r="J720" s="1549"/>
      <c r="K720" s="1549"/>
      <c r="L720" s="1549"/>
      <c r="M720" s="1549"/>
      <c r="N720" s="1549"/>
      <c r="O720" s="1549"/>
      <c r="P720" s="1549"/>
      <c r="Q720" s="1549"/>
      <c r="R720" s="1549"/>
      <c r="S720" s="1549"/>
      <c r="T720" s="1549"/>
      <c r="U720" s="1549"/>
      <c r="V720" s="1549"/>
      <c r="W720" s="1549"/>
      <c r="X720" s="1549"/>
      <c r="Y720" s="1549"/>
      <c r="Z720" s="1549"/>
      <c r="AA720" s="1549"/>
      <c r="AB720" s="1549"/>
      <c r="AC720" s="1549"/>
      <c r="AD720" s="1549"/>
      <c r="AE720" s="1549"/>
      <c r="AF720" s="1549"/>
      <c r="AG720" s="1549"/>
      <c r="AH720" s="1549"/>
    </row>
    <row r="721" spans="1:34" ht="12.75" customHeight="1" x14ac:dyDescent="0.2">
      <c r="A721" s="1549"/>
      <c r="B721" s="1549"/>
      <c r="C721" s="1549"/>
      <c r="D721" s="1549"/>
      <c r="E721" s="1549"/>
      <c r="F721" s="1549"/>
      <c r="G721" s="1549"/>
      <c r="H721" s="1549"/>
      <c r="I721" s="1549"/>
      <c r="J721" s="1549"/>
      <c r="K721" s="1549"/>
      <c r="L721" s="1549"/>
      <c r="M721" s="1549"/>
      <c r="N721" s="1549"/>
      <c r="O721" s="1549"/>
      <c r="P721" s="1549"/>
      <c r="Q721" s="1549"/>
      <c r="R721" s="1549"/>
      <c r="S721" s="1549"/>
      <c r="T721" s="1549"/>
      <c r="U721" s="1549"/>
      <c r="V721" s="1549"/>
      <c r="W721" s="1549"/>
      <c r="X721" s="1549"/>
      <c r="Y721" s="1549"/>
      <c r="Z721" s="1549"/>
      <c r="AA721" s="1549"/>
      <c r="AB721" s="1549"/>
      <c r="AC721" s="1549"/>
      <c r="AD721" s="1549"/>
      <c r="AE721" s="1549"/>
      <c r="AF721" s="1549"/>
      <c r="AG721" s="1549"/>
      <c r="AH721" s="1549"/>
    </row>
    <row r="722" spans="1:34" ht="12.75" customHeight="1" x14ac:dyDescent="0.2">
      <c r="A722" s="1549"/>
      <c r="B722" s="1549"/>
      <c r="C722" s="1549"/>
      <c r="D722" s="1549"/>
      <c r="E722" s="1549"/>
      <c r="F722" s="1549"/>
      <c r="G722" s="1549"/>
      <c r="H722" s="1549"/>
      <c r="I722" s="1549"/>
      <c r="J722" s="1549"/>
      <c r="K722" s="1549"/>
      <c r="L722" s="1549"/>
      <c r="M722" s="1549"/>
      <c r="N722" s="1549"/>
      <c r="O722" s="1549"/>
      <c r="P722" s="1549"/>
      <c r="Q722" s="1549"/>
      <c r="R722" s="1549"/>
      <c r="S722" s="1549"/>
      <c r="T722" s="1549"/>
      <c r="U722" s="1549"/>
      <c r="V722" s="1549"/>
      <c r="W722" s="1549"/>
      <c r="X722" s="1549"/>
      <c r="Y722" s="1549"/>
      <c r="Z722" s="1549"/>
      <c r="AA722" s="1549"/>
      <c r="AB722" s="1549"/>
      <c r="AC722" s="1549"/>
      <c r="AD722" s="1549"/>
      <c r="AE722" s="1549"/>
      <c r="AF722" s="1549"/>
      <c r="AG722" s="1549"/>
      <c r="AH722" s="1549"/>
    </row>
    <row r="723" spans="1:34" ht="12.75" customHeight="1" x14ac:dyDescent="0.2">
      <c r="A723" s="1549"/>
      <c r="B723" s="1549"/>
      <c r="C723" s="1549"/>
      <c r="D723" s="1549"/>
      <c r="E723" s="1549"/>
      <c r="F723" s="1549"/>
      <c r="G723" s="1549"/>
      <c r="H723" s="1549"/>
      <c r="I723" s="1549"/>
      <c r="J723" s="1549"/>
      <c r="K723" s="1549"/>
      <c r="L723" s="1549"/>
      <c r="M723" s="1549"/>
      <c r="N723" s="1549"/>
      <c r="O723" s="1549"/>
      <c r="P723" s="1549"/>
      <c r="Q723" s="1549"/>
      <c r="R723" s="1549"/>
      <c r="S723" s="1549"/>
      <c r="T723" s="1549"/>
      <c r="U723" s="1549"/>
      <c r="V723" s="1549"/>
      <c r="W723" s="1549"/>
      <c r="X723" s="1549"/>
      <c r="Y723" s="1549"/>
      <c r="Z723" s="1549"/>
      <c r="AA723" s="1549"/>
      <c r="AB723" s="1549"/>
      <c r="AC723" s="1549"/>
      <c r="AD723" s="1549"/>
      <c r="AE723" s="1549"/>
      <c r="AF723" s="1549"/>
      <c r="AG723" s="1549"/>
      <c r="AH723" s="1549"/>
    </row>
    <row r="724" spans="1:34" ht="12.75" customHeight="1" x14ac:dyDescent="0.2">
      <c r="A724" s="1549"/>
      <c r="B724" s="1549"/>
      <c r="C724" s="1549"/>
      <c r="D724" s="1549"/>
      <c r="E724" s="1549"/>
      <c r="F724" s="1549"/>
      <c r="G724" s="1549"/>
      <c r="H724" s="1549"/>
      <c r="I724" s="1549"/>
      <c r="J724" s="1549"/>
      <c r="K724" s="1549"/>
      <c r="L724" s="1549"/>
      <c r="M724" s="1549"/>
      <c r="N724" s="1549"/>
      <c r="O724" s="1549"/>
      <c r="P724" s="1549"/>
      <c r="Q724" s="1549"/>
      <c r="R724" s="1549"/>
      <c r="S724" s="1549"/>
      <c r="T724" s="1549"/>
      <c r="U724" s="1549"/>
      <c r="V724" s="1549"/>
      <c r="W724" s="1549"/>
      <c r="X724" s="1549"/>
      <c r="Y724" s="1549"/>
      <c r="Z724" s="1549"/>
      <c r="AA724" s="1549"/>
      <c r="AB724" s="1549"/>
      <c r="AC724" s="1549"/>
      <c r="AD724" s="1549"/>
      <c r="AE724" s="1549"/>
      <c r="AF724" s="1549"/>
      <c r="AG724" s="1549"/>
      <c r="AH724" s="1549"/>
    </row>
    <row r="725" spans="1:34" ht="12.75" customHeight="1" x14ac:dyDescent="0.2">
      <c r="A725" s="1549"/>
      <c r="B725" s="1549"/>
      <c r="C725" s="1549"/>
      <c r="D725" s="1549"/>
      <c r="E725" s="1549"/>
      <c r="F725" s="1549"/>
      <c r="G725" s="1549"/>
      <c r="H725" s="1549"/>
      <c r="I725" s="1549"/>
      <c r="J725" s="1549"/>
      <c r="K725" s="1549"/>
      <c r="L725" s="1549"/>
      <c r="M725" s="1549"/>
      <c r="N725" s="1549"/>
      <c r="O725" s="1549"/>
      <c r="P725" s="1549"/>
      <c r="Q725" s="1549"/>
      <c r="R725" s="1549"/>
      <c r="S725" s="1549"/>
      <c r="T725" s="1549"/>
      <c r="U725" s="1549"/>
      <c r="V725" s="1549"/>
      <c r="W725" s="1549"/>
      <c r="X725" s="1549"/>
      <c r="Y725" s="1549"/>
      <c r="Z725" s="1549"/>
      <c r="AA725" s="1549"/>
      <c r="AB725" s="1549"/>
      <c r="AC725" s="1549"/>
      <c r="AD725" s="1549"/>
      <c r="AE725" s="1549"/>
      <c r="AF725" s="1549"/>
      <c r="AG725" s="1549"/>
      <c r="AH725" s="1549"/>
    </row>
    <row r="726" spans="1:34" ht="12.75" customHeight="1" x14ac:dyDescent="0.2">
      <c r="A726" s="1549"/>
      <c r="B726" s="1549"/>
      <c r="C726" s="1549"/>
      <c r="D726" s="1549"/>
      <c r="E726" s="1549"/>
      <c r="F726" s="1549"/>
      <c r="G726" s="1549"/>
      <c r="H726" s="1549"/>
      <c r="I726" s="1549"/>
      <c r="J726" s="1549"/>
      <c r="K726" s="1549"/>
      <c r="L726" s="1549"/>
      <c r="M726" s="1549"/>
      <c r="N726" s="1549"/>
      <c r="O726" s="1549"/>
      <c r="P726" s="1549"/>
      <c r="Q726" s="1549"/>
      <c r="R726" s="1549"/>
      <c r="S726" s="1549"/>
      <c r="T726" s="1549"/>
      <c r="U726" s="1549"/>
      <c r="V726" s="1549"/>
      <c r="W726" s="1549"/>
      <c r="X726" s="1549"/>
      <c r="Y726" s="1549"/>
      <c r="Z726" s="1549"/>
      <c r="AA726" s="1549"/>
      <c r="AB726" s="1549"/>
      <c r="AC726" s="1549"/>
      <c r="AD726" s="1549"/>
      <c r="AE726" s="1549"/>
      <c r="AF726" s="1549"/>
      <c r="AG726" s="1549"/>
      <c r="AH726" s="1549"/>
    </row>
    <row r="727" spans="1:34" ht="12.75" customHeight="1" x14ac:dyDescent="0.2">
      <c r="A727" s="1549"/>
      <c r="B727" s="1549"/>
      <c r="C727" s="1549"/>
      <c r="D727" s="1549"/>
      <c r="E727" s="1549"/>
      <c r="F727" s="1549"/>
      <c r="G727" s="1549"/>
      <c r="H727" s="1549"/>
      <c r="I727" s="1549"/>
      <c r="J727" s="1549"/>
      <c r="K727" s="1549"/>
      <c r="L727" s="1549"/>
      <c r="M727" s="1549"/>
      <c r="N727" s="1549"/>
      <c r="O727" s="1549"/>
      <c r="P727" s="1549"/>
      <c r="Q727" s="1549"/>
      <c r="R727" s="1549"/>
      <c r="S727" s="1549"/>
      <c r="T727" s="1549"/>
      <c r="U727" s="1549"/>
      <c r="V727" s="1549"/>
      <c r="W727" s="1549"/>
      <c r="X727" s="1549"/>
      <c r="Y727" s="1549"/>
      <c r="Z727" s="1549"/>
      <c r="AA727" s="1549"/>
      <c r="AB727" s="1549"/>
      <c r="AC727" s="1549"/>
      <c r="AD727" s="1549"/>
      <c r="AE727" s="1549"/>
      <c r="AF727" s="1549"/>
      <c r="AG727" s="1549"/>
      <c r="AH727" s="1549"/>
    </row>
    <row r="728" spans="1:34" ht="12.75" customHeight="1" x14ac:dyDescent="0.2">
      <c r="A728" s="1549"/>
      <c r="B728" s="1549"/>
      <c r="C728" s="1549"/>
      <c r="D728" s="1549"/>
      <c r="E728" s="1549"/>
      <c r="F728" s="1549"/>
      <c r="G728" s="1549"/>
      <c r="H728" s="1549"/>
      <c r="I728" s="1549"/>
      <c r="J728" s="1549"/>
      <c r="K728" s="1549"/>
      <c r="L728" s="1549"/>
      <c r="M728" s="1549"/>
      <c r="N728" s="1549"/>
      <c r="O728" s="1549"/>
      <c r="P728" s="1549"/>
      <c r="Q728" s="1549"/>
      <c r="R728" s="1549"/>
      <c r="S728" s="1549"/>
      <c r="T728" s="1549"/>
      <c r="U728" s="1549"/>
      <c r="V728" s="1549"/>
      <c r="W728" s="1549"/>
      <c r="X728" s="1549"/>
      <c r="Y728" s="1549"/>
      <c r="Z728" s="1549"/>
      <c r="AA728" s="1549"/>
      <c r="AB728" s="1549"/>
      <c r="AC728" s="1549"/>
      <c r="AD728" s="1549"/>
      <c r="AE728" s="1549"/>
      <c r="AF728" s="1549"/>
      <c r="AG728" s="1549"/>
      <c r="AH728" s="1549"/>
    </row>
    <row r="729" spans="1:34" ht="12.75" customHeight="1" x14ac:dyDescent="0.2">
      <c r="A729" s="1549"/>
      <c r="B729" s="1549"/>
      <c r="C729" s="1549"/>
      <c r="D729" s="1549"/>
      <c r="E729" s="1549"/>
      <c r="F729" s="1549"/>
      <c r="G729" s="1549"/>
      <c r="H729" s="1549"/>
      <c r="I729" s="1549"/>
      <c r="J729" s="1549"/>
      <c r="K729" s="1549"/>
      <c r="L729" s="1549"/>
      <c r="M729" s="1549"/>
      <c r="N729" s="1549"/>
      <c r="O729" s="1549"/>
      <c r="P729" s="1549"/>
      <c r="Q729" s="1549"/>
      <c r="R729" s="1549"/>
      <c r="S729" s="1549"/>
      <c r="T729" s="1549"/>
      <c r="U729" s="1549"/>
      <c r="V729" s="1549"/>
      <c r="W729" s="1549"/>
      <c r="X729" s="1549"/>
      <c r="Y729" s="1549"/>
      <c r="Z729" s="1549"/>
      <c r="AA729" s="1549"/>
      <c r="AB729" s="1549"/>
      <c r="AC729" s="1549"/>
      <c r="AD729" s="1549"/>
      <c r="AE729" s="1549"/>
      <c r="AF729" s="1549"/>
      <c r="AG729" s="1549"/>
      <c r="AH729" s="1549"/>
    </row>
    <row r="730" spans="1:34" ht="12.75" customHeight="1" x14ac:dyDescent="0.2">
      <c r="A730" s="1549"/>
      <c r="B730" s="1549"/>
      <c r="C730" s="1549"/>
      <c r="D730" s="1549"/>
      <c r="E730" s="1549"/>
      <c r="F730" s="1549"/>
      <c r="G730" s="1549"/>
      <c r="H730" s="1549"/>
      <c r="I730" s="1549"/>
      <c r="J730" s="1549"/>
      <c r="K730" s="1549"/>
      <c r="L730" s="1549"/>
      <c r="M730" s="1549"/>
      <c r="N730" s="1549"/>
      <c r="O730" s="1549"/>
      <c r="P730" s="1549"/>
      <c r="Q730" s="1549"/>
      <c r="R730" s="1549"/>
      <c r="S730" s="1549"/>
      <c r="T730" s="1549"/>
      <c r="U730" s="1549"/>
      <c r="V730" s="1549"/>
      <c r="W730" s="1549"/>
      <c r="X730" s="1549"/>
      <c r="Y730" s="1549"/>
      <c r="Z730" s="1549"/>
      <c r="AA730" s="1549"/>
      <c r="AB730" s="1549"/>
      <c r="AC730" s="1549"/>
      <c r="AD730" s="1549"/>
      <c r="AE730" s="1549"/>
      <c r="AF730" s="1549"/>
      <c r="AG730" s="1549"/>
      <c r="AH730" s="1549"/>
    </row>
    <row r="731" spans="1:34" ht="12.75" customHeight="1" x14ac:dyDescent="0.2">
      <c r="A731" s="1549"/>
      <c r="B731" s="1549"/>
      <c r="C731" s="1549"/>
      <c r="D731" s="1549"/>
      <c r="E731" s="1549"/>
      <c r="F731" s="1549"/>
      <c r="G731" s="1549"/>
      <c r="H731" s="1549"/>
      <c r="I731" s="1549"/>
      <c r="J731" s="1549"/>
      <c r="K731" s="1549"/>
      <c r="L731" s="1549"/>
      <c r="M731" s="1549"/>
      <c r="N731" s="1549"/>
      <c r="O731" s="1549"/>
      <c r="P731" s="1549"/>
      <c r="Q731" s="1549"/>
      <c r="R731" s="1549"/>
      <c r="S731" s="1549"/>
      <c r="T731" s="1549"/>
      <c r="U731" s="1549"/>
      <c r="V731" s="1549"/>
      <c r="W731" s="1549"/>
      <c r="X731" s="1549"/>
      <c r="Y731" s="1549"/>
      <c r="Z731" s="1549"/>
      <c r="AA731" s="1549"/>
      <c r="AB731" s="1549"/>
      <c r="AC731" s="1549"/>
      <c r="AD731" s="1549"/>
      <c r="AE731" s="1549"/>
      <c r="AF731" s="1549"/>
      <c r="AG731" s="1549"/>
      <c r="AH731" s="1549"/>
    </row>
    <row r="732" spans="1:34" ht="12.75" customHeight="1" x14ac:dyDescent="0.2">
      <c r="A732" s="1549"/>
      <c r="B732" s="1549"/>
      <c r="C732" s="1549"/>
      <c r="D732" s="1549"/>
      <c r="E732" s="1549"/>
      <c r="F732" s="1549"/>
      <c r="G732" s="1549"/>
      <c r="H732" s="1549"/>
      <c r="I732" s="1549"/>
      <c r="J732" s="1549"/>
      <c r="K732" s="1549"/>
      <c r="L732" s="1549"/>
      <c r="M732" s="1549"/>
      <c r="N732" s="1549"/>
      <c r="O732" s="1549"/>
      <c r="P732" s="1549"/>
      <c r="Q732" s="1549"/>
      <c r="R732" s="1549"/>
      <c r="S732" s="1549"/>
      <c r="T732" s="1549"/>
      <c r="U732" s="1549"/>
      <c r="V732" s="1549"/>
      <c r="W732" s="1549"/>
      <c r="X732" s="1549"/>
      <c r="Y732" s="1549"/>
      <c r="Z732" s="1549"/>
      <c r="AA732" s="1549"/>
      <c r="AB732" s="1549"/>
      <c r="AC732" s="1549"/>
      <c r="AD732" s="1549"/>
      <c r="AE732" s="1549"/>
      <c r="AF732" s="1549"/>
      <c r="AG732" s="1549"/>
      <c r="AH732" s="1549"/>
    </row>
    <row r="733" spans="1:34" ht="12.75" customHeight="1" x14ac:dyDescent="0.2">
      <c r="A733" s="1549"/>
      <c r="B733" s="1549"/>
      <c r="C733" s="1549"/>
      <c r="D733" s="1549"/>
      <c r="E733" s="1549"/>
      <c r="F733" s="1549"/>
      <c r="G733" s="1549"/>
      <c r="H733" s="1549"/>
      <c r="I733" s="1549"/>
      <c r="J733" s="1549"/>
      <c r="K733" s="1549"/>
      <c r="L733" s="1549"/>
      <c r="M733" s="1549"/>
      <c r="N733" s="1549"/>
      <c r="O733" s="1549"/>
      <c r="P733" s="1549"/>
      <c r="Q733" s="1549"/>
      <c r="R733" s="1549"/>
      <c r="S733" s="1549"/>
      <c r="T733" s="1549"/>
      <c r="U733" s="1549"/>
      <c r="V733" s="1549"/>
      <c r="W733" s="1549"/>
      <c r="X733" s="1549"/>
      <c r="Y733" s="1549"/>
      <c r="Z733" s="1549"/>
      <c r="AA733" s="1549"/>
      <c r="AB733" s="1549"/>
      <c r="AC733" s="1549"/>
      <c r="AD733" s="1549"/>
      <c r="AE733" s="1549"/>
      <c r="AF733" s="1549"/>
      <c r="AG733" s="1549"/>
      <c r="AH733" s="1549"/>
    </row>
    <row r="734" spans="1:34" ht="12.75" customHeight="1" x14ac:dyDescent="0.2">
      <c r="A734" s="1549"/>
      <c r="B734" s="1549"/>
      <c r="C734" s="1549"/>
      <c r="D734" s="1549"/>
      <c r="E734" s="1549"/>
      <c r="F734" s="1549"/>
      <c r="G734" s="1549"/>
      <c r="H734" s="1549"/>
      <c r="I734" s="1549"/>
      <c r="J734" s="1549"/>
      <c r="K734" s="1549"/>
      <c r="L734" s="1549"/>
      <c r="M734" s="1549"/>
      <c r="N734" s="1549"/>
      <c r="O734" s="1549"/>
      <c r="P734" s="1549"/>
      <c r="Q734" s="1549"/>
      <c r="R734" s="1549"/>
      <c r="S734" s="1549"/>
      <c r="T734" s="1549"/>
      <c r="U734" s="1549"/>
      <c r="V734" s="1549"/>
      <c r="W734" s="1549"/>
      <c r="X734" s="1549"/>
      <c r="Y734" s="1549"/>
      <c r="Z734" s="1549"/>
      <c r="AA734" s="1549"/>
      <c r="AB734" s="1549"/>
      <c r="AC734" s="1549"/>
      <c r="AD734" s="1549"/>
      <c r="AE734" s="1549"/>
      <c r="AF734" s="1549"/>
      <c r="AG734" s="1549"/>
      <c r="AH734" s="1549"/>
    </row>
    <row r="735" spans="1:34" ht="12.75" customHeight="1" x14ac:dyDescent="0.2">
      <c r="A735" s="1549"/>
      <c r="B735" s="1549"/>
      <c r="C735" s="1549"/>
      <c r="D735" s="1549"/>
      <c r="E735" s="1549"/>
      <c r="F735" s="1549"/>
      <c r="G735" s="1549"/>
      <c r="H735" s="1549"/>
      <c r="I735" s="1549"/>
      <c r="J735" s="1549"/>
      <c r="K735" s="1549"/>
      <c r="L735" s="1549"/>
      <c r="M735" s="1549"/>
      <c r="N735" s="1549"/>
      <c r="O735" s="1549"/>
      <c r="P735" s="1549"/>
      <c r="Q735" s="1549"/>
      <c r="R735" s="1549"/>
      <c r="S735" s="1549"/>
      <c r="T735" s="1549"/>
      <c r="U735" s="1549"/>
      <c r="V735" s="1549"/>
      <c r="W735" s="1549"/>
      <c r="X735" s="1549"/>
      <c r="Y735" s="1549"/>
      <c r="Z735" s="1549"/>
      <c r="AA735" s="1549"/>
      <c r="AB735" s="1549"/>
      <c r="AC735" s="1549"/>
      <c r="AD735" s="1549"/>
      <c r="AE735" s="1549"/>
      <c r="AF735" s="1549"/>
      <c r="AG735" s="1549"/>
      <c r="AH735" s="1549"/>
    </row>
    <row r="736" spans="1:34" ht="12.75" customHeight="1" x14ac:dyDescent="0.2">
      <c r="A736" s="1549"/>
      <c r="B736" s="1549"/>
      <c r="C736" s="1549"/>
      <c r="D736" s="1549"/>
      <c r="E736" s="1549"/>
      <c r="F736" s="1549"/>
      <c r="G736" s="1549"/>
      <c r="H736" s="1549"/>
      <c r="I736" s="1549"/>
      <c r="J736" s="1549"/>
      <c r="K736" s="1549"/>
      <c r="L736" s="1549"/>
      <c r="M736" s="1549"/>
      <c r="N736" s="1549"/>
      <c r="O736" s="1549"/>
      <c r="P736" s="1549"/>
      <c r="Q736" s="1549"/>
      <c r="R736" s="1549"/>
      <c r="S736" s="1549"/>
      <c r="T736" s="1549"/>
      <c r="U736" s="1549"/>
      <c r="V736" s="1549"/>
      <c r="W736" s="1549"/>
      <c r="X736" s="1549"/>
      <c r="Y736" s="1549"/>
      <c r="Z736" s="1549"/>
      <c r="AA736" s="1549"/>
      <c r="AB736" s="1549"/>
      <c r="AC736" s="1549"/>
      <c r="AD736" s="1549"/>
      <c r="AE736" s="1549"/>
      <c r="AF736" s="1549"/>
      <c r="AG736" s="1549"/>
      <c r="AH736" s="1549"/>
    </row>
    <row r="737" spans="1:34" ht="12.75" customHeight="1" x14ac:dyDescent="0.2">
      <c r="A737" s="1549"/>
      <c r="B737" s="1549"/>
      <c r="C737" s="1549"/>
      <c r="D737" s="1549"/>
      <c r="E737" s="1549"/>
      <c r="F737" s="1549"/>
      <c r="G737" s="1549"/>
      <c r="H737" s="1549"/>
      <c r="I737" s="1549"/>
      <c r="J737" s="1549"/>
      <c r="K737" s="1549"/>
      <c r="L737" s="1549"/>
      <c r="M737" s="1549"/>
      <c r="N737" s="1549"/>
      <c r="O737" s="1549"/>
      <c r="P737" s="1549"/>
      <c r="Q737" s="1549"/>
      <c r="R737" s="1549"/>
      <c r="S737" s="1549"/>
      <c r="T737" s="1549"/>
      <c r="U737" s="1549"/>
      <c r="V737" s="1549"/>
      <c r="W737" s="1549"/>
      <c r="X737" s="1549"/>
      <c r="Y737" s="1549"/>
      <c r="Z737" s="1549"/>
      <c r="AA737" s="1549"/>
      <c r="AB737" s="1549"/>
      <c r="AC737" s="1549"/>
      <c r="AD737" s="1549"/>
      <c r="AE737" s="1549"/>
      <c r="AF737" s="1549"/>
      <c r="AG737" s="1549"/>
      <c r="AH737" s="1549"/>
    </row>
    <row r="738" spans="1:34" ht="12.75" customHeight="1" x14ac:dyDescent="0.2">
      <c r="A738" s="1549"/>
      <c r="B738" s="1549"/>
      <c r="C738" s="1549"/>
      <c r="D738" s="1549"/>
      <c r="E738" s="1549"/>
      <c r="F738" s="1549"/>
      <c r="G738" s="1549"/>
      <c r="H738" s="1549"/>
      <c r="I738" s="1549"/>
      <c r="J738" s="1549"/>
      <c r="K738" s="1549"/>
      <c r="L738" s="1549"/>
      <c r="M738" s="1549"/>
      <c r="N738" s="1549"/>
      <c r="O738" s="1549"/>
      <c r="P738" s="1549"/>
      <c r="Q738" s="1549"/>
      <c r="R738" s="1549"/>
      <c r="S738" s="1549"/>
      <c r="T738" s="1549"/>
      <c r="U738" s="1549"/>
      <c r="V738" s="1549"/>
      <c r="W738" s="1549"/>
      <c r="X738" s="1549"/>
      <c r="Y738" s="1549"/>
      <c r="Z738" s="1549"/>
      <c r="AA738" s="1549"/>
      <c r="AB738" s="1549"/>
      <c r="AC738" s="1549"/>
      <c r="AD738" s="1549"/>
      <c r="AE738" s="1549"/>
      <c r="AF738" s="1549"/>
      <c r="AG738" s="1549"/>
      <c r="AH738" s="1549"/>
    </row>
    <row r="739" spans="1:34" ht="12.75" customHeight="1" x14ac:dyDescent="0.2">
      <c r="A739" s="1549"/>
      <c r="B739" s="1549"/>
      <c r="C739" s="1549"/>
      <c r="D739" s="1549"/>
      <c r="E739" s="1549"/>
      <c r="F739" s="1549"/>
      <c r="G739" s="1549"/>
      <c r="H739" s="1549"/>
      <c r="I739" s="1549"/>
      <c r="J739" s="1549"/>
      <c r="K739" s="1549"/>
      <c r="L739" s="1549"/>
      <c r="M739" s="1549"/>
      <c r="N739" s="1549"/>
      <c r="O739" s="1549"/>
      <c r="P739" s="1549"/>
      <c r="Q739" s="1549"/>
      <c r="R739" s="1549"/>
      <c r="S739" s="1549"/>
      <c r="T739" s="1549"/>
      <c r="U739" s="1549"/>
      <c r="V739" s="1549"/>
      <c r="W739" s="1549"/>
      <c r="X739" s="1549"/>
      <c r="Y739" s="1549"/>
      <c r="Z739" s="1549"/>
      <c r="AA739" s="1549"/>
      <c r="AB739" s="1549"/>
      <c r="AC739" s="1549"/>
      <c r="AD739" s="1549"/>
      <c r="AE739" s="1549"/>
      <c r="AF739" s="1549"/>
      <c r="AG739" s="1549"/>
      <c r="AH739" s="1549"/>
    </row>
    <row r="740" spans="1:34" ht="12.75" customHeight="1" x14ac:dyDescent="0.2">
      <c r="A740" s="1549"/>
      <c r="B740" s="1549"/>
      <c r="C740" s="1549"/>
      <c r="D740" s="1549"/>
      <c r="E740" s="1549"/>
      <c r="F740" s="1549"/>
      <c r="G740" s="1549"/>
      <c r="H740" s="1549"/>
      <c r="I740" s="1549"/>
      <c r="J740" s="1549"/>
      <c r="K740" s="1549"/>
      <c r="L740" s="1549"/>
      <c r="M740" s="1549"/>
      <c r="N740" s="1549"/>
      <c r="O740" s="1549"/>
      <c r="P740" s="1549"/>
      <c r="Q740" s="1549"/>
      <c r="R740" s="1549"/>
      <c r="S740" s="1549"/>
      <c r="T740" s="1549"/>
      <c r="U740" s="1549"/>
      <c r="V740" s="1549"/>
      <c r="W740" s="1549"/>
      <c r="X740" s="1549"/>
      <c r="Y740" s="1549"/>
      <c r="Z740" s="1549"/>
      <c r="AA740" s="1549"/>
      <c r="AB740" s="1549"/>
      <c r="AC740" s="1549"/>
      <c r="AD740" s="1549"/>
      <c r="AE740" s="1549"/>
      <c r="AF740" s="1549"/>
      <c r="AG740" s="1549"/>
      <c r="AH740" s="1549"/>
    </row>
    <row r="741" spans="1:34" ht="12.75" customHeight="1" x14ac:dyDescent="0.2">
      <c r="A741" s="1549"/>
      <c r="B741" s="1549"/>
      <c r="C741" s="1549"/>
      <c r="D741" s="1549"/>
      <c r="E741" s="1549"/>
      <c r="F741" s="1549"/>
      <c r="G741" s="1549"/>
      <c r="H741" s="1549"/>
      <c r="I741" s="1549"/>
      <c r="J741" s="1549"/>
      <c r="K741" s="1549"/>
      <c r="L741" s="1549"/>
      <c r="M741" s="1549"/>
      <c r="N741" s="1549"/>
      <c r="O741" s="1549"/>
      <c r="P741" s="1549"/>
      <c r="Q741" s="1549"/>
      <c r="R741" s="1549"/>
      <c r="S741" s="1549"/>
      <c r="T741" s="1549"/>
      <c r="U741" s="1549"/>
      <c r="V741" s="1549"/>
      <c r="W741" s="1549"/>
      <c r="X741" s="1549"/>
      <c r="Y741" s="1549"/>
      <c r="Z741" s="1549"/>
      <c r="AA741" s="1549"/>
      <c r="AB741" s="1549"/>
      <c r="AC741" s="1549"/>
      <c r="AD741" s="1549"/>
      <c r="AE741" s="1549"/>
      <c r="AF741" s="1549"/>
      <c r="AG741" s="1549"/>
      <c r="AH741" s="1549"/>
    </row>
    <row r="742" spans="1:34" ht="12.75" customHeight="1" x14ac:dyDescent="0.2">
      <c r="A742" s="1549"/>
      <c r="B742" s="1549"/>
      <c r="C742" s="1549"/>
      <c r="D742" s="1549"/>
      <c r="E742" s="1549"/>
      <c r="F742" s="1549"/>
      <c r="G742" s="1549"/>
      <c r="H742" s="1549"/>
      <c r="I742" s="1549"/>
      <c r="J742" s="1549"/>
      <c r="K742" s="1549"/>
      <c r="L742" s="1549"/>
      <c r="M742" s="1549"/>
      <c r="N742" s="1549"/>
      <c r="O742" s="1549"/>
      <c r="P742" s="1549"/>
      <c r="Q742" s="1549"/>
      <c r="R742" s="1549"/>
      <c r="S742" s="1549"/>
      <c r="T742" s="1549"/>
      <c r="U742" s="1549"/>
      <c r="V742" s="1549"/>
      <c r="W742" s="1549"/>
      <c r="X742" s="1549"/>
      <c r="Y742" s="1549"/>
      <c r="Z742" s="1549"/>
      <c r="AA742" s="1549"/>
      <c r="AB742" s="1549"/>
      <c r="AC742" s="1549"/>
      <c r="AD742" s="1549"/>
      <c r="AE742" s="1549"/>
      <c r="AF742" s="1549"/>
      <c r="AG742" s="1549"/>
      <c r="AH742" s="1549"/>
    </row>
    <row r="743" spans="1:34" ht="12.75" customHeight="1" x14ac:dyDescent="0.2">
      <c r="A743" s="1549"/>
      <c r="B743" s="1549"/>
      <c r="C743" s="1549"/>
      <c r="D743" s="1549"/>
      <c r="E743" s="1549"/>
      <c r="F743" s="1549"/>
      <c r="G743" s="1549"/>
      <c r="H743" s="1549"/>
      <c r="I743" s="1549"/>
      <c r="J743" s="1549"/>
      <c r="K743" s="1549"/>
      <c r="L743" s="1549"/>
      <c r="M743" s="1549"/>
      <c r="N743" s="1549"/>
      <c r="O743" s="1549"/>
      <c r="P743" s="1549"/>
      <c r="Q743" s="1549"/>
      <c r="R743" s="1549"/>
      <c r="S743" s="1549"/>
      <c r="T743" s="1549"/>
      <c r="U743" s="1549"/>
      <c r="V743" s="1549"/>
      <c r="W743" s="1549"/>
      <c r="X743" s="1549"/>
      <c r="Y743" s="1549"/>
      <c r="Z743" s="1549"/>
      <c r="AA743" s="1549"/>
      <c r="AB743" s="1549"/>
      <c r="AC743" s="1549"/>
      <c r="AD743" s="1549"/>
      <c r="AE743" s="1549"/>
      <c r="AF743" s="1549"/>
      <c r="AG743" s="1549"/>
      <c r="AH743" s="1549"/>
    </row>
    <row r="744" spans="1:34" ht="12.75" customHeight="1" x14ac:dyDescent="0.2">
      <c r="A744" s="1549"/>
      <c r="B744" s="1549"/>
      <c r="C744" s="1549"/>
      <c r="D744" s="1549"/>
      <c r="E744" s="1549"/>
      <c r="F744" s="1549"/>
      <c r="G744" s="1549"/>
      <c r="H744" s="1549"/>
      <c r="I744" s="1549"/>
      <c r="J744" s="1549"/>
      <c r="K744" s="1549"/>
      <c r="L744" s="1549"/>
      <c r="M744" s="1549"/>
      <c r="N744" s="1549"/>
      <c r="O744" s="1549"/>
      <c r="P744" s="1549"/>
      <c r="Q744" s="1549"/>
      <c r="R744" s="1549"/>
      <c r="S744" s="1549"/>
      <c r="T744" s="1549"/>
      <c r="U744" s="1549"/>
      <c r="V744" s="1549"/>
      <c r="W744" s="1549"/>
      <c r="X744" s="1549"/>
      <c r="Y744" s="1549"/>
      <c r="Z744" s="1549"/>
      <c r="AA744" s="1549"/>
      <c r="AB744" s="1549"/>
      <c r="AC744" s="1549"/>
      <c r="AD744" s="1549"/>
      <c r="AE744" s="1549"/>
      <c r="AF744" s="1549"/>
      <c r="AG744" s="1549"/>
      <c r="AH744" s="1549"/>
    </row>
    <row r="745" spans="1:34" ht="12.75" customHeight="1" x14ac:dyDescent="0.2">
      <c r="A745" s="1549"/>
      <c r="B745" s="1549"/>
      <c r="C745" s="1549"/>
      <c r="D745" s="1549"/>
      <c r="E745" s="1549"/>
      <c r="F745" s="1549"/>
      <c r="G745" s="1549"/>
      <c r="H745" s="1549"/>
      <c r="I745" s="1549"/>
      <c r="J745" s="1549"/>
      <c r="K745" s="1549"/>
      <c r="L745" s="1549"/>
      <c r="M745" s="1549"/>
      <c r="N745" s="1549"/>
      <c r="O745" s="1549"/>
      <c r="P745" s="1549"/>
      <c r="Q745" s="1549"/>
      <c r="R745" s="1549"/>
      <c r="S745" s="1549"/>
      <c r="T745" s="1549"/>
      <c r="U745" s="1549"/>
      <c r="V745" s="1549"/>
      <c r="W745" s="1549"/>
      <c r="X745" s="1549"/>
      <c r="Y745" s="1549"/>
      <c r="Z745" s="1549"/>
      <c r="AA745" s="1549"/>
      <c r="AB745" s="1549"/>
      <c r="AC745" s="1549"/>
      <c r="AD745" s="1549"/>
      <c r="AE745" s="1549"/>
      <c r="AF745" s="1549"/>
      <c r="AG745" s="1549"/>
      <c r="AH745" s="1549"/>
    </row>
    <row r="746" spans="1:34" ht="12.75" customHeight="1" x14ac:dyDescent="0.2">
      <c r="A746" s="1549"/>
      <c r="B746" s="1549"/>
      <c r="C746" s="1549"/>
      <c r="D746" s="1549"/>
      <c r="E746" s="1549"/>
      <c r="F746" s="1549"/>
      <c r="G746" s="1549"/>
      <c r="H746" s="1549"/>
      <c r="I746" s="1549"/>
      <c r="J746" s="1549"/>
      <c r="K746" s="1549"/>
      <c r="L746" s="1549"/>
      <c r="M746" s="1549"/>
      <c r="N746" s="1549"/>
      <c r="O746" s="1549"/>
      <c r="P746" s="1549"/>
      <c r="Q746" s="1549"/>
      <c r="R746" s="1549"/>
      <c r="S746" s="1549"/>
      <c r="T746" s="1549"/>
      <c r="U746" s="1549"/>
      <c r="V746" s="1549"/>
      <c r="W746" s="1549"/>
      <c r="X746" s="1549"/>
      <c r="Y746" s="1549"/>
      <c r="Z746" s="1549"/>
      <c r="AA746" s="1549"/>
      <c r="AB746" s="1549"/>
      <c r="AC746" s="1549"/>
      <c r="AD746" s="1549"/>
      <c r="AE746" s="1549"/>
      <c r="AF746" s="1549"/>
      <c r="AG746" s="1549"/>
      <c r="AH746" s="1549"/>
    </row>
    <row r="747" spans="1:34" ht="12.75" customHeight="1" x14ac:dyDescent="0.2">
      <c r="A747" s="1549"/>
      <c r="B747" s="1549"/>
      <c r="C747" s="1549"/>
      <c r="D747" s="1549"/>
      <c r="E747" s="1549"/>
      <c r="F747" s="1549"/>
      <c r="G747" s="1549"/>
      <c r="H747" s="1549"/>
      <c r="I747" s="1549"/>
      <c r="J747" s="1549"/>
      <c r="K747" s="1549"/>
      <c r="L747" s="1549"/>
      <c r="M747" s="1549"/>
      <c r="N747" s="1549"/>
      <c r="O747" s="1549"/>
      <c r="P747" s="1549"/>
      <c r="Q747" s="1549"/>
      <c r="R747" s="1549"/>
      <c r="S747" s="1549"/>
      <c r="T747" s="1549"/>
      <c r="U747" s="1549"/>
      <c r="V747" s="1549"/>
      <c r="W747" s="1549"/>
      <c r="X747" s="1549"/>
      <c r="Y747" s="1549"/>
      <c r="Z747" s="1549"/>
      <c r="AA747" s="1549"/>
      <c r="AB747" s="1549"/>
      <c r="AC747" s="1549"/>
      <c r="AD747" s="1549"/>
      <c r="AE747" s="1549"/>
      <c r="AF747" s="1549"/>
      <c r="AG747" s="1549"/>
      <c r="AH747" s="1549"/>
    </row>
    <row r="748" spans="1:34" ht="12.75" customHeight="1" x14ac:dyDescent="0.2">
      <c r="A748" s="1549"/>
      <c r="B748" s="1549"/>
      <c r="C748" s="1549"/>
      <c r="D748" s="1549"/>
      <c r="E748" s="1549"/>
      <c r="F748" s="1549"/>
      <c r="G748" s="1549"/>
      <c r="H748" s="1549"/>
      <c r="I748" s="1549"/>
      <c r="J748" s="1549"/>
      <c r="K748" s="1549"/>
      <c r="L748" s="1549"/>
      <c r="M748" s="1549"/>
      <c r="N748" s="1549"/>
      <c r="O748" s="1549"/>
      <c r="P748" s="1549"/>
      <c r="Q748" s="1549"/>
      <c r="R748" s="1549"/>
      <c r="S748" s="1549"/>
      <c r="T748" s="1549"/>
      <c r="U748" s="1549"/>
      <c r="V748" s="1549"/>
      <c r="W748" s="1549"/>
      <c r="X748" s="1549"/>
      <c r="Y748" s="1549"/>
      <c r="Z748" s="1549"/>
      <c r="AA748" s="1549"/>
      <c r="AB748" s="1549"/>
      <c r="AC748" s="1549"/>
      <c r="AD748" s="1549"/>
      <c r="AE748" s="1549"/>
      <c r="AF748" s="1549"/>
      <c r="AG748" s="1549"/>
      <c r="AH748" s="1549"/>
    </row>
    <row r="749" spans="1:34" ht="12.75" customHeight="1" x14ac:dyDescent="0.2">
      <c r="A749" s="1549"/>
      <c r="B749" s="1549"/>
      <c r="C749" s="1549"/>
      <c r="D749" s="1549"/>
      <c r="E749" s="1549"/>
      <c r="F749" s="1549"/>
      <c r="G749" s="1549"/>
      <c r="H749" s="1549"/>
      <c r="I749" s="1549"/>
      <c r="J749" s="1549"/>
      <c r="K749" s="1549"/>
      <c r="L749" s="1549"/>
      <c r="M749" s="1549"/>
      <c r="N749" s="1549"/>
      <c r="O749" s="1549"/>
      <c r="P749" s="1549"/>
      <c r="Q749" s="1549"/>
      <c r="R749" s="1549"/>
      <c r="S749" s="1549"/>
      <c r="T749" s="1549"/>
      <c r="U749" s="1549"/>
      <c r="V749" s="1549"/>
      <c r="W749" s="1549"/>
      <c r="X749" s="1549"/>
      <c r="Y749" s="1549"/>
      <c r="Z749" s="1549"/>
      <c r="AA749" s="1549"/>
      <c r="AB749" s="1549"/>
      <c r="AC749" s="1549"/>
      <c r="AD749" s="1549"/>
      <c r="AE749" s="1549"/>
      <c r="AF749" s="1549"/>
      <c r="AG749" s="1549"/>
      <c r="AH749" s="1549"/>
    </row>
    <row r="750" spans="1:34" ht="12.75" customHeight="1" x14ac:dyDescent="0.2">
      <c r="A750" s="1549"/>
      <c r="B750" s="1549"/>
      <c r="C750" s="1549"/>
      <c r="D750" s="1549"/>
      <c r="E750" s="1549"/>
      <c r="F750" s="1549"/>
      <c r="G750" s="1549"/>
      <c r="H750" s="1549"/>
      <c r="I750" s="1549"/>
      <c r="J750" s="1549"/>
      <c r="K750" s="1549"/>
      <c r="L750" s="1549"/>
      <c r="M750" s="1549"/>
      <c r="N750" s="1549"/>
      <c r="O750" s="1549"/>
      <c r="P750" s="1549"/>
      <c r="Q750" s="1549"/>
      <c r="R750" s="1549"/>
      <c r="S750" s="1549"/>
      <c r="T750" s="1549"/>
      <c r="U750" s="1549"/>
      <c r="V750" s="1549"/>
      <c r="W750" s="1549"/>
      <c r="X750" s="1549"/>
      <c r="Y750" s="1549"/>
      <c r="Z750" s="1549"/>
      <c r="AA750" s="1549"/>
      <c r="AB750" s="1549"/>
      <c r="AC750" s="1549"/>
      <c r="AD750" s="1549"/>
      <c r="AE750" s="1549"/>
      <c r="AF750" s="1549"/>
      <c r="AG750" s="1549"/>
      <c r="AH750" s="1549"/>
    </row>
    <row r="751" spans="1:34" ht="12.75" customHeight="1" x14ac:dyDescent="0.2">
      <c r="A751" s="1549"/>
      <c r="B751" s="1549"/>
      <c r="C751" s="1549"/>
      <c r="D751" s="1549"/>
      <c r="E751" s="1549"/>
      <c r="F751" s="1549"/>
      <c r="G751" s="1549"/>
      <c r="H751" s="1549"/>
      <c r="I751" s="1549"/>
      <c r="J751" s="1549"/>
      <c r="K751" s="1549"/>
      <c r="L751" s="1549"/>
      <c r="M751" s="1549"/>
      <c r="N751" s="1549"/>
      <c r="O751" s="1549"/>
      <c r="P751" s="1549"/>
      <c r="Q751" s="1549"/>
      <c r="R751" s="1549"/>
      <c r="S751" s="1549"/>
      <c r="T751" s="1549"/>
      <c r="U751" s="1549"/>
      <c r="V751" s="1549"/>
      <c r="W751" s="1549"/>
      <c r="X751" s="1549"/>
      <c r="Y751" s="1549"/>
      <c r="Z751" s="1549"/>
      <c r="AA751" s="1549"/>
      <c r="AB751" s="1549"/>
      <c r="AC751" s="1549"/>
      <c r="AD751" s="1549"/>
      <c r="AE751" s="1549"/>
      <c r="AF751" s="1549"/>
      <c r="AG751" s="1549"/>
      <c r="AH751" s="1549"/>
    </row>
    <row r="752" spans="1:34" ht="12.75" customHeight="1" x14ac:dyDescent="0.2">
      <c r="A752" s="1549"/>
      <c r="B752" s="1549"/>
      <c r="C752" s="1549"/>
      <c r="D752" s="1549"/>
      <c r="E752" s="1549"/>
      <c r="F752" s="1549"/>
      <c r="G752" s="1549"/>
      <c r="H752" s="1549"/>
      <c r="I752" s="1549"/>
      <c r="J752" s="1549"/>
      <c r="K752" s="1549"/>
      <c r="L752" s="1549"/>
      <c r="M752" s="1549"/>
      <c r="N752" s="1549"/>
      <c r="O752" s="1549"/>
      <c r="P752" s="1549"/>
      <c r="Q752" s="1549"/>
      <c r="R752" s="1549"/>
      <c r="S752" s="1549"/>
      <c r="T752" s="1549"/>
      <c r="U752" s="1549"/>
      <c r="V752" s="1549"/>
      <c r="W752" s="1549"/>
      <c r="X752" s="1549"/>
      <c r="Y752" s="1549"/>
      <c r="Z752" s="1549"/>
      <c r="AA752" s="1549"/>
      <c r="AB752" s="1549"/>
      <c r="AC752" s="1549"/>
      <c r="AD752" s="1549"/>
      <c r="AE752" s="1549"/>
      <c r="AF752" s="1549"/>
      <c r="AG752" s="1549"/>
      <c r="AH752" s="1549"/>
    </row>
    <row r="753" spans="1:34" ht="12.75" customHeight="1" x14ac:dyDescent="0.2">
      <c r="A753" s="1549"/>
      <c r="B753" s="1549"/>
      <c r="C753" s="1549"/>
      <c r="D753" s="1549"/>
      <c r="E753" s="1549"/>
      <c r="F753" s="1549"/>
      <c r="G753" s="1549"/>
      <c r="H753" s="1549"/>
      <c r="I753" s="1549"/>
      <c r="J753" s="1549"/>
      <c r="K753" s="1549"/>
      <c r="L753" s="1549"/>
      <c r="M753" s="1549"/>
      <c r="N753" s="1549"/>
      <c r="O753" s="1549"/>
      <c r="P753" s="1549"/>
      <c r="Q753" s="1549"/>
      <c r="R753" s="1549"/>
      <c r="S753" s="1549"/>
      <c r="T753" s="1549"/>
      <c r="U753" s="1549"/>
      <c r="V753" s="1549"/>
      <c r="W753" s="1549"/>
      <c r="X753" s="1549"/>
      <c r="Y753" s="1549"/>
      <c r="Z753" s="1549"/>
      <c r="AA753" s="1549"/>
      <c r="AB753" s="1549"/>
      <c r="AC753" s="1549"/>
      <c r="AD753" s="1549"/>
      <c r="AE753" s="1549"/>
      <c r="AF753" s="1549"/>
      <c r="AG753" s="1549"/>
      <c r="AH753" s="1549"/>
    </row>
    <row r="754" spans="1:34" ht="12.75" customHeight="1" x14ac:dyDescent="0.2">
      <c r="A754" s="1549"/>
      <c r="B754" s="1549"/>
      <c r="C754" s="1549"/>
      <c r="D754" s="1549"/>
      <c r="E754" s="1549"/>
      <c r="F754" s="1549"/>
      <c r="G754" s="1549"/>
      <c r="H754" s="1549"/>
      <c r="I754" s="1549"/>
      <c r="J754" s="1549"/>
      <c r="K754" s="1549"/>
      <c r="L754" s="1549"/>
      <c r="M754" s="1549"/>
      <c r="N754" s="1549"/>
      <c r="O754" s="1549"/>
      <c r="P754" s="1549"/>
      <c r="Q754" s="1549"/>
      <c r="R754" s="1549"/>
      <c r="S754" s="1549"/>
      <c r="T754" s="1549"/>
      <c r="U754" s="1549"/>
      <c r="V754" s="1549"/>
      <c r="W754" s="1549"/>
      <c r="X754" s="1549"/>
      <c r="Y754" s="1549"/>
      <c r="Z754" s="1549"/>
      <c r="AA754" s="1549"/>
      <c r="AB754" s="1549"/>
      <c r="AC754" s="1549"/>
      <c r="AD754" s="1549"/>
      <c r="AE754" s="1549"/>
      <c r="AF754" s="1549"/>
      <c r="AG754" s="1549"/>
      <c r="AH754" s="1549"/>
    </row>
    <row r="755" spans="1:34" ht="12.75" customHeight="1" x14ac:dyDescent="0.2">
      <c r="A755" s="1549"/>
      <c r="B755" s="1549"/>
      <c r="C755" s="1549"/>
      <c r="D755" s="1549"/>
      <c r="E755" s="1549"/>
      <c r="F755" s="1549"/>
      <c r="G755" s="1549"/>
      <c r="H755" s="1549"/>
      <c r="I755" s="1549"/>
      <c r="J755" s="1549"/>
      <c r="K755" s="1549"/>
      <c r="L755" s="1549"/>
      <c r="M755" s="1549"/>
      <c r="N755" s="1549"/>
      <c r="O755" s="1549"/>
      <c r="P755" s="1549"/>
      <c r="Q755" s="1549"/>
      <c r="R755" s="1549"/>
      <c r="S755" s="1549"/>
      <c r="T755" s="1549"/>
      <c r="U755" s="1549"/>
      <c r="V755" s="1549"/>
      <c r="W755" s="1549"/>
      <c r="X755" s="1549"/>
      <c r="Y755" s="1549"/>
      <c r="Z755" s="1549"/>
      <c r="AA755" s="1549"/>
      <c r="AB755" s="1549"/>
      <c r="AC755" s="1549"/>
      <c r="AD755" s="1549"/>
      <c r="AE755" s="1549"/>
      <c r="AF755" s="1549"/>
      <c r="AG755" s="1549"/>
      <c r="AH755" s="1549"/>
    </row>
    <row r="756" spans="1:34" ht="12.75" customHeight="1" x14ac:dyDescent="0.2">
      <c r="A756" s="1549"/>
      <c r="B756" s="1549"/>
      <c r="C756" s="1549"/>
      <c r="D756" s="1549"/>
      <c r="E756" s="1549"/>
      <c r="F756" s="1549"/>
      <c r="G756" s="1549"/>
      <c r="H756" s="1549"/>
      <c r="I756" s="1549"/>
      <c r="J756" s="1549"/>
      <c r="K756" s="1549"/>
      <c r="L756" s="1549"/>
      <c r="M756" s="1549"/>
      <c r="N756" s="1549"/>
      <c r="O756" s="1549"/>
      <c r="P756" s="1549"/>
      <c r="Q756" s="1549"/>
      <c r="R756" s="1549"/>
      <c r="S756" s="1549"/>
      <c r="T756" s="1549"/>
      <c r="U756" s="1549"/>
      <c r="V756" s="1549"/>
      <c r="W756" s="1549"/>
      <c r="X756" s="1549"/>
      <c r="Y756" s="1549"/>
      <c r="Z756" s="1549"/>
      <c r="AA756" s="1549"/>
      <c r="AB756" s="1549"/>
      <c r="AC756" s="1549"/>
      <c r="AD756" s="1549"/>
      <c r="AE756" s="1549"/>
      <c r="AF756" s="1549"/>
      <c r="AG756" s="1549"/>
      <c r="AH756" s="1549"/>
    </row>
    <row r="757" spans="1:34" ht="12.75" customHeight="1" x14ac:dyDescent="0.2">
      <c r="A757" s="1549"/>
      <c r="B757" s="1549"/>
      <c r="C757" s="1549"/>
      <c r="D757" s="1549"/>
      <c r="E757" s="1549"/>
      <c r="F757" s="1549"/>
      <c r="G757" s="1549"/>
      <c r="H757" s="1549"/>
      <c r="I757" s="1549"/>
      <c r="J757" s="1549"/>
      <c r="K757" s="1549"/>
      <c r="L757" s="1549"/>
      <c r="M757" s="1549"/>
      <c r="N757" s="1549"/>
      <c r="O757" s="1549"/>
      <c r="P757" s="1549"/>
      <c r="Q757" s="1549"/>
      <c r="R757" s="1549"/>
      <c r="S757" s="1549"/>
      <c r="T757" s="1549"/>
      <c r="U757" s="1549"/>
      <c r="V757" s="1549"/>
      <c r="W757" s="1549"/>
      <c r="X757" s="1549"/>
      <c r="Y757" s="1549"/>
      <c r="Z757" s="1549"/>
      <c r="AA757" s="1549"/>
      <c r="AB757" s="1549"/>
      <c r="AC757" s="1549"/>
      <c r="AD757" s="1549"/>
      <c r="AE757" s="1549"/>
      <c r="AF757" s="1549"/>
      <c r="AG757" s="1549"/>
      <c r="AH757" s="1549"/>
    </row>
    <row r="758" spans="1:34" ht="12.75" customHeight="1" x14ac:dyDescent="0.2">
      <c r="A758" s="1549"/>
      <c r="B758" s="1549"/>
      <c r="C758" s="1549"/>
      <c r="D758" s="1549"/>
      <c r="E758" s="1549"/>
      <c r="F758" s="1549"/>
      <c r="G758" s="1549"/>
      <c r="H758" s="1549"/>
      <c r="I758" s="1549"/>
      <c r="J758" s="1549"/>
      <c r="K758" s="1549"/>
      <c r="L758" s="1549"/>
      <c r="M758" s="1549"/>
      <c r="N758" s="1549"/>
      <c r="O758" s="1549"/>
      <c r="P758" s="1549"/>
      <c r="Q758" s="1549"/>
      <c r="R758" s="1549"/>
      <c r="S758" s="1549"/>
      <c r="T758" s="1549"/>
      <c r="U758" s="1549"/>
      <c r="V758" s="1549"/>
      <c r="W758" s="1549"/>
      <c r="X758" s="1549"/>
      <c r="Y758" s="1549"/>
      <c r="Z758" s="1549"/>
      <c r="AA758" s="1549"/>
      <c r="AB758" s="1549"/>
      <c r="AC758" s="1549"/>
      <c r="AD758" s="1549"/>
      <c r="AE758" s="1549"/>
      <c r="AF758" s="1549"/>
      <c r="AG758" s="1549"/>
      <c r="AH758" s="1549"/>
    </row>
    <row r="759" spans="1:34" ht="12.75" customHeight="1" x14ac:dyDescent="0.2">
      <c r="A759" s="1549"/>
      <c r="B759" s="1549"/>
      <c r="C759" s="1549"/>
      <c r="D759" s="1549"/>
      <c r="E759" s="1549"/>
      <c r="F759" s="1549"/>
      <c r="G759" s="1549"/>
      <c r="H759" s="1549"/>
      <c r="I759" s="1549"/>
      <c r="J759" s="1549"/>
      <c r="K759" s="1549"/>
      <c r="L759" s="1549"/>
      <c r="M759" s="1549"/>
      <c r="N759" s="1549"/>
      <c r="O759" s="1549"/>
      <c r="P759" s="1549"/>
      <c r="Q759" s="1549"/>
      <c r="R759" s="1549"/>
      <c r="S759" s="1549"/>
      <c r="T759" s="1549"/>
      <c r="U759" s="1549"/>
      <c r="V759" s="1549"/>
      <c r="W759" s="1549"/>
      <c r="X759" s="1549"/>
      <c r="Y759" s="1549"/>
      <c r="Z759" s="1549"/>
      <c r="AA759" s="1549"/>
      <c r="AB759" s="1549"/>
      <c r="AC759" s="1549"/>
      <c r="AD759" s="1549"/>
      <c r="AE759" s="1549"/>
      <c r="AF759" s="1549"/>
      <c r="AG759" s="1549"/>
      <c r="AH759" s="1549"/>
    </row>
    <row r="760" spans="1:34" ht="12.75" customHeight="1" x14ac:dyDescent="0.2">
      <c r="A760" s="1549"/>
      <c r="B760" s="1549"/>
      <c r="C760" s="1549"/>
      <c r="D760" s="1549"/>
      <c r="E760" s="1549"/>
      <c r="F760" s="1549"/>
      <c r="G760" s="1549"/>
      <c r="H760" s="1549"/>
      <c r="I760" s="1549"/>
      <c r="J760" s="1549"/>
      <c r="K760" s="1549"/>
      <c r="L760" s="1549"/>
      <c r="M760" s="1549"/>
      <c r="N760" s="1549"/>
      <c r="O760" s="1549"/>
      <c r="P760" s="1549"/>
      <c r="Q760" s="1549"/>
      <c r="R760" s="1549"/>
      <c r="S760" s="1549"/>
      <c r="T760" s="1549"/>
      <c r="U760" s="1549"/>
      <c r="V760" s="1549"/>
      <c r="W760" s="1549"/>
      <c r="X760" s="1549"/>
      <c r="Y760" s="1549"/>
      <c r="Z760" s="1549"/>
      <c r="AA760" s="1549"/>
      <c r="AB760" s="1549"/>
      <c r="AC760" s="1549"/>
      <c r="AD760" s="1549"/>
      <c r="AE760" s="1549"/>
      <c r="AF760" s="1549"/>
      <c r="AG760" s="1549"/>
      <c r="AH760" s="1549"/>
    </row>
    <row r="761" spans="1:34" ht="12.75" customHeight="1" x14ac:dyDescent="0.2">
      <c r="A761" s="1549"/>
      <c r="B761" s="1549"/>
      <c r="C761" s="1549"/>
      <c r="D761" s="1549"/>
      <c r="E761" s="1549"/>
      <c r="F761" s="1549"/>
      <c r="G761" s="1549"/>
      <c r="H761" s="1549"/>
      <c r="I761" s="1549"/>
      <c r="J761" s="1549"/>
      <c r="K761" s="1549"/>
      <c r="L761" s="1549"/>
      <c r="M761" s="1549"/>
      <c r="N761" s="1549"/>
      <c r="O761" s="1549"/>
      <c r="P761" s="1549"/>
      <c r="Q761" s="1549"/>
      <c r="R761" s="1549"/>
      <c r="S761" s="1549"/>
      <c r="T761" s="1549"/>
      <c r="U761" s="1549"/>
      <c r="V761" s="1549"/>
      <c r="W761" s="1549"/>
      <c r="X761" s="1549"/>
      <c r="Y761" s="1549"/>
      <c r="Z761" s="1549"/>
      <c r="AA761" s="1549"/>
      <c r="AB761" s="1549"/>
      <c r="AC761" s="1549"/>
      <c r="AD761" s="1549"/>
      <c r="AE761" s="1549"/>
      <c r="AF761" s="1549"/>
      <c r="AG761" s="1549"/>
      <c r="AH761" s="1549"/>
    </row>
    <row r="762" spans="1:34" ht="12.75" customHeight="1" x14ac:dyDescent="0.2">
      <c r="A762" s="1549"/>
      <c r="B762" s="1549"/>
      <c r="C762" s="1549"/>
      <c r="D762" s="1549"/>
      <c r="E762" s="1549"/>
      <c r="F762" s="1549"/>
      <c r="G762" s="1549"/>
      <c r="H762" s="1549"/>
      <c r="I762" s="1549"/>
      <c r="J762" s="1549"/>
      <c r="K762" s="1549"/>
      <c r="L762" s="1549"/>
      <c r="M762" s="1549"/>
      <c r="N762" s="1549"/>
      <c r="O762" s="1549"/>
      <c r="P762" s="1549"/>
      <c r="Q762" s="1549"/>
      <c r="R762" s="1549"/>
      <c r="S762" s="1549"/>
      <c r="T762" s="1549"/>
      <c r="U762" s="1549"/>
      <c r="V762" s="1549"/>
      <c r="W762" s="1549"/>
      <c r="X762" s="1549"/>
      <c r="Y762" s="1549"/>
      <c r="Z762" s="1549"/>
      <c r="AA762" s="1549"/>
      <c r="AB762" s="1549"/>
      <c r="AC762" s="1549"/>
      <c r="AD762" s="1549"/>
      <c r="AE762" s="1549"/>
      <c r="AF762" s="1549"/>
      <c r="AG762" s="1549"/>
      <c r="AH762" s="1549"/>
    </row>
    <row r="763" spans="1:34" ht="12.75" customHeight="1" x14ac:dyDescent="0.2">
      <c r="A763" s="1549"/>
      <c r="B763" s="1549"/>
      <c r="C763" s="1549"/>
      <c r="D763" s="1549"/>
      <c r="E763" s="1549"/>
      <c r="F763" s="1549"/>
      <c r="G763" s="1549"/>
      <c r="H763" s="1549"/>
      <c r="I763" s="1549"/>
      <c r="J763" s="1549"/>
      <c r="K763" s="1549"/>
      <c r="L763" s="1549"/>
      <c r="M763" s="1549"/>
      <c r="N763" s="1549"/>
      <c r="O763" s="1549"/>
      <c r="P763" s="1549"/>
      <c r="Q763" s="1549"/>
      <c r="R763" s="1549"/>
      <c r="S763" s="1549"/>
      <c r="T763" s="1549"/>
      <c r="U763" s="1549"/>
      <c r="V763" s="1549"/>
      <c r="W763" s="1549"/>
      <c r="X763" s="1549"/>
      <c r="Y763" s="1549"/>
      <c r="Z763" s="1549"/>
      <c r="AA763" s="1549"/>
      <c r="AB763" s="1549"/>
      <c r="AC763" s="1549"/>
      <c r="AD763" s="1549"/>
      <c r="AE763" s="1549"/>
      <c r="AF763" s="1549"/>
      <c r="AG763" s="1549"/>
      <c r="AH763" s="1549"/>
    </row>
    <row r="764" spans="1:34" ht="12.75" customHeight="1" x14ac:dyDescent="0.2">
      <c r="A764" s="1549"/>
      <c r="B764" s="1549"/>
      <c r="C764" s="1549"/>
      <c r="D764" s="1549"/>
      <c r="E764" s="1549"/>
      <c r="F764" s="1549"/>
      <c r="G764" s="1549"/>
      <c r="H764" s="1549"/>
      <c r="I764" s="1549"/>
      <c r="J764" s="1549"/>
      <c r="K764" s="1549"/>
      <c r="L764" s="1549"/>
      <c r="M764" s="1549"/>
      <c r="N764" s="1549"/>
      <c r="O764" s="1549"/>
      <c r="P764" s="1549"/>
      <c r="Q764" s="1549"/>
      <c r="R764" s="1549"/>
      <c r="S764" s="1549"/>
      <c r="T764" s="1549"/>
      <c r="U764" s="1549"/>
      <c r="V764" s="1549"/>
      <c r="W764" s="1549"/>
      <c r="X764" s="1549"/>
      <c r="Y764" s="1549"/>
      <c r="Z764" s="1549"/>
      <c r="AA764" s="1549"/>
      <c r="AB764" s="1549"/>
      <c r="AC764" s="1549"/>
      <c r="AD764" s="1549"/>
      <c r="AE764" s="1549"/>
      <c r="AF764" s="1549"/>
      <c r="AG764" s="1549"/>
      <c r="AH764" s="1549"/>
    </row>
    <row r="765" spans="1:34" ht="12.75" customHeight="1" x14ac:dyDescent="0.2">
      <c r="A765" s="1549"/>
      <c r="B765" s="1549"/>
      <c r="C765" s="1549"/>
      <c r="D765" s="1549"/>
      <c r="E765" s="1549"/>
      <c r="F765" s="1549"/>
      <c r="G765" s="1549"/>
      <c r="H765" s="1549"/>
      <c r="I765" s="1549"/>
      <c r="J765" s="1549"/>
      <c r="K765" s="1549"/>
      <c r="L765" s="1549"/>
      <c r="M765" s="1549"/>
      <c r="N765" s="1549"/>
      <c r="O765" s="1549"/>
      <c r="P765" s="1549"/>
      <c r="Q765" s="1549"/>
      <c r="R765" s="1549"/>
      <c r="S765" s="1549"/>
      <c r="T765" s="1549"/>
      <c r="U765" s="1549"/>
      <c r="V765" s="1549"/>
      <c r="W765" s="1549"/>
      <c r="X765" s="1549"/>
      <c r="Y765" s="1549"/>
      <c r="Z765" s="1549"/>
      <c r="AA765" s="1549"/>
      <c r="AB765" s="1549"/>
      <c r="AC765" s="1549"/>
      <c r="AD765" s="1549"/>
      <c r="AE765" s="1549"/>
      <c r="AF765" s="1549"/>
      <c r="AG765" s="1549"/>
      <c r="AH765" s="1549"/>
    </row>
    <row r="766" spans="1:34" ht="12.75" customHeight="1" x14ac:dyDescent="0.2">
      <c r="A766" s="1549"/>
      <c r="B766" s="1549"/>
      <c r="C766" s="1549"/>
      <c r="D766" s="1549"/>
      <c r="E766" s="1549"/>
      <c r="F766" s="1549"/>
      <c r="G766" s="1549"/>
      <c r="H766" s="1549"/>
      <c r="I766" s="1549"/>
      <c r="J766" s="1549"/>
      <c r="K766" s="1549"/>
      <c r="L766" s="1549"/>
      <c r="M766" s="1549"/>
      <c r="N766" s="1549"/>
      <c r="O766" s="1549"/>
      <c r="P766" s="1549"/>
      <c r="Q766" s="1549"/>
      <c r="R766" s="1549"/>
      <c r="S766" s="1549"/>
      <c r="T766" s="1549"/>
      <c r="U766" s="1549"/>
      <c r="V766" s="1549"/>
      <c r="W766" s="1549"/>
      <c r="X766" s="1549"/>
      <c r="Y766" s="1549"/>
      <c r="Z766" s="1549"/>
      <c r="AA766" s="1549"/>
      <c r="AB766" s="1549"/>
      <c r="AC766" s="1549"/>
      <c r="AD766" s="1549"/>
      <c r="AE766" s="1549"/>
      <c r="AF766" s="1549"/>
      <c r="AG766" s="1549"/>
      <c r="AH766" s="1549"/>
    </row>
    <row r="767" spans="1:34" ht="12.75" customHeight="1" x14ac:dyDescent="0.2">
      <c r="A767" s="1549"/>
      <c r="B767" s="1549"/>
      <c r="C767" s="1549"/>
      <c r="D767" s="1549"/>
      <c r="E767" s="1549"/>
      <c r="F767" s="1549"/>
      <c r="G767" s="1549"/>
      <c r="H767" s="1549"/>
      <c r="I767" s="1549"/>
      <c r="J767" s="1549"/>
      <c r="K767" s="1549"/>
      <c r="L767" s="1549"/>
      <c r="M767" s="1549"/>
      <c r="N767" s="1549"/>
      <c r="O767" s="1549"/>
      <c r="P767" s="1549"/>
      <c r="Q767" s="1549"/>
      <c r="R767" s="1549"/>
      <c r="S767" s="1549"/>
      <c r="T767" s="1549"/>
      <c r="U767" s="1549"/>
      <c r="V767" s="1549"/>
      <c r="W767" s="1549"/>
      <c r="X767" s="1549"/>
      <c r="Y767" s="1549"/>
      <c r="Z767" s="1549"/>
      <c r="AA767" s="1549"/>
      <c r="AB767" s="1549"/>
      <c r="AC767" s="1549"/>
      <c r="AD767" s="1549"/>
      <c r="AE767" s="1549"/>
      <c r="AF767" s="1549"/>
      <c r="AG767" s="1549"/>
      <c r="AH767" s="1549"/>
    </row>
    <row r="768" spans="1:34" ht="12.75" customHeight="1" x14ac:dyDescent="0.2">
      <c r="A768" s="1549"/>
      <c r="B768" s="1549"/>
      <c r="C768" s="1549"/>
      <c r="D768" s="1549"/>
      <c r="E768" s="1549"/>
      <c r="F768" s="1549"/>
      <c r="G768" s="1549"/>
      <c r="H768" s="1549"/>
      <c r="I768" s="1549"/>
      <c r="J768" s="1549"/>
      <c r="K768" s="1549"/>
      <c r="L768" s="1549"/>
      <c r="M768" s="1549"/>
      <c r="N768" s="1549"/>
      <c r="O768" s="1549"/>
      <c r="P768" s="1549"/>
      <c r="Q768" s="1549"/>
      <c r="R768" s="1549"/>
      <c r="S768" s="1549"/>
      <c r="T768" s="1549"/>
      <c r="U768" s="1549"/>
      <c r="V768" s="1549"/>
      <c r="W768" s="1549"/>
      <c r="X768" s="1549"/>
      <c r="Y768" s="1549"/>
      <c r="Z768" s="1549"/>
      <c r="AA768" s="1549"/>
      <c r="AB768" s="1549"/>
      <c r="AC768" s="1549"/>
      <c r="AD768" s="1549"/>
      <c r="AE768" s="1549"/>
      <c r="AF768" s="1549"/>
      <c r="AG768" s="1549"/>
      <c r="AH768" s="1549"/>
    </row>
    <row r="769" spans="1:34" ht="12.75" customHeight="1" x14ac:dyDescent="0.2">
      <c r="A769" s="1549"/>
      <c r="B769" s="1549"/>
      <c r="C769" s="1549"/>
      <c r="D769" s="1549"/>
      <c r="E769" s="1549"/>
      <c r="F769" s="1549"/>
      <c r="G769" s="1549"/>
      <c r="H769" s="1549"/>
      <c r="I769" s="1549"/>
      <c r="J769" s="1549"/>
      <c r="K769" s="1549"/>
      <c r="L769" s="1549"/>
      <c r="M769" s="1549"/>
      <c r="N769" s="1549"/>
      <c r="O769" s="1549"/>
      <c r="P769" s="1549"/>
      <c r="Q769" s="1549"/>
      <c r="R769" s="1549"/>
      <c r="S769" s="1549"/>
      <c r="T769" s="1549"/>
      <c r="U769" s="1549"/>
      <c r="V769" s="1549"/>
      <c r="W769" s="1549"/>
      <c r="X769" s="1549"/>
      <c r="Y769" s="1549"/>
      <c r="Z769" s="1549"/>
      <c r="AA769" s="1549"/>
      <c r="AB769" s="1549"/>
      <c r="AC769" s="1549"/>
      <c r="AD769" s="1549"/>
      <c r="AE769" s="1549"/>
      <c r="AF769" s="1549"/>
      <c r="AG769" s="1549"/>
      <c r="AH769" s="1549"/>
    </row>
    <row r="770" spans="1:34" ht="12.75" customHeight="1" x14ac:dyDescent="0.2">
      <c r="A770" s="1549"/>
      <c r="B770" s="1549"/>
      <c r="C770" s="1549"/>
      <c r="D770" s="1549"/>
      <c r="E770" s="1549"/>
      <c r="F770" s="1549"/>
      <c r="G770" s="1549"/>
      <c r="H770" s="1549"/>
      <c r="I770" s="1549"/>
      <c r="J770" s="1549"/>
      <c r="K770" s="1549"/>
      <c r="L770" s="1549"/>
      <c r="M770" s="1549"/>
      <c r="N770" s="1549"/>
      <c r="O770" s="1549"/>
      <c r="P770" s="1549"/>
      <c r="Q770" s="1549"/>
      <c r="R770" s="1549"/>
      <c r="S770" s="1549"/>
      <c r="T770" s="1549"/>
      <c r="U770" s="1549"/>
      <c r="V770" s="1549"/>
      <c r="W770" s="1549"/>
      <c r="X770" s="1549"/>
      <c r="Y770" s="1549"/>
      <c r="Z770" s="1549"/>
      <c r="AA770" s="1549"/>
      <c r="AB770" s="1549"/>
      <c r="AC770" s="1549"/>
      <c r="AD770" s="1549"/>
      <c r="AE770" s="1549"/>
      <c r="AF770" s="1549"/>
      <c r="AG770" s="1549"/>
      <c r="AH770" s="1549"/>
    </row>
    <row r="771" spans="1:34" ht="12.75" customHeight="1" x14ac:dyDescent="0.2">
      <c r="A771" s="1549"/>
      <c r="B771" s="1549"/>
      <c r="C771" s="1549"/>
      <c r="D771" s="1549"/>
      <c r="E771" s="1549"/>
      <c r="F771" s="1549"/>
      <c r="G771" s="1549"/>
      <c r="H771" s="1549"/>
      <c r="I771" s="1549"/>
      <c r="J771" s="1549"/>
      <c r="K771" s="1549"/>
      <c r="L771" s="1549"/>
      <c r="M771" s="1549"/>
      <c r="N771" s="1549"/>
      <c r="O771" s="1549"/>
      <c r="P771" s="1549"/>
      <c r="Q771" s="1549"/>
      <c r="R771" s="1549"/>
      <c r="S771" s="1549"/>
      <c r="T771" s="1549"/>
      <c r="U771" s="1549"/>
      <c r="V771" s="1549"/>
      <c r="W771" s="1549"/>
      <c r="X771" s="1549"/>
      <c r="Y771" s="1549"/>
      <c r="Z771" s="1549"/>
      <c r="AA771" s="1549"/>
      <c r="AB771" s="1549"/>
      <c r="AC771" s="1549"/>
      <c r="AD771" s="1549"/>
      <c r="AE771" s="1549"/>
      <c r="AF771" s="1549"/>
      <c r="AG771" s="1549"/>
      <c r="AH771" s="1549"/>
    </row>
    <row r="772" spans="1:34" ht="12.75" customHeight="1" x14ac:dyDescent="0.2">
      <c r="A772" s="1549"/>
      <c r="B772" s="1549"/>
      <c r="C772" s="1549"/>
      <c r="D772" s="1549"/>
      <c r="E772" s="1549"/>
      <c r="F772" s="1549"/>
      <c r="G772" s="1549"/>
      <c r="H772" s="1549"/>
      <c r="I772" s="1549"/>
      <c r="J772" s="1549"/>
      <c r="K772" s="1549"/>
      <c r="L772" s="1549"/>
      <c r="M772" s="1549"/>
      <c r="N772" s="1549"/>
      <c r="O772" s="1549"/>
      <c r="P772" s="1549"/>
      <c r="Q772" s="1549"/>
      <c r="R772" s="1549"/>
      <c r="S772" s="1549"/>
      <c r="T772" s="1549"/>
      <c r="U772" s="1549"/>
      <c r="V772" s="1549"/>
      <c r="W772" s="1549"/>
      <c r="X772" s="1549"/>
      <c r="Y772" s="1549"/>
      <c r="Z772" s="1549"/>
      <c r="AA772" s="1549"/>
      <c r="AB772" s="1549"/>
      <c r="AC772" s="1549"/>
      <c r="AD772" s="1549"/>
      <c r="AE772" s="1549"/>
      <c r="AF772" s="1549"/>
      <c r="AG772" s="1549"/>
      <c r="AH772" s="1549"/>
    </row>
    <row r="773" spans="1:34" ht="12.75" customHeight="1" x14ac:dyDescent="0.2">
      <c r="A773" s="1549"/>
      <c r="B773" s="1549"/>
      <c r="C773" s="1549"/>
      <c r="D773" s="1549"/>
      <c r="E773" s="1549"/>
      <c r="F773" s="1549"/>
      <c r="G773" s="1549"/>
      <c r="H773" s="1549"/>
      <c r="I773" s="1549"/>
      <c r="J773" s="1549"/>
      <c r="K773" s="1549"/>
      <c r="L773" s="1549"/>
      <c r="M773" s="1549"/>
      <c r="N773" s="1549"/>
      <c r="O773" s="1549"/>
      <c r="P773" s="1549"/>
      <c r="Q773" s="1549"/>
      <c r="R773" s="1549"/>
      <c r="S773" s="1549"/>
      <c r="T773" s="1549"/>
      <c r="U773" s="1549"/>
      <c r="V773" s="1549"/>
      <c r="W773" s="1549"/>
      <c r="X773" s="1549"/>
      <c r="Y773" s="1549"/>
      <c r="Z773" s="1549"/>
      <c r="AA773" s="1549"/>
      <c r="AB773" s="1549"/>
      <c r="AC773" s="1549"/>
      <c r="AD773" s="1549"/>
      <c r="AE773" s="1549"/>
      <c r="AF773" s="1549"/>
      <c r="AG773" s="1549"/>
      <c r="AH773" s="1549"/>
    </row>
    <row r="774" spans="1:34" ht="12.75" customHeight="1" x14ac:dyDescent="0.2">
      <c r="A774" s="1549"/>
      <c r="B774" s="1549"/>
      <c r="C774" s="1549"/>
      <c r="D774" s="1549"/>
      <c r="E774" s="1549"/>
      <c r="F774" s="1549"/>
      <c r="G774" s="1549"/>
      <c r="H774" s="1549"/>
      <c r="I774" s="1549"/>
      <c r="J774" s="1549"/>
      <c r="K774" s="1549"/>
      <c r="L774" s="1549"/>
      <c r="M774" s="1549"/>
      <c r="N774" s="1549"/>
      <c r="O774" s="1549"/>
      <c r="P774" s="1549"/>
      <c r="Q774" s="1549"/>
      <c r="R774" s="1549"/>
      <c r="S774" s="1549"/>
      <c r="T774" s="1549"/>
      <c r="U774" s="1549"/>
      <c r="V774" s="1549"/>
      <c r="W774" s="1549"/>
      <c r="X774" s="1549"/>
      <c r="Y774" s="1549"/>
      <c r="Z774" s="1549"/>
      <c r="AA774" s="1549"/>
      <c r="AB774" s="1549"/>
      <c r="AC774" s="1549"/>
      <c r="AD774" s="1549"/>
      <c r="AE774" s="1549"/>
      <c r="AF774" s="1549"/>
      <c r="AG774" s="1549"/>
      <c r="AH774" s="1549"/>
    </row>
    <row r="775" spans="1:34" ht="12.75" customHeight="1" x14ac:dyDescent="0.2">
      <c r="A775" s="1549"/>
      <c r="B775" s="1549"/>
      <c r="C775" s="1549"/>
      <c r="D775" s="1549"/>
      <c r="E775" s="1549"/>
      <c r="F775" s="1549"/>
      <c r="G775" s="1549"/>
      <c r="H775" s="1549"/>
      <c r="I775" s="1549"/>
      <c r="J775" s="1549"/>
      <c r="K775" s="1549"/>
      <c r="L775" s="1549"/>
      <c r="M775" s="1549"/>
      <c r="N775" s="1549"/>
      <c r="O775" s="1549"/>
      <c r="P775" s="1549"/>
      <c r="Q775" s="1549"/>
      <c r="R775" s="1549"/>
      <c r="S775" s="1549"/>
      <c r="T775" s="1549"/>
      <c r="U775" s="1549"/>
      <c r="V775" s="1549"/>
      <c r="W775" s="1549"/>
      <c r="X775" s="1549"/>
      <c r="Y775" s="1549"/>
      <c r="Z775" s="1549"/>
      <c r="AA775" s="1549"/>
      <c r="AB775" s="1549"/>
      <c r="AC775" s="1549"/>
      <c r="AD775" s="1549"/>
      <c r="AE775" s="1549"/>
      <c r="AF775" s="1549"/>
      <c r="AG775" s="1549"/>
      <c r="AH775" s="1549"/>
    </row>
    <row r="776" spans="1:34" ht="12.75" customHeight="1" x14ac:dyDescent="0.2">
      <c r="A776" s="1549"/>
      <c r="B776" s="1549"/>
      <c r="C776" s="1549"/>
      <c r="D776" s="1549"/>
      <c r="E776" s="1549"/>
      <c r="F776" s="1549"/>
      <c r="G776" s="1549"/>
      <c r="H776" s="1549"/>
      <c r="I776" s="1549"/>
      <c r="J776" s="1549"/>
      <c r="K776" s="1549"/>
      <c r="L776" s="1549"/>
      <c r="M776" s="1549"/>
      <c r="N776" s="1549"/>
      <c r="O776" s="1549"/>
      <c r="P776" s="1549"/>
      <c r="Q776" s="1549"/>
      <c r="R776" s="1549"/>
      <c r="S776" s="1549"/>
      <c r="T776" s="1549"/>
      <c r="U776" s="1549"/>
      <c r="V776" s="1549"/>
      <c r="W776" s="1549"/>
      <c r="X776" s="1549"/>
      <c r="Y776" s="1549"/>
      <c r="Z776" s="1549"/>
      <c r="AA776" s="1549"/>
      <c r="AB776" s="1549"/>
      <c r="AC776" s="1549"/>
      <c r="AD776" s="1549"/>
      <c r="AE776" s="1549"/>
      <c r="AF776" s="1549"/>
      <c r="AG776" s="1549"/>
      <c r="AH776" s="1549"/>
    </row>
    <row r="777" spans="1:34" ht="12.75" customHeight="1" x14ac:dyDescent="0.2">
      <c r="A777" s="1549"/>
      <c r="B777" s="1549"/>
      <c r="C777" s="1549"/>
      <c r="D777" s="1549"/>
      <c r="E777" s="1549"/>
      <c r="F777" s="1549"/>
      <c r="G777" s="1549"/>
      <c r="H777" s="1549"/>
      <c r="I777" s="1549"/>
      <c r="J777" s="1549"/>
      <c r="K777" s="1549"/>
      <c r="L777" s="1549"/>
      <c r="M777" s="1549"/>
      <c r="N777" s="1549"/>
      <c r="O777" s="1549"/>
      <c r="P777" s="1549"/>
      <c r="Q777" s="1549"/>
      <c r="R777" s="1549"/>
      <c r="S777" s="1549"/>
      <c r="T777" s="1549"/>
      <c r="U777" s="1549"/>
      <c r="V777" s="1549"/>
      <c r="W777" s="1549"/>
      <c r="X777" s="1549"/>
      <c r="Y777" s="1549"/>
      <c r="Z777" s="1549"/>
      <c r="AA777" s="1549"/>
      <c r="AB777" s="1549"/>
      <c r="AC777" s="1549"/>
      <c r="AD777" s="1549"/>
      <c r="AE777" s="1549"/>
      <c r="AF777" s="1549"/>
      <c r="AG777" s="1549"/>
      <c r="AH777" s="1549"/>
    </row>
    <row r="778" spans="1:34" ht="12.75" customHeight="1" x14ac:dyDescent="0.2">
      <c r="A778" s="1549"/>
      <c r="B778" s="1549"/>
      <c r="C778" s="1549"/>
      <c r="D778" s="1549"/>
      <c r="E778" s="1549"/>
      <c r="F778" s="1549"/>
      <c r="G778" s="1549"/>
      <c r="H778" s="1549"/>
      <c r="I778" s="1549"/>
      <c r="J778" s="1549"/>
      <c r="K778" s="1549"/>
      <c r="L778" s="1549"/>
      <c r="M778" s="1549"/>
      <c r="N778" s="1549"/>
      <c r="O778" s="1549"/>
      <c r="P778" s="1549"/>
      <c r="Q778" s="1549"/>
      <c r="R778" s="1549"/>
      <c r="S778" s="1549"/>
      <c r="T778" s="1549"/>
      <c r="U778" s="1549"/>
      <c r="V778" s="1549"/>
      <c r="W778" s="1549"/>
      <c r="X778" s="1549"/>
      <c r="Y778" s="1549"/>
      <c r="Z778" s="1549"/>
      <c r="AA778" s="1549"/>
      <c r="AB778" s="1549"/>
      <c r="AC778" s="1549"/>
      <c r="AD778" s="1549"/>
      <c r="AE778" s="1549"/>
      <c r="AF778" s="1549"/>
      <c r="AG778" s="1549"/>
      <c r="AH778" s="1549"/>
    </row>
    <row r="779" spans="1:34" ht="12.75" customHeight="1" x14ac:dyDescent="0.2">
      <c r="A779" s="1549"/>
      <c r="B779" s="1549"/>
      <c r="C779" s="1549"/>
      <c r="D779" s="1549"/>
      <c r="E779" s="1549"/>
      <c r="F779" s="1549"/>
      <c r="G779" s="1549"/>
      <c r="H779" s="1549"/>
      <c r="I779" s="1549"/>
      <c r="J779" s="1549"/>
      <c r="K779" s="1549"/>
      <c r="L779" s="1549"/>
      <c r="M779" s="1549"/>
      <c r="N779" s="1549"/>
      <c r="O779" s="1549"/>
      <c r="P779" s="1549"/>
      <c r="Q779" s="1549"/>
      <c r="R779" s="1549"/>
      <c r="S779" s="1549"/>
      <c r="T779" s="1549"/>
      <c r="U779" s="1549"/>
      <c r="V779" s="1549"/>
      <c r="W779" s="1549"/>
      <c r="X779" s="1549"/>
      <c r="Y779" s="1549"/>
      <c r="Z779" s="1549"/>
      <c r="AA779" s="1549"/>
      <c r="AB779" s="1549"/>
      <c r="AC779" s="1549"/>
      <c r="AD779" s="1549"/>
      <c r="AE779" s="1549"/>
      <c r="AF779" s="1549"/>
      <c r="AG779" s="1549"/>
      <c r="AH779" s="1549"/>
    </row>
    <row r="780" spans="1:34" ht="12.75" customHeight="1" x14ac:dyDescent="0.2">
      <c r="A780" s="1549"/>
      <c r="B780" s="1549"/>
      <c r="C780" s="1549"/>
      <c r="D780" s="1549"/>
      <c r="E780" s="1549"/>
      <c r="F780" s="1549"/>
      <c r="G780" s="1549"/>
      <c r="H780" s="1549"/>
      <c r="I780" s="1549"/>
      <c r="J780" s="1549"/>
      <c r="K780" s="1549"/>
      <c r="L780" s="1549"/>
      <c r="M780" s="1549"/>
      <c r="N780" s="1549"/>
      <c r="O780" s="1549"/>
      <c r="P780" s="1549"/>
      <c r="Q780" s="1549"/>
      <c r="R780" s="1549"/>
      <c r="S780" s="1549"/>
      <c r="T780" s="1549"/>
      <c r="U780" s="1549"/>
      <c r="V780" s="1549"/>
      <c r="W780" s="1549"/>
      <c r="X780" s="1549"/>
      <c r="Y780" s="1549"/>
      <c r="Z780" s="1549"/>
      <c r="AA780" s="1549"/>
      <c r="AB780" s="1549"/>
      <c r="AC780" s="1549"/>
      <c r="AD780" s="1549"/>
      <c r="AE780" s="1549"/>
      <c r="AF780" s="1549"/>
      <c r="AG780" s="1549"/>
      <c r="AH780" s="1549"/>
    </row>
    <row r="781" spans="1:34" ht="12.75" customHeight="1" x14ac:dyDescent="0.2">
      <c r="A781" s="1549"/>
      <c r="B781" s="1549"/>
      <c r="C781" s="1549"/>
      <c r="D781" s="1549"/>
      <c r="E781" s="1549"/>
      <c r="F781" s="1549"/>
      <c r="G781" s="1549"/>
      <c r="H781" s="1549"/>
      <c r="I781" s="1549"/>
      <c r="J781" s="1549"/>
      <c r="K781" s="1549"/>
      <c r="L781" s="1549"/>
      <c r="M781" s="1549"/>
      <c r="N781" s="1549"/>
      <c r="O781" s="1549"/>
      <c r="P781" s="1549"/>
      <c r="Q781" s="1549"/>
      <c r="R781" s="1549"/>
      <c r="S781" s="1549"/>
      <c r="T781" s="1549"/>
      <c r="U781" s="1549"/>
      <c r="V781" s="1549"/>
      <c r="W781" s="1549"/>
      <c r="X781" s="1549"/>
      <c r="Y781" s="1549"/>
      <c r="Z781" s="1549"/>
      <c r="AA781" s="1549"/>
      <c r="AB781" s="1549"/>
      <c r="AC781" s="1549"/>
      <c r="AD781" s="1549"/>
      <c r="AE781" s="1549"/>
      <c r="AF781" s="1549"/>
      <c r="AG781" s="1549"/>
      <c r="AH781" s="1549"/>
    </row>
    <row r="782" spans="1:34" ht="12.75" customHeight="1" x14ac:dyDescent="0.2">
      <c r="A782" s="1549"/>
      <c r="B782" s="1549"/>
      <c r="C782" s="1549"/>
      <c r="D782" s="1549"/>
      <c r="E782" s="1549"/>
      <c r="F782" s="1549"/>
      <c r="G782" s="1549"/>
      <c r="H782" s="1549"/>
      <c r="I782" s="1549"/>
      <c r="J782" s="1549"/>
      <c r="K782" s="1549"/>
      <c r="L782" s="1549"/>
      <c r="M782" s="1549"/>
      <c r="N782" s="1549"/>
      <c r="O782" s="1549"/>
      <c r="P782" s="1549"/>
      <c r="Q782" s="1549"/>
      <c r="R782" s="1549"/>
      <c r="S782" s="1549"/>
      <c r="T782" s="1549"/>
      <c r="U782" s="1549"/>
      <c r="V782" s="1549"/>
      <c r="W782" s="1549"/>
      <c r="X782" s="1549"/>
      <c r="Y782" s="1549"/>
      <c r="Z782" s="1549"/>
      <c r="AA782" s="1549"/>
      <c r="AB782" s="1549"/>
      <c r="AC782" s="1549"/>
      <c r="AD782" s="1549"/>
      <c r="AE782" s="1549"/>
      <c r="AF782" s="1549"/>
      <c r="AG782" s="1549"/>
      <c r="AH782" s="1549"/>
    </row>
    <row r="783" spans="1:34" ht="12.75" customHeight="1" x14ac:dyDescent="0.2">
      <c r="A783" s="1549"/>
      <c r="B783" s="1549"/>
      <c r="C783" s="1549"/>
      <c r="D783" s="1549"/>
      <c r="E783" s="1549"/>
      <c r="F783" s="1549"/>
      <c r="G783" s="1549"/>
      <c r="H783" s="1549"/>
      <c r="I783" s="1549"/>
      <c r="J783" s="1549"/>
      <c r="K783" s="1549"/>
      <c r="L783" s="1549"/>
      <c r="M783" s="1549"/>
      <c r="N783" s="1549"/>
      <c r="O783" s="1549"/>
      <c r="P783" s="1549"/>
      <c r="Q783" s="1549"/>
      <c r="R783" s="1549"/>
      <c r="S783" s="1549"/>
      <c r="T783" s="1549"/>
      <c r="U783" s="1549"/>
      <c r="V783" s="1549"/>
      <c r="W783" s="1549"/>
      <c r="X783" s="1549"/>
      <c r="Y783" s="1549"/>
      <c r="Z783" s="1549"/>
      <c r="AA783" s="1549"/>
      <c r="AB783" s="1549"/>
      <c r="AC783" s="1549"/>
      <c r="AD783" s="1549"/>
      <c r="AE783" s="1549"/>
      <c r="AF783" s="1549"/>
      <c r="AG783" s="1549"/>
      <c r="AH783" s="1549"/>
    </row>
    <row r="784" spans="1:34" ht="12.75" customHeight="1" x14ac:dyDescent="0.2">
      <c r="A784" s="1549"/>
      <c r="B784" s="1549"/>
      <c r="C784" s="1549"/>
      <c r="D784" s="1549"/>
      <c r="E784" s="1549"/>
      <c r="F784" s="1549"/>
      <c r="G784" s="1549"/>
      <c r="H784" s="1549"/>
      <c r="I784" s="1549"/>
      <c r="J784" s="1549"/>
      <c r="K784" s="1549"/>
      <c r="L784" s="1549"/>
      <c r="M784" s="1549"/>
      <c r="N784" s="1549"/>
      <c r="O784" s="1549"/>
      <c r="P784" s="1549"/>
      <c r="Q784" s="1549"/>
      <c r="R784" s="1549"/>
      <c r="S784" s="1549"/>
      <c r="T784" s="1549"/>
      <c r="U784" s="1549"/>
      <c r="V784" s="1549"/>
      <c r="W784" s="1549"/>
      <c r="X784" s="1549"/>
      <c r="Y784" s="1549"/>
      <c r="Z784" s="1549"/>
      <c r="AA784" s="1549"/>
      <c r="AB784" s="1549"/>
      <c r="AC784" s="1549"/>
      <c r="AD784" s="1549"/>
      <c r="AE784" s="1549"/>
      <c r="AF784" s="1549"/>
      <c r="AG784" s="1549"/>
      <c r="AH784" s="1549"/>
    </row>
    <row r="785" spans="1:34" ht="12.75" customHeight="1" x14ac:dyDescent="0.2">
      <c r="A785" s="1549"/>
      <c r="B785" s="1549"/>
      <c r="C785" s="1549"/>
      <c r="D785" s="1549"/>
      <c r="E785" s="1549"/>
      <c r="F785" s="1549"/>
      <c r="G785" s="1549"/>
      <c r="H785" s="1549"/>
      <c r="I785" s="1549"/>
      <c r="J785" s="1549"/>
      <c r="K785" s="1549"/>
      <c r="L785" s="1549"/>
      <c r="M785" s="1549"/>
      <c r="N785" s="1549"/>
      <c r="O785" s="1549"/>
      <c r="P785" s="1549"/>
      <c r="Q785" s="1549"/>
      <c r="R785" s="1549"/>
      <c r="S785" s="1549"/>
      <c r="T785" s="1549"/>
      <c r="U785" s="1549"/>
      <c r="V785" s="1549"/>
      <c r="W785" s="1549"/>
      <c r="X785" s="1549"/>
      <c r="Y785" s="1549"/>
      <c r="Z785" s="1549"/>
      <c r="AA785" s="1549"/>
      <c r="AB785" s="1549"/>
      <c r="AC785" s="1549"/>
      <c r="AD785" s="1549"/>
      <c r="AE785" s="1549"/>
      <c r="AF785" s="1549"/>
      <c r="AG785" s="1549"/>
      <c r="AH785" s="1549"/>
    </row>
    <row r="786" spans="1:34" ht="12.75" customHeight="1" x14ac:dyDescent="0.2">
      <c r="A786" s="1549"/>
      <c r="B786" s="1549"/>
      <c r="C786" s="1549"/>
      <c r="D786" s="1549"/>
      <c r="E786" s="1549"/>
      <c r="F786" s="1549"/>
      <c r="G786" s="1549"/>
      <c r="H786" s="1549"/>
      <c r="I786" s="1549"/>
      <c r="J786" s="1549"/>
      <c r="K786" s="1549"/>
      <c r="L786" s="1549"/>
      <c r="M786" s="1549"/>
      <c r="N786" s="1549"/>
      <c r="O786" s="1549"/>
      <c r="P786" s="1549"/>
      <c r="Q786" s="1549"/>
      <c r="R786" s="1549"/>
      <c r="S786" s="1549"/>
      <c r="T786" s="1549"/>
      <c r="U786" s="1549"/>
      <c r="V786" s="1549"/>
      <c r="W786" s="1549"/>
      <c r="X786" s="1549"/>
      <c r="Y786" s="1549"/>
      <c r="Z786" s="1549"/>
      <c r="AA786" s="1549"/>
      <c r="AB786" s="1549"/>
      <c r="AC786" s="1549"/>
      <c r="AD786" s="1549"/>
      <c r="AE786" s="1549"/>
      <c r="AF786" s="1549"/>
      <c r="AG786" s="1549"/>
      <c r="AH786" s="1549"/>
    </row>
    <row r="787" spans="1:34" ht="12.75" customHeight="1" x14ac:dyDescent="0.2">
      <c r="A787" s="1549"/>
      <c r="B787" s="1549"/>
      <c r="C787" s="1549"/>
      <c r="D787" s="1549"/>
      <c r="E787" s="1549"/>
      <c r="F787" s="1549"/>
      <c r="G787" s="1549"/>
      <c r="H787" s="1549"/>
      <c r="I787" s="1549"/>
      <c r="J787" s="1549"/>
      <c r="K787" s="1549"/>
      <c r="L787" s="1549"/>
      <c r="M787" s="1549"/>
      <c r="N787" s="1549"/>
      <c r="O787" s="1549"/>
      <c r="P787" s="1549"/>
      <c r="Q787" s="1549"/>
      <c r="R787" s="1549"/>
      <c r="S787" s="1549"/>
      <c r="T787" s="1549"/>
      <c r="U787" s="1549"/>
      <c r="V787" s="1549"/>
      <c r="W787" s="1549"/>
      <c r="X787" s="1549"/>
      <c r="Y787" s="1549"/>
      <c r="Z787" s="1549"/>
      <c r="AA787" s="1549"/>
      <c r="AB787" s="1549"/>
      <c r="AC787" s="1549"/>
      <c r="AD787" s="1549"/>
      <c r="AE787" s="1549"/>
      <c r="AF787" s="1549"/>
      <c r="AG787" s="1549"/>
      <c r="AH787" s="1549"/>
    </row>
    <row r="788" spans="1:34" ht="12.75" customHeight="1" x14ac:dyDescent="0.2">
      <c r="A788" s="1549"/>
      <c r="B788" s="1549"/>
      <c r="C788" s="1549"/>
      <c r="D788" s="1549"/>
      <c r="E788" s="1549"/>
      <c r="F788" s="1549"/>
      <c r="G788" s="1549"/>
      <c r="H788" s="1549"/>
      <c r="I788" s="1549"/>
      <c r="J788" s="1549"/>
      <c r="K788" s="1549"/>
      <c r="L788" s="1549"/>
      <c r="M788" s="1549"/>
      <c r="N788" s="1549"/>
      <c r="O788" s="1549"/>
      <c r="P788" s="1549"/>
      <c r="Q788" s="1549"/>
      <c r="R788" s="1549"/>
      <c r="S788" s="1549"/>
      <c r="T788" s="1549"/>
      <c r="U788" s="1549"/>
      <c r="V788" s="1549"/>
      <c r="W788" s="1549"/>
      <c r="X788" s="1549"/>
      <c r="Y788" s="1549"/>
      <c r="Z788" s="1549"/>
      <c r="AA788" s="1549"/>
      <c r="AB788" s="1549"/>
      <c r="AC788" s="1549"/>
      <c r="AD788" s="1549"/>
      <c r="AE788" s="1549"/>
      <c r="AF788" s="1549"/>
      <c r="AG788" s="1549"/>
      <c r="AH788" s="1549"/>
    </row>
    <row r="789" spans="1:34" ht="12.75" customHeight="1" x14ac:dyDescent="0.2">
      <c r="A789" s="1549"/>
      <c r="B789" s="1549"/>
      <c r="C789" s="1549"/>
      <c r="D789" s="1549"/>
      <c r="E789" s="1549"/>
      <c r="F789" s="1549"/>
      <c r="G789" s="1549"/>
      <c r="H789" s="1549"/>
      <c r="I789" s="1549"/>
      <c r="J789" s="1549"/>
      <c r="K789" s="1549"/>
      <c r="L789" s="1549"/>
      <c r="M789" s="1549"/>
      <c r="N789" s="1549"/>
      <c r="O789" s="1549"/>
      <c r="P789" s="1549"/>
      <c r="Q789" s="1549"/>
      <c r="R789" s="1549"/>
      <c r="S789" s="1549"/>
      <c r="T789" s="1549"/>
      <c r="U789" s="1549"/>
      <c r="V789" s="1549"/>
      <c r="W789" s="1549"/>
      <c r="X789" s="1549"/>
      <c r="Y789" s="1549"/>
      <c r="Z789" s="1549"/>
      <c r="AA789" s="1549"/>
      <c r="AB789" s="1549"/>
      <c r="AC789" s="1549"/>
      <c r="AD789" s="1549"/>
      <c r="AE789" s="1549"/>
      <c r="AF789" s="1549"/>
      <c r="AG789" s="1549"/>
      <c r="AH789" s="1549"/>
    </row>
    <row r="790" spans="1:34" ht="12.75" customHeight="1" x14ac:dyDescent="0.2">
      <c r="A790" s="1549"/>
      <c r="B790" s="1549"/>
      <c r="C790" s="1549"/>
      <c r="D790" s="1549"/>
      <c r="E790" s="1549"/>
      <c r="F790" s="1549"/>
      <c r="G790" s="1549"/>
      <c r="H790" s="1549"/>
      <c r="I790" s="1549"/>
      <c r="J790" s="1549"/>
      <c r="K790" s="1549"/>
      <c r="L790" s="1549"/>
      <c r="M790" s="1549"/>
      <c r="N790" s="1549"/>
      <c r="O790" s="1549"/>
      <c r="P790" s="1549"/>
      <c r="Q790" s="1549"/>
      <c r="R790" s="1549"/>
      <c r="S790" s="1549"/>
      <c r="T790" s="1549"/>
      <c r="U790" s="1549"/>
      <c r="V790" s="1549"/>
      <c r="W790" s="1549"/>
      <c r="X790" s="1549"/>
      <c r="Y790" s="1549"/>
      <c r="Z790" s="1549"/>
      <c r="AA790" s="1549"/>
      <c r="AB790" s="1549"/>
      <c r="AC790" s="1549"/>
      <c r="AD790" s="1549"/>
      <c r="AE790" s="1549"/>
      <c r="AF790" s="1549"/>
      <c r="AG790" s="1549"/>
      <c r="AH790" s="1549"/>
    </row>
    <row r="791" spans="1:34" ht="12.75" customHeight="1" x14ac:dyDescent="0.2">
      <c r="A791" s="1549"/>
      <c r="B791" s="1549"/>
      <c r="C791" s="1549"/>
      <c r="D791" s="1549"/>
      <c r="E791" s="1549"/>
      <c r="F791" s="1549"/>
      <c r="G791" s="1549"/>
      <c r="H791" s="1549"/>
      <c r="I791" s="1549"/>
      <c r="J791" s="1549"/>
      <c r="K791" s="1549"/>
      <c r="L791" s="1549"/>
      <c r="M791" s="1549"/>
      <c r="N791" s="1549"/>
      <c r="O791" s="1549"/>
      <c r="P791" s="1549"/>
      <c r="Q791" s="1549"/>
      <c r="R791" s="1549"/>
      <c r="S791" s="1549"/>
      <c r="T791" s="1549"/>
      <c r="U791" s="1549"/>
      <c r="V791" s="1549"/>
      <c r="W791" s="1549"/>
      <c r="X791" s="1549"/>
      <c r="Y791" s="1549"/>
      <c r="Z791" s="1549"/>
      <c r="AA791" s="1549"/>
      <c r="AB791" s="1549"/>
      <c r="AC791" s="1549"/>
      <c r="AD791" s="1549"/>
      <c r="AE791" s="1549"/>
      <c r="AF791" s="1549"/>
      <c r="AG791" s="1549"/>
      <c r="AH791" s="1549"/>
    </row>
    <row r="792" spans="1:34" ht="12.75" customHeight="1" x14ac:dyDescent="0.2">
      <c r="A792" s="1549"/>
      <c r="B792" s="1549"/>
      <c r="C792" s="1549"/>
      <c r="D792" s="1549"/>
      <c r="E792" s="1549"/>
      <c r="F792" s="1549"/>
      <c r="G792" s="1549"/>
      <c r="H792" s="1549"/>
      <c r="I792" s="1549"/>
      <c r="J792" s="1549"/>
      <c r="K792" s="1549"/>
      <c r="L792" s="1549"/>
      <c r="M792" s="1549"/>
      <c r="N792" s="1549"/>
      <c r="O792" s="1549"/>
      <c r="P792" s="1549"/>
      <c r="Q792" s="1549"/>
      <c r="R792" s="1549"/>
      <c r="S792" s="1549"/>
      <c r="T792" s="1549"/>
      <c r="U792" s="1549"/>
      <c r="V792" s="1549"/>
      <c r="W792" s="1549"/>
      <c r="X792" s="1549"/>
      <c r="Y792" s="1549"/>
      <c r="Z792" s="1549"/>
      <c r="AA792" s="1549"/>
      <c r="AB792" s="1549"/>
      <c r="AC792" s="1549"/>
      <c r="AD792" s="1549"/>
      <c r="AE792" s="1549"/>
      <c r="AF792" s="1549"/>
      <c r="AG792" s="1549"/>
      <c r="AH792" s="1549"/>
    </row>
    <row r="793" spans="1:34" ht="12.75" customHeight="1" x14ac:dyDescent="0.2">
      <c r="A793" s="1549"/>
      <c r="B793" s="1549"/>
      <c r="C793" s="1549"/>
      <c r="D793" s="1549"/>
      <c r="E793" s="1549"/>
      <c r="F793" s="1549"/>
      <c r="G793" s="1549"/>
      <c r="H793" s="1549"/>
      <c r="I793" s="1549"/>
      <c r="J793" s="1549"/>
      <c r="K793" s="1549"/>
      <c r="L793" s="1549"/>
      <c r="M793" s="1549"/>
      <c r="N793" s="1549"/>
      <c r="O793" s="1549"/>
      <c r="P793" s="1549"/>
      <c r="Q793" s="1549"/>
      <c r="R793" s="1549"/>
      <c r="S793" s="1549"/>
      <c r="T793" s="1549"/>
      <c r="U793" s="1549"/>
      <c r="V793" s="1549"/>
      <c r="W793" s="1549"/>
      <c r="X793" s="1549"/>
      <c r="Y793" s="1549"/>
      <c r="Z793" s="1549"/>
      <c r="AA793" s="1549"/>
      <c r="AB793" s="1549"/>
      <c r="AC793" s="1549"/>
      <c r="AD793" s="1549"/>
      <c r="AE793" s="1549"/>
      <c r="AF793" s="1549"/>
      <c r="AG793" s="1549"/>
      <c r="AH793" s="1549"/>
    </row>
    <row r="794" spans="1:34" ht="12.75" customHeight="1" x14ac:dyDescent="0.2">
      <c r="A794" s="1549"/>
      <c r="B794" s="1549"/>
      <c r="C794" s="1549"/>
      <c r="D794" s="1549"/>
      <c r="E794" s="1549"/>
      <c r="F794" s="1549"/>
      <c r="G794" s="1549"/>
      <c r="H794" s="1549"/>
      <c r="I794" s="1549"/>
      <c r="J794" s="1549"/>
      <c r="K794" s="1549"/>
      <c r="L794" s="1549"/>
      <c r="M794" s="1549"/>
      <c r="N794" s="1549"/>
      <c r="O794" s="1549"/>
      <c r="P794" s="1549"/>
      <c r="Q794" s="1549"/>
      <c r="R794" s="1549"/>
      <c r="S794" s="1549"/>
      <c r="T794" s="1549"/>
      <c r="U794" s="1549"/>
      <c r="V794" s="1549"/>
      <c r="W794" s="1549"/>
      <c r="X794" s="1549"/>
      <c r="Y794" s="1549"/>
      <c r="Z794" s="1549"/>
      <c r="AA794" s="1549"/>
      <c r="AB794" s="1549"/>
      <c r="AC794" s="1549"/>
      <c r="AD794" s="1549"/>
      <c r="AE794" s="1549"/>
      <c r="AF794" s="1549"/>
      <c r="AG794" s="1549"/>
      <c r="AH794" s="1549"/>
    </row>
    <row r="795" spans="1:34" ht="12.75" customHeight="1" x14ac:dyDescent="0.2">
      <c r="A795" s="1549"/>
      <c r="B795" s="1549"/>
      <c r="C795" s="1549"/>
      <c r="D795" s="1549"/>
      <c r="E795" s="1549"/>
      <c r="F795" s="1549"/>
      <c r="G795" s="1549"/>
      <c r="H795" s="1549"/>
      <c r="I795" s="1549"/>
      <c r="J795" s="1549"/>
      <c r="K795" s="1549"/>
      <c r="L795" s="1549"/>
      <c r="M795" s="1549"/>
      <c r="N795" s="1549"/>
      <c r="O795" s="1549"/>
      <c r="P795" s="1549"/>
      <c r="Q795" s="1549"/>
      <c r="R795" s="1549"/>
      <c r="S795" s="1549"/>
      <c r="T795" s="1549"/>
      <c r="U795" s="1549"/>
      <c r="V795" s="1549"/>
      <c r="W795" s="1549"/>
      <c r="X795" s="1549"/>
      <c r="Y795" s="1549"/>
      <c r="Z795" s="1549"/>
      <c r="AA795" s="1549"/>
      <c r="AB795" s="1549"/>
      <c r="AC795" s="1549"/>
      <c r="AD795" s="1549"/>
      <c r="AE795" s="1549"/>
      <c r="AF795" s="1549"/>
      <c r="AG795" s="1549"/>
      <c r="AH795" s="1549"/>
    </row>
    <row r="796" spans="1:34" ht="12.75" customHeight="1" x14ac:dyDescent="0.2">
      <c r="A796" s="1549"/>
      <c r="B796" s="1549"/>
      <c r="C796" s="1549"/>
      <c r="D796" s="1549"/>
      <c r="E796" s="1549"/>
      <c r="F796" s="1549"/>
      <c r="G796" s="1549"/>
      <c r="H796" s="1549"/>
      <c r="I796" s="1549"/>
      <c r="J796" s="1549"/>
      <c r="K796" s="1549"/>
      <c r="L796" s="1549"/>
      <c r="M796" s="1549"/>
      <c r="N796" s="1549"/>
      <c r="O796" s="1549"/>
      <c r="P796" s="1549"/>
      <c r="Q796" s="1549"/>
      <c r="R796" s="1549"/>
      <c r="S796" s="1549"/>
      <c r="T796" s="1549"/>
      <c r="U796" s="1549"/>
      <c r="V796" s="1549"/>
      <c r="W796" s="1549"/>
      <c r="X796" s="1549"/>
      <c r="Y796" s="1549"/>
      <c r="Z796" s="1549"/>
      <c r="AA796" s="1549"/>
      <c r="AB796" s="1549"/>
      <c r="AC796" s="1549"/>
      <c r="AD796" s="1549"/>
      <c r="AE796" s="1549"/>
      <c r="AF796" s="1549"/>
      <c r="AG796" s="1549"/>
      <c r="AH796" s="1549"/>
    </row>
    <row r="797" spans="1:34" ht="12.75" customHeight="1" x14ac:dyDescent="0.2">
      <c r="A797" s="1549"/>
      <c r="B797" s="1549"/>
      <c r="C797" s="1549"/>
      <c r="D797" s="1549"/>
      <c r="E797" s="1549"/>
      <c r="F797" s="1549"/>
      <c r="G797" s="1549"/>
      <c r="H797" s="1549"/>
      <c r="I797" s="1549"/>
      <c r="J797" s="1549"/>
      <c r="K797" s="1549"/>
      <c r="L797" s="1549"/>
      <c r="M797" s="1549"/>
      <c r="N797" s="1549"/>
      <c r="O797" s="1549"/>
      <c r="P797" s="1549"/>
      <c r="Q797" s="1549"/>
      <c r="R797" s="1549"/>
      <c r="S797" s="1549"/>
      <c r="T797" s="1549"/>
      <c r="U797" s="1549"/>
      <c r="V797" s="1549"/>
      <c r="W797" s="1549"/>
      <c r="X797" s="1549"/>
      <c r="Y797" s="1549"/>
      <c r="Z797" s="1549"/>
      <c r="AA797" s="1549"/>
      <c r="AB797" s="1549"/>
      <c r="AC797" s="1549"/>
      <c r="AD797" s="1549"/>
      <c r="AE797" s="1549"/>
      <c r="AF797" s="1549"/>
      <c r="AG797" s="1549"/>
      <c r="AH797" s="1549"/>
    </row>
    <row r="798" spans="1:34" ht="12.75" customHeight="1" x14ac:dyDescent="0.2">
      <c r="A798" s="1549"/>
      <c r="B798" s="1549"/>
      <c r="C798" s="1549"/>
      <c r="D798" s="1549"/>
      <c r="E798" s="1549"/>
      <c r="F798" s="1549"/>
      <c r="G798" s="1549"/>
      <c r="H798" s="1549"/>
      <c r="I798" s="1549"/>
      <c r="J798" s="1549"/>
      <c r="K798" s="1549"/>
      <c r="L798" s="1549"/>
      <c r="M798" s="1549"/>
      <c r="N798" s="1549"/>
      <c r="O798" s="1549"/>
      <c r="P798" s="1549"/>
      <c r="Q798" s="1549"/>
      <c r="R798" s="1549"/>
      <c r="S798" s="1549"/>
      <c r="T798" s="1549"/>
      <c r="U798" s="1549"/>
      <c r="V798" s="1549"/>
      <c r="W798" s="1549"/>
      <c r="X798" s="1549"/>
      <c r="Y798" s="1549"/>
      <c r="Z798" s="1549"/>
      <c r="AA798" s="1549"/>
      <c r="AB798" s="1549"/>
      <c r="AC798" s="1549"/>
      <c r="AD798" s="1549"/>
      <c r="AE798" s="1549"/>
      <c r="AF798" s="1549"/>
      <c r="AG798" s="1549"/>
      <c r="AH798" s="1549"/>
    </row>
    <row r="799" spans="1:34" ht="12.75" customHeight="1" x14ac:dyDescent="0.2">
      <c r="A799" s="1549"/>
      <c r="B799" s="1549"/>
      <c r="C799" s="1549"/>
      <c r="D799" s="1549"/>
      <c r="E799" s="1549"/>
      <c r="F799" s="1549"/>
      <c r="G799" s="1549"/>
      <c r="H799" s="1549"/>
      <c r="I799" s="1549"/>
      <c r="J799" s="1549"/>
      <c r="K799" s="1549"/>
      <c r="L799" s="1549"/>
      <c r="M799" s="1549"/>
      <c r="N799" s="1549"/>
      <c r="O799" s="1549"/>
      <c r="P799" s="1549"/>
      <c r="Q799" s="1549"/>
      <c r="R799" s="1549"/>
      <c r="S799" s="1549"/>
      <c r="T799" s="1549"/>
      <c r="U799" s="1549"/>
      <c r="V799" s="1549"/>
      <c r="W799" s="1549"/>
      <c r="X799" s="1549"/>
      <c r="Y799" s="1549"/>
      <c r="Z799" s="1549"/>
      <c r="AA799" s="1549"/>
      <c r="AB799" s="1549"/>
      <c r="AC799" s="1549"/>
      <c r="AD799" s="1549"/>
      <c r="AE799" s="1549"/>
      <c r="AF799" s="1549"/>
      <c r="AG799" s="1549"/>
      <c r="AH799" s="1549"/>
    </row>
    <row r="800" spans="1:34" ht="12.75" customHeight="1" x14ac:dyDescent="0.2">
      <c r="A800" s="1549"/>
      <c r="B800" s="1549"/>
      <c r="C800" s="1549"/>
      <c r="D800" s="1549"/>
      <c r="E800" s="1549"/>
      <c r="F800" s="1549"/>
      <c r="G800" s="1549"/>
      <c r="H800" s="1549"/>
      <c r="I800" s="1549"/>
      <c r="J800" s="1549"/>
      <c r="K800" s="1549"/>
      <c r="L800" s="1549"/>
      <c r="M800" s="1549"/>
      <c r="N800" s="1549"/>
      <c r="O800" s="1549"/>
      <c r="P800" s="1549"/>
      <c r="Q800" s="1549"/>
      <c r="R800" s="1549"/>
      <c r="S800" s="1549"/>
      <c r="T800" s="1549"/>
      <c r="U800" s="1549"/>
      <c r="V800" s="1549"/>
      <c r="W800" s="1549"/>
      <c r="X800" s="1549"/>
      <c r="Y800" s="1549"/>
      <c r="Z800" s="1549"/>
      <c r="AA800" s="1549"/>
      <c r="AB800" s="1549"/>
      <c r="AC800" s="1549"/>
      <c r="AD800" s="1549"/>
      <c r="AE800" s="1549"/>
      <c r="AF800" s="1549"/>
      <c r="AG800" s="1549"/>
      <c r="AH800" s="1549"/>
    </row>
    <row r="801" spans="1:34" ht="12.75" customHeight="1" x14ac:dyDescent="0.2">
      <c r="A801" s="1549"/>
      <c r="B801" s="1549"/>
      <c r="C801" s="1549"/>
      <c r="D801" s="1549"/>
      <c r="E801" s="1549"/>
      <c r="F801" s="1549"/>
      <c r="G801" s="1549"/>
      <c r="H801" s="1549"/>
      <c r="I801" s="1549"/>
      <c r="J801" s="1549"/>
      <c r="K801" s="1549"/>
      <c r="L801" s="1549"/>
      <c r="M801" s="1549"/>
      <c r="N801" s="1549"/>
      <c r="O801" s="1549"/>
      <c r="P801" s="1549"/>
      <c r="Q801" s="1549"/>
      <c r="R801" s="1549"/>
      <c r="S801" s="1549"/>
      <c r="T801" s="1549"/>
      <c r="U801" s="1549"/>
      <c r="V801" s="1549"/>
      <c r="W801" s="1549"/>
      <c r="X801" s="1549"/>
      <c r="Y801" s="1549"/>
      <c r="Z801" s="1549"/>
      <c r="AA801" s="1549"/>
      <c r="AB801" s="1549"/>
      <c r="AC801" s="1549"/>
      <c r="AD801" s="1549"/>
      <c r="AE801" s="1549"/>
      <c r="AF801" s="1549"/>
      <c r="AG801" s="1549"/>
      <c r="AH801" s="1549"/>
    </row>
    <row r="802" spans="1:34" ht="12.75" customHeight="1" x14ac:dyDescent="0.2">
      <c r="A802" s="1549"/>
      <c r="B802" s="1549"/>
      <c r="C802" s="1549"/>
      <c r="D802" s="1549"/>
      <c r="E802" s="1549"/>
      <c r="F802" s="1549"/>
      <c r="G802" s="1549"/>
      <c r="H802" s="1549"/>
      <c r="I802" s="1549"/>
      <c r="J802" s="1549"/>
      <c r="K802" s="1549"/>
      <c r="L802" s="1549"/>
      <c r="M802" s="1549"/>
      <c r="N802" s="1549"/>
      <c r="O802" s="1549"/>
      <c r="P802" s="1549"/>
      <c r="Q802" s="1549"/>
      <c r="R802" s="1549"/>
      <c r="S802" s="1549"/>
      <c r="T802" s="1549"/>
      <c r="U802" s="1549"/>
      <c r="V802" s="1549"/>
      <c r="W802" s="1549"/>
      <c r="X802" s="1549"/>
      <c r="Y802" s="1549"/>
      <c r="Z802" s="1549"/>
      <c r="AA802" s="1549"/>
      <c r="AB802" s="1549"/>
      <c r="AC802" s="1549"/>
      <c r="AD802" s="1549"/>
      <c r="AE802" s="1549"/>
      <c r="AF802" s="1549"/>
      <c r="AG802" s="1549"/>
      <c r="AH802" s="1549"/>
    </row>
    <row r="803" spans="1:34" ht="12.75" customHeight="1" x14ac:dyDescent="0.2">
      <c r="A803" s="1549"/>
      <c r="B803" s="1549"/>
      <c r="C803" s="1549"/>
      <c r="D803" s="1549"/>
      <c r="E803" s="1549"/>
      <c r="F803" s="1549"/>
      <c r="G803" s="1549"/>
      <c r="H803" s="1549"/>
      <c r="I803" s="1549"/>
      <c r="J803" s="1549"/>
      <c r="K803" s="1549"/>
      <c r="L803" s="1549"/>
      <c r="M803" s="1549"/>
      <c r="N803" s="1549"/>
      <c r="O803" s="1549"/>
      <c r="P803" s="1549"/>
      <c r="Q803" s="1549"/>
      <c r="R803" s="1549"/>
      <c r="S803" s="1549"/>
      <c r="T803" s="1549"/>
      <c r="U803" s="1549"/>
      <c r="V803" s="1549"/>
      <c r="W803" s="1549"/>
      <c r="X803" s="1549"/>
      <c r="Y803" s="1549"/>
      <c r="Z803" s="1549"/>
      <c r="AA803" s="1549"/>
      <c r="AB803" s="1549"/>
      <c r="AC803" s="1549"/>
      <c r="AD803" s="1549"/>
      <c r="AE803" s="1549"/>
      <c r="AF803" s="1549"/>
      <c r="AG803" s="1549"/>
      <c r="AH803" s="1549"/>
    </row>
    <row r="804" spans="1:34" ht="12.75" customHeight="1" x14ac:dyDescent="0.2">
      <c r="A804" s="1549"/>
      <c r="B804" s="1549"/>
      <c r="C804" s="1549"/>
      <c r="D804" s="1549"/>
      <c r="E804" s="1549"/>
      <c r="F804" s="1549"/>
      <c r="G804" s="1549"/>
      <c r="H804" s="1549"/>
      <c r="I804" s="1549"/>
      <c r="J804" s="1549"/>
      <c r="K804" s="1549"/>
      <c r="L804" s="1549"/>
      <c r="M804" s="1549"/>
      <c r="N804" s="1549"/>
      <c r="O804" s="1549"/>
      <c r="P804" s="1549"/>
      <c r="Q804" s="1549"/>
      <c r="R804" s="1549"/>
      <c r="S804" s="1549"/>
      <c r="T804" s="1549"/>
      <c r="U804" s="1549"/>
      <c r="V804" s="1549"/>
      <c r="W804" s="1549"/>
      <c r="X804" s="1549"/>
      <c r="Y804" s="1549"/>
      <c r="Z804" s="1549"/>
      <c r="AA804" s="1549"/>
      <c r="AB804" s="1549"/>
      <c r="AC804" s="1549"/>
      <c r="AD804" s="1549"/>
      <c r="AE804" s="1549"/>
      <c r="AF804" s="1549"/>
      <c r="AG804" s="1549"/>
      <c r="AH804" s="1549"/>
    </row>
    <row r="805" spans="1:34" ht="12.75" customHeight="1" x14ac:dyDescent="0.2">
      <c r="A805" s="1549"/>
      <c r="B805" s="1549"/>
      <c r="C805" s="1549"/>
      <c r="D805" s="1549"/>
      <c r="E805" s="1549"/>
      <c r="F805" s="1549"/>
      <c r="G805" s="1549"/>
      <c r="H805" s="1549"/>
      <c r="I805" s="1549"/>
      <c r="J805" s="1549"/>
      <c r="K805" s="1549"/>
      <c r="L805" s="1549"/>
      <c r="M805" s="1549"/>
      <c r="N805" s="1549"/>
      <c r="O805" s="1549"/>
      <c r="P805" s="1549"/>
      <c r="Q805" s="1549"/>
      <c r="R805" s="1549"/>
      <c r="S805" s="1549"/>
      <c r="T805" s="1549"/>
      <c r="U805" s="1549"/>
      <c r="V805" s="1549"/>
      <c r="W805" s="1549"/>
      <c r="X805" s="1549"/>
      <c r="Y805" s="1549"/>
      <c r="Z805" s="1549"/>
      <c r="AA805" s="1549"/>
      <c r="AB805" s="1549"/>
      <c r="AC805" s="1549"/>
      <c r="AD805" s="1549"/>
      <c r="AE805" s="1549"/>
      <c r="AF805" s="1549"/>
      <c r="AG805" s="1549"/>
      <c r="AH805" s="1549"/>
    </row>
    <row r="806" spans="1:34" ht="12.75" customHeight="1" x14ac:dyDescent="0.2">
      <c r="A806" s="1549"/>
      <c r="B806" s="1549"/>
      <c r="C806" s="1549"/>
      <c r="D806" s="1549"/>
      <c r="E806" s="1549"/>
      <c r="F806" s="1549"/>
      <c r="G806" s="1549"/>
      <c r="H806" s="1549"/>
      <c r="I806" s="1549"/>
      <c r="J806" s="1549"/>
      <c r="K806" s="1549"/>
      <c r="L806" s="1549"/>
      <c r="M806" s="1549"/>
      <c r="N806" s="1549"/>
      <c r="O806" s="1549"/>
      <c r="P806" s="1549"/>
      <c r="Q806" s="1549"/>
      <c r="R806" s="1549"/>
      <c r="S806" s="1549"/>
      <c r="T806" s="1549"/>
      <c r="U806" s="1549"/>
      <c r="V806" s="1549"/>
      <c r="W806" s="1549"/>
      <c r="X806" s="1549"/>
      <c r="Y806" s="1549"/>
      <c r="Z806" s="1549"/>
      <c r="AA806" s="1549"/>
      <c r="AB806" s="1549"/>
      <c r="AC806" s="1549"/>
      <c r="AD806" s="1549"/>
      <c r="AE806" s="1549"/>
      <c r="AF806" s="1549"/>
      <c r="AG806" s="1549"/>
      <c r="AH806" s="1549"/>
    </row>
    <row r="807" spans="1:34" ht="12.75" customHeight="1" x14ac:dyDescent="0.2">
      <c r="A807" s="1549"/>
      <c r="B807" s="1549"/>
      <c r="C807" s="1549"/>
      <c r="D807" s="1549"/>
      <c r="E807" s="1549"/>
      <c r="F807" s="1549"/>
      <c r="G807" s="1549"/>
      <c r="H807" s="1549"/>
      <c r="I807" s="1549"/>
      <c r="J807" s="1549"/>
      <c r="K807" s="1549"/>
      <c r="L807" s="1549"/>
      <c r="M807" s="1549"/>
      <c r="N807" s="1549"/>
      <c r="O807" s="1549"/>
      <c r="P807" s="1549"/>
      <c r="Q807" s="1549"/>
      <c r="R807" s="1549"/>
      <c r="S807" s="1549"/>
      <c r="T807" s="1549"/>
      <c r="U807" s="1549"/>
      <c r="V807" s="1549"/>
      <c r="W807" s="1549"/>
      <c r="X807" s="1549"/>
      <c r="Y807" s="1549"/>
      <c r="Z807" s="1549"/>
      <c r="AA807" s="1549"/>
      <c r="AB807" s="1549"/>
      <c r="AC807" s="1549"/>
      <c r="AD807" s="1549"/>
      <c r="AE807" s="1549"/>
      <c r="AF807" s="1549"/>
      <c r="AG807" s="1549"/>
      <c r="AH807" s="1549"/>
    </row>
    <row r="808" spans="1:34" ht="12.75" customHeight="1" x14ac:dyDescent="0.2">
      <c r="A808" s="1549"/>
      <c r="B808" s="1549"/>
      <c r="C808" s="1549"/>
      <c r="D808" s="1549"/>
      <c r="E808" s="1549"/>
      <c r="F808" s="1549"/>
      <c r="G808" s="1549"/>
      <c r="H808" s="1549"/>
      <c r="I808" s="1549"/>
      <c r="J808" s="1549"/>
      <c r="K808" s="1549"/>
      <c r="L808" s="1549"/>
      <c r="M808" s="1549"/>
      <c r="N808" s="1549"/>
      <c r="O808" s="1549"/>
      <c r="P808" s="1549"/>
      <c r="Q808" s="1549"/>
      <c r="R808" s="1549"/>
      <c r="S808" s="1549"/>
      <c r="T808" s="1549"/>
      <c r="U808" s="1549"/>
      <c r="V808" s="1549"/>
      <c r="W808" s="1549"/>
      <c r="X808" s="1549"/>
      <c r="Y808" s="1549"/>
      <c r="Z808" s="1549"/>
      <c r="AA808" s="1549"/>
      <c r="AB808" s="1549"/>
      <c r="AC808" s="1549"/>
      <c r="AD808" s="1549"/>
      <c r="AE808" s="1549"/>
      <c r="AF808" s="1549"/>
      <c r="AG808" s="1549"/>
      <c r="AH808" s="1549"/>
    </row>
    <row r="809" spans="1:34" ht="12.75" customHeight="1" x14ac:dyDescent="0.2">
      <c r="A809" s="1549"/>
      <c r="B809" s="1549"/>
      <c r="C809" s="1549"/>
      <c r="D809" s="1549"/>
      <c r="E809" s="1549"/>
      <c r="F809" s="1549"/>
      <c r="G809" s="1549"/>
      <c r="H809" s="1549"/>
      <c r="I809" s="1549"/>
      <c r="J809" s="1549"/>
      <c r="K809" s="1549"/>
      <c r="L809" s="1549"/>
      <c r="M809" s="1549"/>
      <c r="N809" s="1549"/>
      <c r="O809" s="1549"/>
      <c r="P809" s="1549"/>
      <c r="Q809" s="1549"/>
      <c r="R809" s="1549"/>
      <c r="S809" s="1549"/>
      <c r="T809" s="1549"/>
      <c r="U809" s="1549"/>
      <c r="V809" s="1549"/>
      <c r="W809" s="1549"/>
      <c r="X809" s="1549"/>
      <c r="Y809" s="1549"/>
      <c r="Z809" s="1549"/>
      <c r="AA809" s="1549"/>
      <c r="AB809" s="1549"/>
      <c r="AC809" s="1549"/>
      <c r="AD809" s="1549"/>
      <c r="AE809" s="1549"/>
      <c r="AF809" s="1549"/>
      <c r="AG809" s="1549"/>
      <c r="AH809" s="1549"/>
    </row>
    <row r="810" spans="1:34" ht="12.75" customHeight="1" x14ac:dyDescent="0.2">
      <c r="A810" s="1549"/>
      <c r="B810" s="1549"/>
      <c r="C810" s="1549"/>
      <c r="D810" s="1549"/>
      <c r="E810" s="1549"/>
      <c r="F810" s="1549"/>
      <c r="G810" s="1549"/>
      <c r="H810" s="1549"/>
      <c r="I810" s="1549"/>
      <c r="J810" s="1549"/>
      <c r="K810" s="1549"/>
      <c r="L810" s="1549"/>
      <c r="M810" s="1549"/>
      <c r="N810" s="1549"/>
      <c r="O810" s="1549"/>
      <c r="P810" s="1549"/>
      <c r="Q810" s="1549"/>
      <c r="R810" s="1549"/>
      <c r="S810" s="1549"/>
      <c r="T810" s="1549"/>
      <c r="U810" s="1549"/>
      <c r="V810" s="1549"/>
      <c r="W810" s="1549"/>
      <c r="X810" s="1549"/>
      <c r="Y810" s="1549"/>
      <c r="Z810" s="1549"/>
      <c r="AA810" s="1549"/>
      <c r="AB810" s="1549"/>
      <c r="AC810" s="1549"/>
      <c r="AD810" s="1549"/>
      <c r="AE810" s="1549"/>
      <c r="AF810" s="1549"/>
      <c r="AG810" s="1549"/>
      <c r="AH810" s="1549"/>
    </row>
    <row r="811" spans="1:34" ht="12.75" customHeight="1" x14ac:dyDescent="0.2">
      <c r="A811" s="1549"/>
      <c r="B811" s="1549"/>
      <c r="C811" s="1549"/>
      <c r="D811" s="1549"/>
      <c r="E811" s="1549"/>
      <c r="F811" s="1549"/>
      <c r="G811" s="1549"/>
      <c r="H811" s="1549"/>
      <c r="I811" s="1549"/>
      <c r="J811" s="1549"/>
      <c r="K811" s="1549"/>
      <c r="L811" s="1549"/>
      <c r="M811" s="1549"/>
      <c r="N811" s="1549"/>
      <c r="O811" s="1549"/>
      <c r="P811" s="1549"/>
      <c r="Q811" s="1549"/>
      <c r="R811" s="1549"/>
      <c r="S811" s="1549"/>
      <c r="T811" s="1549"/>
      <c r="U811" s="1549"/>
      <c r="V811" s="1549"/>
      <c r="W811" s="1549"/>
      <c r="X811" s="1549"/>
      <c r="Y811" s="1549"/>
      <c r="Z811" s="1549"/>
      <c r="AA811" s="1549"/>
      <c r="AB811" s="1549"/>
      <c r="AC811" s="1549"/>
      <c r="AD811" s="1549"/>
      <c r="AE811" s="1549"/>
      <c r="AF811" s="1549"/>
      <c r="AG811" s="1549"/>
      <c r="AH811" s="1549"/>
    </row>
    <row r="812" spans="1:34" ht="12.75" customHeight="1" x14ac:dyDescent="0.2">
      <c r="A812" s="1549"/>
      <c r="B812" s="1549"/>
      <c r="C812" s="1549"/>
      <c r="D812" s="1549"/>
      <c r="E812" s="1549"/>
      <c r="F812" s="1549"/>
      <c r="G812" s="1549"/>
      <c r="H812" s="1549"/>
      <c r="I812" s="1549"/>
      <c r="J812" s="1549"/>
      <c r="K812" s="1549"/>
      <c r="L812" s="1549"/>
      <c r="M812" s="1549"/>
      <c r="N812" s="1549"/>
      <c r="O812" s="1549"/>
      <c r="P812" s="1549"/>
      <c r="Q812" s="1549"/>
      <c r="R812" s="1549"/>
      <c r="S812" s="1549"/>
      <c r="T812" s="1549"/>
      <c r="U812" s="1549"/>
      <c r="V812" s="1549"/>
      <c r="W812" s="1549"/>
      <c r="X812" s="1549"/>
      <c r="Y812" s="1549"/>
      <c r="Z812" s="1549"/>
      <c r="AA812" s="1549"/>
      <c r="AB812" s="1549"/>
      <c r="AC812" s="1549"/>
      <c r="AD812" s="1549"/>
      <c r="AE812" s="1549"/>
      <c r="AF812" s="1549"/>
      <c r="AG812" s="1549"/>
      <c r="AH812" s="1549"/>
    </row>
    <row r="813" spans="1:34" ht="12.75" customHeight="1" x14ac:dyDescent="0.2">
      <c r="A813" s="1549"/>
      <c r="B813" s="1549"/>
      <c r="C813" s="1549"/>
      <c r="D813" s="1549"/>
      <c r="E813" s="1549"/>
      <c r="F813" s="1549"/>
      <c r="G813" s="1549"/>
      <c r="H813" s="1549"/>
      <c r="I813" s="1549"/>
      <c r="J813" s="1549"/>
      <c r="K813" s="1549"/>
      <c r="L813" s="1549"/>
      <c r="M813" s="1549"/>
      <c r="N813" s="1549"/>
      <c r="O813" s="1549"/>
      <c r="P813" s="1549"/>
      <c r="Q813" s="1549"/>
      <c r="R813" s="1549"/>
      <c r="S813" s="1549"/>
      <c r="T813" s="1549"/>
      <c r="U813" s="1549"/>
      <c r="V813" s="1549"/>
      <c r="W813" s="1549"/>
      <c r="X813" s="1549"/>
      <c r="Y813" s="1549"/>
      <c r="Z813" s="1549"/>
      <c r="AA813" s="1549"/>
      <c r="AB813" s="1549"/>
      <c r="AC813" s="1549"/>
      <c r="AD813" s="1549"/>
      <c r="AE813" s="1549"/>
      <c r="AF813" s="1549"/>
      <c r="AG813" s="1549"/>
      <c r="AH813" s="1549"/>
    </row>
    <row r="814" spans="1:34" ht="12.75" customHeight="1" x14ac:dyDescent="0.2">
      <c r="A814" s="1549"/>
      <c r="B814" s="1549"/>
      <c r="C814" s="1549"/>
      <c r="D814" s="1549"/>
      <c r="E814" s="1549"/>
      <c r="F814" s="1549"/>
      <c r="G814" s="1549"/>
      <c r="H814" s="1549"/>
      <c r="I814" s="1549"/>
      <c r="J814" s="1549"/>
      <c r="K814" s="1549"/>
      <c r="L814" s="1549"/>
      <c r="M814" s="1549"/>
      <c r="N814" s="1549"/>
      <c r="O814" s="1549"/>
      <c r="P814" s="1549"/>
      <c r="Q814" s="1549"/>
      <c r="R814" s="1549"/>
      <c r="S814" s="1549"/>
      <c r="T814" s="1549"/>
      <c r="U814" s="1549"/>
      <c r="V814" s="1549"/>
      <c r="W814" s="1549"/>
      <c r="X814" s="1549"/>
      <c r="Y814" s="1549"/>
      <c r="Z814" s="1549"/>
      <c r="AA814" s="1549"/>
      <c r="AB814" s="1549"/>
      <c r="AC814" s="1549"/>
      <c r="AD814" s="1549"/>
      <c r="AE814" s="1549"/>
      <c r="AF814" s="1549"/>
      <c r="AG814" s="1549"/>
      <c r="AH814" s="1549"/>
    </row>
    <row r="815" spans="1:34" ht="12.75" customHeight="1" x14ac:dyDescent="0.2">
      <c r="A815" s="1549"/>
      <c r="B815" s="1549"/>
      <c r="C815" s="1549"/>
      <c r="D815" s="1549"/>
      <c r="E815" s="1549"/>
      <c r="F815" s="1549"/>
      <c r="G815" s="1549"/>
      <c r="H815" s="1549"/>
      <c r="I815" s="1549"/>
      <c r="J815" s="1549"/>
      <c r="K815" s="1549"/>
      <c r="L815" s="1549"/>
      <c r="M815" s="1549"/>
      <c r="N815" s="1549"/>
      <c r="O815" s="1549"/>
      <c r="P815" s="1549"/>
      <c r="Q815" s="1549"/>
      <c r="R815" s="1549"/>
      <c r="S815" s="1549"/>
      <c r="T815" s="1549"/>
      <c r="U815" s="1549"/>
      <c r="V815" s="1549"/>
      <c r="W815" s="1549"/>
      <c r="X815" s="1549"/>
      <c r="Y815" s="1549"/>
      <c r="Z815" s="1549"/>
      <c r="AA815" s="1549"/>
      <c r="AB815" s="1549"/>
      <c r="AC815" s="1549"/>
      <c r="AD815" s="1549"/>
      <c r="AE815" s="1549"/>
      <c r="AF815" s="1549"/>
      <c r="AG815" s="1549"/>
      <c r="AH815" s="1549"/>
    </row>
    <row r="816" spans="1:34" ht="12.75" customHeight="1" x14ac:dyDescent="0.2">
      <c r="A816" s="1549"/>
      <c r="B816" s="1549"/>
      <c r="C816" s="1549"/>
      <c r="D816" s="1549"/>
      <c r="E816" s="1549"/>
      <c r="F816" s="1549"/>
      <c r="G816" s="1549"/>
      <c r="H816" s="1549"/>
      <c r="I816" s="1549"/>
      <c r="J816" s="1549"/>
      <c r="K816" s="1549"/>
      <c r="L816" s="1549"/>
      <c r="M816" s="1549"/>
      <c r="N816" s="1549"/>
      <c r="O816" s="1549"/>
      <c r="P816" s="1549"/>
      <c r="Q816" s="1549"/>
      <c r="R816" s="1549"/>
      <c r="S816" s="1549"/>
      <c r="T816" s="1549"/>
      <c r="U816" s="1549"/>
      <c r="V816" s="1549"/>
      <c r="W816" s="1549"/>
      <c r="X816" s="1549"/>
      <c r="Y816" s="1549"/>
      <c r="Z816" s="1549"/>
      <c r="AA816" s="1549"/>
      <c r="AB816" s="1549"/>
      <c r="AC816" s="1549"/>
      <c r="AD816" s="1549"/>
      <c r="AE816" s="1549"/>
      <c r="AF816" s="1549"/>
      <c r="AG816" s="1549"/>
      <c r="AH816" s="1549"/>
    </row>
    <row r="817" spans="1:34" ht="12.75" customHeight="1" x14ac:dyDescent="0.2">
      <c r="A817" s="1549"/>
      <c r="B817" s="1549"/>
      <c r="C817" s="1549"/>
      <c r="D817" s="1549"/>
      <c r="E817" s="1549"/>
      <c r="F817" s="1549"/>
      <c r="G817" s="1549"/>
      <c r="H817" s="1549"/>
      <c r="I817" s="1549"/>
      <c r="J817" s="1549"/>
      <c r="K817" s="1549"/>
      <c r="L817" s="1549"/>
      <c r="M817" s="1549"/>
      <c r="N817" s="1549"/>
      <c r="O817" s="1549"/>
      <c r="P817" s="1549"/>
      <c r="Q817" s="1549"/>
      <c r="R817" s="1549"/>
      <c r="S817" s="1549"/>
      <c r="T817" s="1549"/>
      <c r="U817" s="1549"/>
      <c r="V817" s="1549"/>
      <c r="W817" s="1549"/>
      <c r="X817" s="1549"/>
      <c r="Y817" s="1549"/>
      <c r="Z817" s="1549"/>
      <c r="AA817" s="1549"/>
      <c r="AB817" s="1549"/>
      <c r="AC817" s="1549"/>
      <c r="AD817" s="1549"/>
      <c r="AE817" s="1549"/>
      <c r="AF817" s="1549"/>
      <c r="AG817" s="1549"/>
      <c r="AH817" s="1549"/>
    </row>
    <row r="818" spans="1:34" ht="12.75" customHeight="1" x14ac:dyDescent="0.2">
      <c r="A818" s="1549"/>
      <c r="B818" s="1549"/>
      <c r="C818" s="1549"/>
      <c r="D818" s="1549"/>
      <c r="E818" s="1549"/>
      <c r="F818" s="1549"/>
      <c r="G818" s="1549"/>
      <c r="H818" s="1549"/>
      <c r="I818" s="1549"/>
      <c r="J818" s="1549"/>
      <c r="K818" s="1549"/>
      <c r="L818" s="1549"/>
      <c r="M818" s="1549"/>
      <c r="N818" s="1549"/>
      <c r="O818" s="1549"/>
      <c r="P818" s="1549"/>
      <c r="Q818" s="1549"/>
      <c r="R818" s="1549"/>
      <c r="S818" s="1549"/>
      <c r="T818" s="1549"/>
      <c r="U818" s="1549"/>
      <c r="V818" s="1549"/>
      <c r="W818" s="1549"/>
      <c r="X818" s="1549"/>
      <c r="Y818" s="1549"/>
      <c r="Z818" s="1549"/>
      <c r="AA818" s="1549"/>
      <c r="AB818" s="1549"/>
      <c r="AC818" s="1549"/>
      <c r="AD818" s="1549"/>
      <c r="AE818" s="1549"/>
      <c r="AF818" s="1549"/>
      <c r="AG818" s="1549"/>
      <c r="AH818" s="1549"/>
    </row>
    <row r="819" spans="1:34" ht="12.75" customHeight="1" x14ac:dyDescent="0.2">
      <c r="A819" s="1549"/>
      <c r="B819" s="1549"/>
      <c r="C819" s="1549"/>
      <c r="D819" s="1549"/>
      <c r="E819" s="1549"/>
      <c r="F819" s="1549"/>
      <c r="G819" s="1549"/>
      <c r="H819" s="1549"/>
      <c r="I819" s="1549"/>
      <c r="J819" s="1549"/>
      <c r="K819" s="1549"/>
      <c r="L819" s="1549"/>
      <c r="M819" s="1549"/>
      <c r="N819" s="1549"/>
      <c r="O819" s="1549"/>
      <c r="P819" s="1549"/>
      <c r="Q819" s="1549"/>
      <c r="R819" s="1549"/>
      <c r="S819" s="1549"/>
      <c r="T819" s="1549"/>
      <c r="U819" s="1549"/>
      <c r="V819" s="1549"/>
      <c r="W819" s="1549"/>
      <c r="X819" s="1549"/>
      <c r="Y819" s="1549"/>
      <c r="Z819" s="1549"/>
      <c r="AA819" s="1549"/>
      <c r="AB819" s="1549"/>
      <c r="AC819" s="1549"/>
      <c r="AD819" s="1549"/>
      <c r="AE819" s="1549"/>
      <c r="AF819" s="1549"/>
      <c r="AG819" s="1549"/>
      <c r="AH819" s="1549"/>
    </row>
    <row r="820" spans="1:34" ht="12.75" customHeight="1" x14ac:dyDescent="0.2">
      <c r="A820" s="1549"/>
      <c r="B820" s="1549"/>
      <c r="C820" s="1549"/>
      <c r="D820" s="1549"/>
      <c r="E820" s="1549"/>
      <c r="F820" s="1549"/>
      <c r="G820" s="1549"/>
      <c r="H820" s="1549"/>
      <c r="I820" s="1549"/>
      <c r="J820" s="1549"/>
      <c r="K820" s="1549"/>
      <c r="L820" s="1549"/>
      <c r="M820" s="1549"/>
      <c r="N820" s="1549"/>
      <c r="O820" s="1549"/>
      <c r="P820" s="1549"/>
      <c r="Q820" s="1549"/>
      <c r="R820" s="1549"/>
      <c r="S820" s="1549"/>
      <c r="T820" s="1549"/>
      <c r="U820" s="1549"/>
      <c r="V820" s="1549"/>
      <c r="W820" s="1549"/>
      <c r="X820" s="1549"/>
      <c r="Y820" s="1549"/>
      <c r="Z820" s="1549"/>
      <c r="AA820" s="1549"/>
      <c r="AB820" s="1549"/>
      <c r="AC820" s="1549"/>
      <c r="AD820" s="1549"/>
      <c r="AE820" s="1549"/>
      <c r="AF820" s="1549"/>
      <c r="AG820" s="1549"/>
      <c r="AH820" s="1549"/>
    </row>
    <row r="821" spans="1:34" ht="12.75" customHeight="1" x14ac:dyDescent="0.2">
      <c r="A821" s="1549"/>
      <c r="B821" s="1549"/>
      <c r="C821" s="1549"/>
      <c r="D821" s="1549"/>
      <c r="E821" s="1549"/>
      <c r="F821" s="1549"/>
      <c r="G821" s="1549"/>
      <c r="H821" s="1549"/>
      <c r="I821" s="1549"/>
      <c r="J821" s="1549"/>
      <c r="K821" s="1549"/>
      <c r="L821" s="1549"/>
      <c r="M821" s="1549"/>
      <c r="N821" s="1549"/>
      <c r="O821" s="1549"/>
      <c r="P821" s="1549"/>
      <c r="Q821" s="1549"/>
      <c r="R821" s="1549"/>
      <c r="S821" s="1549"/>
      <c r="T821" s="1549"/>
      <c r="U821" s="1549"/>
      <c r="V821" s="1549"/>
      <c r="W821" s="1549"/>
      <c r="X821" s="1549"/>
      <c r="Y821" s="1549"/>
      <c r="Z821" s="1549"/>
      <c r="AA821" s="1549"/>
      <c r="AB821" s="1549"/>
      <c r="AC821" s="1549"/>
      <c r="AD821" s="1549"/>
      <c r="AE821" s="1549"/>
      <c r="AF821" s="1549"/>
      <c r="AG821" s="1549"/>
      <c r="AH821" s="1549"/>
    </row>
    <row r="822" spans="1:34" ht="12.75" customHeight="1" x14ac:dyDescent="0.2">
      <c r="A822" s="1549"/>
      <c r="B822" s="1549"/>
      <c r="C822" s="1549"/>
      <c r="D822" s="1549"/>
      <c r="E822" s="1549"/>
      <c r="F822" s="1549"/>
      <c r="G822" s="1549"/>
      <c r="H822" s="1549"/>
      <c r="I822" s="1549"/>
      <c r="J822" s="1549"/>
      <c r="K822" s="1549"/>
      <c r="L822" s="1549"/>
      <c r="M822" s="1549"/>
      <c r="N822" s="1549"/>
      <c r="O822" s="1549"/>
      <c r="P822" s="1549"/>
      <c r="Q822" s="1549"/>
      <c r="R822" s="1549"/>
      <c r="S822" s="1549"/>
      <c r="T822" s="1549"/>
      <c r="U822" s="1549"/>
      <c r="V822" s="1549"/>
      <c r="W822" s="1549"/>
      <c r="X822" s="1549"/>
      <c r="Y822" s="1549"/>
      <c r="Z822" s="1549"/>
      <c r="AA822" s="1549"/>
      <c r="AB822" s="1549"/>
      <c r="AC822" s="1549"/>
      <c r="AD822" s="1549"/>
      <c r="AE822" s="1549"/>
      <c r="AF822" s="1549"/>
      <c r="AG822" s="1549"/>
      <c r="AH822" s="1549"/>
    </row>
    <row r="823" spans="1:34" ht="12.75" customHeight="1" x14ac:dyDescent="0.2">
      <c r="A823" s="1549"/>
      <c r="B823" s="1549"/>
      <c r="C823" s="1549"/>
      <c r="D823" s="1549"/>
      <c r="E823" s="1549"/>
      <c r="F823" s="1549"/>
      <c r="G823" s="1549"/>
      <c r="H823" s="1549"/>
      <c r="I823" s="1549"/>
      <c r="J823" s="1549"/>
      <c r="K823" s="1549"/>
      <c r="L823" s="1549"/>
      <c r="M823" s="1549"/>
      <c r="N823" s="1549"/>
      <c r="O823" s="1549"/>
      <c r="P823" s="1549"/>
      <c r="Q823" s="1549"/>
      <c r="R823" s="1549"/>
      <c r="S823" s="1549"/>
      <c r="T823" s="1549"/>
      <c r="U823" s="1549"/>
      <c r="V823" s="1549"/>
      <c r="W823" s="1549"/>
      <c r="X823" s="1549"/>
      <c r="Y823" s="1549"/>
      <c r="Z823" s="1549"/>
      <c r="AA823" s="1549"/>
      <c r="AB823" s="1549"/>
      <c r="AC823" s="1549"/>
      <c r="AD823" s="1549"/>
      <c r="AE823" s="1549"/>
      <c r="AF823" s="1549"/>
      <c r="AG823" s="1549"/>
      <c r="AH823" s="1549"/>
    </row>
    <row r="824" spans="1:34" ht="12.75" customHeight="1" x14ac:dyDescent="0.2">
      <c r="A824" s="1549"/>
      <c r="B824" s="1549"/>
      <c r="C824" s="1549"/>
      <c r="D824" s="1549"/>
      <c r="E824" s="1549"/>
      <c r="F824" s="1549"/>
      <c r="G824" s="1549"/>
      <c r="H824" s="1549"/>
      <c r="I824" s="1549"/>
      <c r="J824" s="1549"/>
      <c r="K824" s="1549"/>
      <c r="L824" s="1549"/>
      <c r="M824" s="1549"/>
      <c r="N824" s="1549"/>
      <c r="O824" s="1549"/>
      <c r="P824" s="1549"/>
      <c r="Q824" s="1549"/>
      <c r="R824" s="1549"/>
      <c r="S824" s="1549"/>
      <c r="T824" s="1549"/>
      <c r="U824" s="1549"/>
      <c r="V824" s="1549"/>
      <c r="W824" s="1549"/>
      <c r="X824" s="1549"/>
      <c r="Y824" s="1549"/>
      <c r="Z824" s="1549"/>
      <c r="AA824" s="1549"/>
      <c r="AB824" s="1549"/>
      <c r="AC824" s="1549"/>
      <c r="AD824" s="1549"/>
      <c r="AE824" s="1549"/>
      <c r="AF824" s="1549"/>
      <c r="AG824" s="1549"/>
      <c r="AH824" s="1549"/>
    </row>
    <row r="825" spans="1:34" ht="12.75" customHeight="1" x14ac:dyDescent="0.2">
      <c r="A825" s="1549"/>
      <c r="B825" s="1549"/>
      <c r="C825" s="1549"/>
      <c r="D825" s="1549"/>
      <c r="E825" s="1549"/>
      <c r="F825" s="1549"/>
      <c r="G825" s="1549"/>
      <c r="H825" s="1549"/>
      <c r="I825" s="1549"/>
      <c r="J825" s="1549"/>
      <c r="K825" s="1549"/>
      <c r="L825" s="1549"/>
      <c r="M825" s="1549"/>
      <c r="N825" s="1549"/>
      <c r="O825" s="1549"/>
      <c r="P825" s="1549"/>
      <c r="Q825" s="1549"/>
      <c r="R825" s="1549"/>
      <c r="S825" s="1549"/>
      <c r="T825" s="1549"/>
      <c r="U825" s="1549"/>
      <c r="V825" s="1549"/>
      <c r="W825" s="1549"/>
      <c r="X825" s="1549"/>
      <c r="Y825" s="1549"/>
      <c r="Z825" s="1549"/>
      <c r="AA825" s="1549"/>
      <c r="AB825" s="1549"/>
      <c r="AC825" s="1549"/>
      <c r="AD825" s="1549"/>
      <c r="AE825" s="1549"/>
      <c r="AF825" s="1549"/>
      <c r="AG825" s="1549"/>
      <c r="AH825" s="1549"/>
    </row>
    <row r="826" spans="1:34" ht="12.75" customHeight="1" x14ac:dyDescent="0.2">
      <c r="A826" s="1549"/>
      <c r="B826" s="1549"/>
      <c r="C826" s="1549"/>
      <c r="D826" s="1549"/>
      <c r="E826" s="1549"/>
      <c r="F826" s="1549"/>
      <c r="G826" s="1549"/>
      <c r="H826" s="1549"/>
      <c r="I826" s="1549"/>
      <c r="J826" s="1549"/>
      <c r="K826" s="1549"/>
      <c r="L826" s="1549"/>
      <c r="M826" s="1549"/>
      <c r="N826" s="1549"/>
      <c r="O826" s="1549"/>
      <c r="P826" s="1549"/>
      <c r="Q826" s="1549"/>
      <c r="R826" s="1549"/>
      <c r="S826" s="1549"/>
      <c r="T826" s="1549"/>
      <c r="U826" s="1549"/>
      <c r="V826" s="1549"/>
      <c r="W826" s="1549"/>
      <c r="X826" s="1549"/>
      <c r="Y826" s="1549"/>
      <c r="Z826" s="1549"/>
      <c r="AA826" s="1549"/>
      <c r="AB826" s="1549"/>
      <c r="AC826" s="1549"/>
      <c r="AD826" s="1549"/>
      <c r="AE826" s="1549"/>
      <c r="AF826" s="1549"/>
      <c r="AG826" s="1549"/>
      <c r="AH826" s="1549"/>
    </row>
    <row r="827" spans="1:34" ht="12.75" customHeight="1" x14ac:dyDescent="0.2">
      <c r="A827" s="1549"/>
      <c r="B827" s="1549"/>
      <c r="C827" s="1549"/>
      <c r="D827" s="1549"/>
      <c r="E827" s="1549"/>
      <c r="F827" s="1549"/>
      <c r="G827" s="1549"/>
      <c r="H827" s="1549"/>
      <c r="I827" s="1549"/>
      <c r="J827" s="1549"/>
      <c r="K827" s="1549"/>
      <c r="L827" s="1549"/>
      <c r="M827" s="1549"/>
      <c r="N827" s="1549"/>
      <c r="O827" s="1549"/>
      <c r="P827" s="1549"/>
      <c r="Q827" s="1549"/>
      <c r="R827" s="1549"/>
      <c r="S827" s="1549"/>
      <c r="T827" s="1549"/>
      <c r="U827" s="1549"/>
      <c r="V827" s="1549"/>
      <c r="W827" s="1549"/>
      <c r="X827" s="1549"/>
      <c r="Y827" s="1549"/>
      <c r="Z827" s="1549"/>
      <c r="AA827" s="1549"/>
      <c r="AB827" s="1549"/>
      <c r="AC827" s="1549"/>
      <c r="AD827" s="1549"/>
      <c r="AE827" s="1549"/>
      <c r="AF827" s="1549"/>
      <c r="AG827" s="1549"/>
      <c r="AH827" s="1549"/>
    </row>
    <row r="828" spans="1:34" ht="12.75" customHeight="1" x14ac:dyDescent="0.2">
      <c r="A828" s="1549"/>
      <c r="B828" s="1549"/>
      <c r="C828" s="1549"/>
      <c r="D828" s="1549"/>
      <c r="E828" s="1549"/>
      <c r="F828" s="1549"/>
      <c r="G828" s="1549"/>
      <c r="H828" s="1549"/>
      <c r="I828" s="1549"/>
      <c r="J828" s="1549"/>
      <c r="K828" s="1549"/>
      <c r="L828" s="1549"/>
      <c r="M828" s="1549"/>
      <c r="N828" s="1549"/>
      <c r="O828" s="1549"/>
      <c r="P828" s="1549"/>
      <c r="Q828" s="1549"/>
      <c r="R828" s="1549"/>
      <c r="S828" s="1549"/>
      <c r="T828" s="1549"/>
      <c r="U828" s="1549"/>
      <c r="V828" s="1549"/>
      <c r="W828" s="1549"/>
      <c r="X828" s="1549"/>
      <c r="Y828" s="1549"/>
      <c r="Z828" s="1549"/>
      <c r="AA828" s="1549"/>
      <c r="AB828" s="1549"/>
      <c r="AC828" s="1549"/>
      <c r="AD828" s="1549"/>
      <c r="AE828" s="1549"/>
      <c r="AF828" s="1549"/>
      <c r="AG828" s="1549"/>
      <c r="AH828" s="1549"/>
    </row>
    <row r="829" spans="1:34" ht="12.75" customHeight="1" x14ac:dyDescent="0.2">
      <c r="A829" s="1549"/>
      <c r="B829" s="1549"/>
      <c r="C829" s="1549"/>
      <c r="D829" s="1549"/>
      <c r="E829" s="1549"/>
      <c r="F829" s="1549"/>
      <c r="G829" s="1549"/>
      <c r="H829" s="1549"/>
      <c r="I829" s="1549"/>
      <c r="J829" s="1549"/>
      <c r="K829" s="1549"/>
      <c r="L829" s="1549"/>
      <c r="M829" s="1549"/>
      <c r="N829" s="1549"/>
      <c r="O829" s="1549"/>
      <c r="P829" s="1549"/>
      <c r="Q829" s="1549"/>
      <c r="R829" s="1549"/>
      <c r="S829" s="1549"/>
      <c r="T829" s="1549"/>
      <c r="U829" s="1549"/>
      <c r="V829" s="1549"/>
      <c r="W829" s="1549"/>
      <c r="X829" s="1549"/>
      <c r="Y829" s="1549"/>
      <c r="Z829" s="1549"/>
      <c r="AA829" s="1549"/>
      <c r="AB829" s="1549"/>
      <c r="AC829" s="1549"/>
      <c r="AD829" s="1549"/>
      <c r="AE829" s="1549"/>
      <c r="AF829" s="1549"/>
      <c r="AG829" s="1549"/>
      <c r="AH829" s="1549"/>
    </row>
    <row r="830" spans="1:34" ht="12.75" customHeight="1" x14ac:dyDescent="0.2">
      <c r="A830" s="1549"/>
      <c r="B830" s="1549"/>
      <c r="C830" s="1549"/>
      <c r="D830" s="1549"/>
      <c r="E830" s="1549"/>
      <c r="F830" s="1549"/>
      <c r="G830" s="1549"/>
      <c r="H830" s="1549"/>
      <c r="I830" s="1549"/>
      <c r="J830" s="1549"/>
      <c r="K830" s="1549"/>
      <c r="L830" s="1549"/>
      <c r="M830" s="1549"/>
      <c r="N830" s="1549"/>
      <c r="O830" s="1549"/>
      <c r="P830" s="1549"/>
      <c r="Q830" s="1549"/>
      <c r="R830" s="1549"/>
      <c r="S830" s="1549"/>
      <c r="T830" s="1549"/>
      <c r="U830" s="1549"/>
      <c r="V830" s="1549"/>
      <c r="W830" s="1549"/>
      <c r="X830" s="1549"/>
      <c r="Y830" s="1549"/>
      <c r="Z830" s="1549"/>
      <c r="AA830" s="1549"/>
      <c r="AB830" s="1549"/>
      <c r="AC830" s="1549"/>
      <c r="AD830" s="1549"/>
      <c r="AE830" s="1549"/>
      <c r="AF830" s="1549"/>
      <c r="AG830" s="1549"/>
      <c r="AH830" s="1549"/>
    </row>
    <row r="831" spans="1:34" ht="12.75" customHeight="1" x14ac:dyDescent="0.2">
      <c r="A831" s="1549"/>
      <c r="B831" s="1549"/>
      <c r="C831" s="1549"/>
      <c r="D831" s="1549"/>
      <c r="E831" s="1549"/>
      <c r="F831" s="1549"/>
      <c r="G831" s="1549"/>
      <c r="H831" s="1549"/>
      <c r="I831" s="1549"/>
      <c r="J831" s="1549"/>
      <c r="K831" s="1549"/>
      <c r="L831" s="1549"/>
      <c r="M831" s="1549"/>
      <c r="N831" s="1549"/>
      <c r="O831" s="1549"/>
      <c r="P831" s="1549"/>
      <c r="Q831" s="1549"/>
      <c r="R831" s="1549"/>
      <c r="S831" s="1549"/>
      <c r="T831" s="1549"/>
      <c r="U831" s="1549"/>
      <c r="V831" s="1549"/>
      <c r="W831" s="1549"/>
      <c r="X831" s="1549"/>
      <c r="Y831" s="1549"/>
      <c r="Z831" s="1549"/>
      <c r="AA831" s="1549"/>
      <c r="AB831" s="1549"/>
      <c r="AC831" s="1549"/>
      <c r="AD831" s="1549"/>
      <c r="AE831" s="1549"/>
      <c r="AF831" s="1549"/>
      <c r="AG831" s="1549"/>
      <c r="AH831" s="1549"/>
    </row>
    <row r="832" spans="1:34" ht="12.75" customHeight="1" x14ac:dyDescent="0.2">
      <c r="A832" s="1549"/>
      <c r="B832" s="1549"/>
      <c r="C832" s="1549"/>
      <c r="D832" s="1549"/>
      <c r="E832" s="1549"/>
      <c r="F832" s="1549"/>
      <c r="G832" s="1549"/>
      <c r="H832" s="1549"/>
      <c r="I832" s="1549"/>
      <c r="J832" s="1549"/>
      <c r="K832" s="1549"/>
      <c r="L832" s="1549"/>
      <c r="M832" s="1549"/>
      <c r="N832" s="1549"/>
      <c r="O832" s="1549"/>
      <c r="P832" s="1549"/>
      <c r="Q832" s="1549"/>
      <c r="R832" s="1549"/>
      <c r="S832" s="1549"/>
      <c r="T832" s="1549"/>
      <c r="U832" s="1549"/>
      <c r="V832" s="1549"/>
      <c r="W832" s="1549"/>
      <c r="X832" s="1549"/>
      <c r="Y832" s="1549"/>
      <c r="Z832" s="1549"/>
      <c r="AA832" s="1549"/>
      <c r="AB832" s="1549"/>
      <c r="AC832" s="1549"/>
      <c r="AD832" s="1549"/>
      <c r="AE832" s="1549"/>
      <c r="AF832" s="1549"/>
      <c r="AG832" s="1549"/>
      <c r="AH832" s="1549"/>
    </row>
    <row r="833" spans="1:34" ht="12.75" customHeight="1" x14ac:dyDescent="0.2">
      <c r="A833" s="1549"/>
      <c r="B833" s="1549"/>
      <c r="C833" s="1549"/>
      <c r="D833" s="1549"/>
      <c r="E833" s="1549"/>
      <c r="F833" s="1549"/>
      <c r="G833" s="1549"/>
      <c r="H833" s="1549"/>
      <c r="I833" s="1549"/>
      <c r="J833" s="1549"/>
      <c r="K833" s="1549"/>
      <c r="L833" s="1549"/>
      <c r="M833" s="1549"/>
      <c r="N833" s="1549"/>
      <c r="O833" s="1549"/>
      <c r="P833" s="1549"/>
      <c r="Q833" s="1549"/>
      <c r="R833" s="1549"/>
      <c r="S833" s="1549"/>
      <c r="T833" s="1549"/>
      <c r="U833" s="1549"/>
      <c r="V833" s="1549"/>
      <c r="W833" s="1549"/>
      <c r="X833" s="1549"/>
      <c r="Y833" s="1549"/>
      <c r="Z833" s="1549"/>
      <c r="AA833" s="1549"/>
      <c r="AB833" s="1549"/>
      <c r="AC833" s="1549"/>
      <c r="AD833" s="1549"/>
      <c r="AE833" s="1549"/>
      <c r="AF833" s="1549"/>
      <c r="AG833" s="1549"/>
      <c r="AH833" s="1549"/>
    </row>
    <row r="834" spans="1:34" ht="12.75" customHeight="1" x14ac:dyDescent="0.2">
      <c r="A834" s="1549"/>
      <c r="B834" s="1549"/>
      <c r="C834" s="1549"/>
      <c r="D834" s="1549"/>
      <c r="E834" s="1549"/>
      <c r="F834" s="1549"/>
      <c r="G834" s="1549"/>
      <c r="H834" s="1549"/>
      <c r="I834" s="1549"/>
      <c r="J834" s="1549"/>
      <c r="K834" s="1549"/>
      <c r="L834" s="1549"/>
      <c r="M834" s="1549"/>
      <c r="N834" s="1549"/>
      <c r="O834" s="1549"/>
      <c r="P834" s="1549"/>
      <c r="Q834" s="1549"/>
      <c r="R834" s="1549"/>
      <c r="S834" s="1549"/>
      <c r="T834" s="1549"/>
      <c r="U834" s="1549"/>
      <c r="V834" s="1549"/>
      <c r="W834" s="1549"/>
      <c r="X834" s="1549"/>
      <c r="Y834" s="1549"/>
      <c r="Z834" s="1549"/>
      <c r="AA834" s="1549"/>
      <c r="AB834" s="1549"/>
      <c r="AC834" s="1549"/>
      <c r="AD834" s="1549"/>
      <c r="AE834" s="1549"/>
      <c r="AF834" s="1549"/>
      <c r="AG834" s="1549"/>
      <c r="AH834" s="1549"/>
    </row>
    <row r="835" spans="1:34" ht="12.75" customHeight="1" x14ac:dyDescent="0.2">
      <c r="A835" s="1549"/>
      <c r="B835" s="1549"/>
      <c r="C835" s="1549"/>
      <c r="D835" s="1549"/>
      <c r="E835" s="1549"/>
      <c r="F835" s="1549"/>
      <c r="G835" s="1549"/>
      <c r="H835" s="1549"/>
      <c r="I835" s="1549"/>
      <c r="J835" s="1549"/>
      <c r="K835" s="1549"/>
      <c r="L835" s="1549"/>
      <c r="M835" s="1549"/>
      <c r="N835" s="1549"/>
      <c r="O835" s="1549"/>
      <c r="P835" s="1549"/>
      <c r="Q835" s="1549"/>
      <c r="R835" s="1549"/>
      <c r="S835" s="1549"/>
      <c r="T835" s="1549"/>
      <c r="U835" s="1549"/>
      <c r="V835" s="1549"/>
      <c r="W835" s="1549"/>
      <c r="X835" s="1549"/>
      <c r="Y835" s="1549"/>
      <c r="Z835" s="1549"/>
      <c r="AA835" s="1549"/>
      <c r="AB835" s="1549"/>
      <c r="AC835" s="1549"/>
      <c r="AD835" s="1549"/>
      <c r="AE835" s="1549"/>
      <c r="AF835" s="1549"/>
      <c r="AG835" s="1549"/>
      <c r="AH835" s="1549"/>
    </row>
    <row r="836" spans="1:34" ht="12.75" customHeight="1" x14ac:dyDescent="0.2">
      <c r="A836" s="1549"/>
      <c r="B836" s="1549"/>
      <c r="C836" s="1549"/>
      <c r="D836" s="1549"/>
      <c r="E836" s="1549"/>
      <c r="F836" s="1549"/>
      <c r="G836" s="1549"/>
      <c r="H836" s="1549"/>
      <c r="I836" s="1549"/>
      <c r="J836" s="1549"/>
      <c r="K836" s="1549"/>
      <c r="L836" s="1549"/>
      <c r="M836" s="1549"/>
      <c r="N836" s="1549"/>
      <c r="O836" s="1549"/>
      <c r="P836" s="1549"/>
      <c r="Q836" s="1549"/>
      <c r="R836" s="1549"/>
      <c r="S836" s="1549"/>
      <c r="T836" s="1549"/>
      <c r="U836" s="1549"/>
      <c r="V836" s="1549"/>
      <c r="W836" s="1549"/>
      <c r="X836" s="1549"/>
      <c r="Y836" s="1549"/>
      <c r="Z836" s="1549"/>
      <c r="AA836" s="1549"/>
      <c r="AB836" s="1549"/>
      <c r="AC836" s="1549"/>
      <c r="AD836" s="1549"/>
      <c r="AE836" s="1549"/>
      <c r="AF836" s="1549"/>
      <c r="AG836" s="1549"/>
      <c r="AH836" s="1549"/>
    </row>
    <row r="837" spans="1:34" ht="12.75" customHeight="1" x14ac:dyDescent="0.2">
      <c r="A837" s="1549"/>
      <c r="B837" s="1549"/>
      <c r="C837" s="1549"/>
      <c r="D837" s="1549"/>
      <c r="E837" s="1549"/>
      <c r="F837" s="1549"/>
      <c r="G837" s="1549"/>
      <c r="H837" s="1549"/>
      <c r="I837" s="1549"/>
      <c r="J837" s="1549"/>
      <c r="K837" s="1549"/>
      <c r="L837" s="1549"/>
      <c r="M837" s="1549"/>
      <c r="N837" s="1549"/>
      <c r="O837" s="1549"/>
      <c r="P837" s="1549"/>
      <c r="Q837" s="1549"/>
      <c r="R837" s="1549"/>
      <c r="S837" s="1549"/>
      <c r="T837" s="1549"/>
      <c r="U837" s="1549"/>
      <c r="V837" s="1549"/>
      <c r="W837" s="1549"/>
      <c r="X837" s="1549"/>
      <c r="Y837" s="1549"/>
      <c r="Z837" s="1549"/>
      <c r="AA837" s="1549"/>
      <c r="AB837" s="1549"/>
      <c r="AC837" s="1549"/>
      <c r="AD837" s="1549"/>
      <c r="AE837" s="1549"/>
      <c r="AF837" s="1549"/>
      <c r="AG837" s="1549"/>
      <c r="AH837" s="1549"/>
    </row>
    <row r="838" spans="1:34" ht="12.75" customHeight="1" x14ac:dyDescent="0.2">
      <c r="A838" s="1549"/>
      <c r="B838" s="1549"/>
      <c r="C838" s="1549"/>
      <c r="D838" s="1549"/>
      <c r="E838" s="1549"/>
      <c r="F838" s="1549"/>
      <c r="G838" s="1549"/>
      <c r="H838" s="1549"/>
      <c r="I838" s="1549"/>
      <c r="J838" s="1549"/>
      <c r="K838" s="1549"/>
      <c r="L838" s="1549"/>
      <c r="M838" s="1549"/>
      <c r="N838" s="1549"/>
      <c r="O838" s="1549"/>
      <c r="P838" s="1549"/>
      <c r="Q838" s="1549"/>
      <c r="R838" s="1549"/>
      <c r="S838" s="1549"/>
      <c r="T838" s="1549"/>
      <c r="U838" s="1549"/>
      <c r="V838" s="1549"/>
      <c r="W838" s="1549"/>
      <c r="X838" s="1549"/>
      <c r="Y838" s="1549"/>
      <c r="Z838" s="1549"/>
      <c r="AA838" s="1549"/>
      <c r="AB838" s="1549"/>
      <c r="AC838" s="1549"/>
      <c r="AD838" s="1549"/>
      <c r="AE838" s="1549"/>
      <c r="AF838" s="1549"/>
      <c r="AG838" s="1549"/>
      <c r="AH838" s="1549"/>
    </row>
    <row r="839" spans="1:34" ht="12.75" customHeight="1" x14ac:dyDescent="0.2">
      <c r="A839" s="1549"/>
      <c r="B839" s="1549"/>
      <c r="C839" s="1549"/>
      <c r="D839" s="1549"/>
      <c r="E839" s="1549"/>
      <c r="F839" s="1549"/>
      <c r="G839" s="1549"/>
      <c r="H839" s="1549"/>
      <c r="I839" s="1549"/>
      <c r="J839" s="1549"/>
      <c r="K839" s="1549"/>
      <c r="L839" s="1549"/>
      <c r="M839" s="1549"/>
      <c r="N839" s="1549"/>
      <c r="O839" s="1549"/>
      <c r="P839" s="1549"/>
      <c r="Q839" s="1549"/>
      <c r="R839" s="1549"/>
      <c r="S839" s="1549"/>
      <c r="T839" s="1549"/>
      <c r="U839" s="1549"/>
      <c r="V839" s="1549"/>
      <c r="W839" s="1549"/>
      <c r="X839" s="1549"/>
      <c r="Y839" s="1549"/>
      <c r="Z839" s="1549"/>
      <c r="AA839" s="1549"/>
      <c r="AB839" s="1549"/>
      <c r="AC839" s="1549"/>
      <c r="AD839" s="1549"/>
      <c r="AE839" s="1549"/>
      <c r="AF839" s="1549"/>
      <c r="AG839" s="1549"/>
      <c r="AH839" s="1549"/>
    </row>
    <row r="840" spans="1:34" ht="12.75" customHeight="1" x14ac:dyDescent="0.2">
      <c r="A840" s="1549"/>
      <c r="B840" s="1549"/>
      <c r="C840" s="1549"/>
      <c r="D840" s="1549"/>
      <c r="E840" s="1549"/>
      <c r="F840" s="1549"/>
      <c r="G840" s="1549"/>
      <c r="H840" s="1549"/>
      <c r="I840" s="1549"/>
      <c r="J840" s="1549"/>
      <c r="K840" s="1549"/>
      <c r="L840" s="1549"/>
      <c r="M840" s="1549"/>
      <c r="N840" s="1549"/>
      <c r="O840" s="1549"/>
      <c r="P840" s="1549"/>
      <c r="Q840" s="1549"/>
      <c r="R840" s="1549"/>
      <c r="S840" s="1549"/>
      <c r="T840" s="1549"/>
      <c r="U840" s="1549"/>
      <c r="V840" s="1549"/>
      <c r="W840" s="1549"/>
      <c r="X840" s="1549"/>
      <c r="Y840" s="1549"/>
      <c r="Z840" s="1549"/>
      <c r="AA840" s="1549"/>
      <c r="AB840" s="1549"/>
      <c r="AC840" s="1549"/>
      <c r="AD840" s="1549"/>
      <c r="AE840" s="1549"/>
      <c r="AF840" s="1549"/>
      <c r="AG840" s="1549"/>
      <c r="AH840" s="1549"/>
    </row>
    <row r="841" spans="1:34" ht="12.75" customHeight="1" x14ac:dyDescent="0.2">
      <c r="A841" s="1549"/>
      <c r="B841" s="1549"/>
      <c r="C841" s="1549"/>
      <c r="D841" s="1549"/>
      <c r="E841" s="1549"/>
      <c r="F841" s="1549"/>
      <c r="G841" s="1549"/>
      <c r="H841" s="1549"/>
      <c r="I841" s="1549"/>
      <c r="J841" s="1549"/>
      <c r="K841" s="1549"/>
      <c r="L841" s="1549"/>
      <c r="M841" s="1549"/>
      <c r="N841" s="1549"/>
      <c r="O841" s="1549"/>
      <c r="P841" s="1549"/>
      <c r="Q841" s="1549"/>
      <c r="R841" s="1549"/>
      <c r="S841" s="1549"/>
      <c r="T841" s="1549"/>
      <c r="U841" s="1549"/>
      <c r="V841" s="1549"/>
      <c r="W841" s="1549"/>
      <c r="X841" s="1549"/>
      <c r="Y841" s="1549"/>
      <c r="Z841" s="1549"/>
      <c r="AA841" s="1549"/>
      <c r="AB841" s="1549"/>
      <c r="AC841" s="1549"/>
      <c r="AD841" s="1549"/>
      <c r="AE841" s="1549"/>
      <c r="AF841" s="1549"/>
      <c r="AG841" s="1549"/>
      <c r="AH841" s="1549"/>
    </row>
    <row r="842" spans="1:34" ht="12.75" customHeight="1" x14ac:dyDescent="0.2">
      <c r="A842" s="1549"/>
      <c r="B842" s="1549"/>
      <c r="C842" s="1549"/>
      <c r="D842" s="1549"/>
      <c r="E842" s="1549"/>
      <c r="F842" s="1549"/>
      <c r="G842" s="1549"/>
      <c r="H842" s="1549"/>
      <c r="I842" s="1549"/>
      <c r="J842" s="1549"/>
      <c r="K842" s="1549"/>
      <c r="L842" s="1549"/>
      <c r="M842" s="1549"/>
      <c r="N842" s="1549"/>
      <c r="O842" s="1549"/>
      <c r="P842" s="1549"/>
      <c r="Q842" s="1549"/>
      <c r="R842" s="1549"/>
      <c r="S842" s="1549"/>
      <c r="T842" s="1549"/>
      <c r="U842" s="1549"/>
      <c r="V842" s="1549"/>
      <c r="W842" s="1549"/>
      <c r="X842" s="1549"/>
      <c r="Y842" s="1549"/>
      <c r="Z842" s="1549"/>
      <c r="AA842" s="1549"/>
      <c r="AB842" s="1549"/>
      <c r="AC842" s="1549"/>
      <c r="AD842" s="1549"/>
      <c r="AE842" s="1549"/>
      <c r="AF842" s="1549"/>
      <c r="AG842" s="1549"/>
      <c r="AH842" s="1549"/>
    </row>
    <row r="843" spans="1:34" ht="12.75" customHeight="1" x14ac:dyDescent="0.2">
      <c r="A843" s="1549"/>
      <c r="B843" s="1549"/>
      <c r="C843" s="1549"/>
      <c r="D843" s="1549"/>
      <c r="E843" s="1549"/>
      <c r="F843" s="1549"/>
      <c r="G843" s="1549"/>
      <c r="H843" s="1549"/>
      <c r="I843" s="1549"/>
      <c r="J843" s="1549"/>
      <c r="K843" s="1549"/>
      <c r="L843" s="1549"/>
      <c r="M843" s="1549"/>
      <c r="N843" s="1549"/>
      <c r="O843" s="1549"/>
      <c r="P843" s="1549"/>
      <c r="Q843" s="1549"/>
      <c r="R843" s="1549"/>
      <c r="S843" s="1549"/>
      <c r="T843" s="1549"/>
      <c r="U843" s="1549"/>
      <c r="V843" s="1549"/>
      <c r="W843" s="1549"/>
      <c r="X843" s="1549"/>
      <c r="Y843" s="1549"/>
      <c r="Z843" s="1549"/>
      <c r="AA843" s="1549"/>
      <c r="AB843" s="1549"/>
      <c r="AC843" s="1549"/>
      <c r="AD843" s="1549"/>
      <c r="AE843" s="1549"/>
      <c r="AF843" s="1549"/>
      <c r="AG843" s="1549"/>
      <c r="AH843" s="1549"/>
    </row>
    <row r="844" spans="1:34" ht="12.75" customHeight="1" x14ac:dyDescent="0.2">
      <c r="A844" s="1549"/>
      <c r="B844" s="1549"/>
      <c r="C844" s="1549"/>
      <c r="D844" s="1549"/>
      <c r="E844" s="1549"/>
      <c r="F844" s="1549"/>
      <c r="G844" s="1549"/>
      <c r="H844" s="1549"/>
      <c r="I844" s="1549"/>
      <c r="J844" s="1549"/>
      <c r="K844" s="1549"/>
      <c r="L844" s="1549"/>
      <c r="M844" s="1549"/>
      <c r="N844" s="1549"/>
      <c r="O844" s="1549"/>
      <c r="P844" s="1549"/>
      <c r="Q844" s="1549"/>
      <c r="R844" s="1549"/>
      <c r="S844" s="1549"/>
      <c r="T844" s="1549"/>
      <c r="U844" s="1549"/>
      <c r="V844" s="1549"/>
      <c r="W844" s="1549"/>
      <c r="X844" s="1549"/>
      <c r="Y844" s="1549"/>
      <c r="Z844" s="1549"/>
      <c r="AA844" s="1549"/>
      <c r="AB844" s="1549"/>
      <c r="AC844" s="1549"/>
      <c r="AD844" s="1549"/>
      <c r="AE844" s="1549"/>
      <c r="AF844" s="1549"/>
      <c r="AG844" s="1549"/>
      <c r="AH844" s="1549"/>
    </row>
    <row r="845" spans="1:34" ht="12.75" customHeight="1" x14ac:dyDescent="0.2">
      <c r="A845" s="1549"/>
      <c r="B845" s="1549"/>
      <c r="C845" s="1549"/>
      <c r="D845" s="1549"/>
      <c r="E845" s="1549"/>
      <c r="F845" s="1549"/>
      <c r="G845" s="1549"/>
      <c r="H845" s="1549"/>
      <c r="I845" s="1549"/>
      <c r="J845" s="1549"/>
      <c r="K845" s="1549"/>
      <c r="L845" s="1549"/>
      <c r="M845" s="1549"/>
      <c r="N845" s="1549"/>
      <c r="O845" s="1549"/>
      <c r="P845" s="1549"/>
      <c r="Q845" s="1549"/>
      <c r="R845" s="1549"/>
      <c r="S845" s="1549"/>
      <c r="T845" s="1549"/>
      <c r="U845" s="1549"/>
      <c r="V845" s="1549"/>
      <c r="W845" s="1549"/>
      <c r="X845" s="1549"/>
      <c r="Y845" s="1549"/>
      <c r="Z845" s="1549"/>
      <c r="AA845" s="1549"/>
      <c r="AB845" s="1549"/>
      <c r="AC845" s="1549"/>
      <c r="AD845" s="1549"/>
      <c r="AE845" s="1549"/>
      <c r="AF845" s="1549"/>
      <c r="AG845" s="1549"/>
      <c r="AH845" s="1549"/>
    </row>
    <row r="846" spans="1:34" ht="12.75" customHeight="1" x14ac:dyDescent="0.2">
      <c r="A846" s="1549"/>
      <c r="B846" s="1549"/>
      <c r="C846" s="1549"/>
      <c r="D846" s="1549"/>
      <c r="E846" s="1549"/>
      <c r="F846" s="1549"/>
      <c r="G846" s="1549"/>
      <c r="H846" s="1549"/>
      <c r="I846" s="1549"/>
      <c r="J846" s="1549"/>
      <c r="K846" s="1549"/>
      <c r="L846" s="1549"/>
      <c r="M846" s="1549"/>
      <c r="N846" s="1549"/>
      <c r="O846" s="1549"/>
      <c r="P846" s="1549"/>
      <c r="Q846" s="1549"/>
      <c r="R846" s="1549"/>
      <c r="S846" s="1549"/>
      <c r="T846" s="1549"/>
      <c r="U846" s="1549"/>
      <c r="V846" s="1549"/>
      <c r="W846" s="1549"/>
      <c r="X846" s="1549"/>
      <c r="Y846" s="1549"/>
      <c r="Z846" s="1549"/>
      <c r="AA846" s="1549"/>
      <c r="AB846" s="1549"/>
      <c r="AC846" s="1549"/>
      <c r="AD846" s="1549"/>
      <c r="AE846" s="1549"/>
      <c r="AF846" s="1549"/>
      <c r="AG846" s="1549"/>
      <c r="AH846" s="1549"/>
    </row>
    <row r="847" spans="1:34" ht="12.75" customHeight="1" x14ac:dyDescent="0.2">
      <c r="A847" s="1549"/>
      <c r="B847" s="1549"/>
      <c r="C847" s="1549"/>
      <c r="D847" s="1549"/>
      <c r="E847" s="1549"/>
      <c r="F847" s="1549"/>
      <c r="G847" s="1549"/>
      <c r="H847" s="1549"/>
      <c r="I847" s="1549"/>
      <c r="J847" s="1549"/>
      <c r="K847" s="1549"/>
      <c r="L847" s="1549"/>
      <c r="M847" s="1549"/>
      <c r="N847" s="1549"/>
      <c r="O847" s="1549"/>
      <c r="P847" s="1549"/>
      <c r="Q847" s="1549"/>
      <c r="R847" s="1549"/>
      <c r="S847" s="1549"/>
      <c r="T847" s="1549"/>
      <c r="U847" s="1549"/>
      <c r="V847" s="1549"/>
      <c r="W847" s="1549"/>
      <c r="X847" s="1549"/>
      <c r="Y847" s="1549"/>
      <c r="Z847" s="1549"/>
      <c r="AA847" s="1549"/>
      <c r="AB847" s="1549"/>
      <c r="AC847" s="1549"/>
      <c r="AD847" s="1549"/>
      <c r="AE847" s="1549"/>
      <c r="AF847" s="1549"/>
      <c r="AG847" s="1549"/>
      <c r="AH847" s="1549"/>
    </row>
    <row r="848" spans="1:34" ht="12.75" customHeight="1" x14ac:dyDescent="0.2">
      <c r="A848" s="1549"/>
      <c r="B848" s="1549"/>
      <c r="C848" s="1549"/>
      <c r="D848" s="1549"/>
      <c r="E848" s="1549"/>
      <c r="F848" s="1549"/>
      <c r="G848" s="1549"/>
      <c r="H848" s="1549"/>
      <c r="I848" s="1549"/>
      <c r="J848" s="1549"/>
      <c r="K848" s="1549"/>
      <c r="L848" s="1549"/>
      <c r="M848" s="1549"/>
      <c r="N848" s="1549"/>
      <c r="O848" s="1549"/>
      <c r="P848" s="1549"/>
      <c r="Q848" s="1549"/>
      <c r="R848" s="1549"/>
      <c r="S848" s="1549"/>
      <c r="T848" s="1549"/>
      <c r="U848" s="1549"/>
      <c r="V848" s="1549"/>
      <c r="W848" s="1549"/>
      <c r="X848" s="1549"/>
      <c r="Y848" s="1549"/>
      <c r="Z848" s="1549"/>
      <c r="AA848" s="1549"/>
      <c r="AB848" s="1549"/>
      <c r="AC848" s="1549"/>
      <c r="AD848" s="1549"/>
      <c r="AE848" s="1549"/>
      <c r="AF848" s="1549"/>
      <c r="AG848" s="1549"/>
      <c r="AH848" s="1549"/>
    </row>
    <row r="849" spans="1:34" ht="12.75" customHeight="1" x14ac:dyDescent="0.2">
      <c r="A849" s="1549"/>
      <c r="B849" s="1549"/>
      <c r="C849" s="1549"/>
      <c r="D849" s="1549"/>
      <c r="E849" s="1549"/>
      <c r="F849" s="1549"/>
      <c r="G849" s="1549"/>
      <c r="H849" s="1549"/>
      <c r="I849" s="1549"/>
      <c r="J849" s="1549"/>
      <c r="K849" s="1549"/>
      <c r="L849" s="1549"/>
      <c r="M849" s="1549"/>
      <c r="N849" s="1549"/>
      <c r="O849" s="1549"/>
      <c r="P849" s="1549"/>
      <c r="Q849" s="1549"/>
      <c r="R849" s="1549"/>
      <c r="S849" s="1549"/>
      <c r="T849" s="1549"/>
      <c r="U849" s="1549"/>
      <c r="V849" s="1549"/>
      <c r="W849" s="1549"/>
      <c r="X849" s="1549"/>
      <c r="Y849" s="1549"/>
      <c r="Z849" s="1549"/>
      <c r="AA849" s="1549"/>
      <c r="AB849" s="1549"/>
      <c r="AC849" s="1549"/>
      <c r="AD849" s="1549"/>
      <c r="AE849" s="1549"/>
      <c r="AF849" s="1549"/>
      <c r="AG849" s="1549"/>
      <c r="AH849" s="1549"/>
    </row>
    <row r="850" spans="1:34" ht="12.75" customHeight="1" x14ac:dyDescent="0.2">
      <c r="A850" s="1549"/>
      <c r="B850" s="1549"/>
      <c r="C850" s="1549"/>
      <c r="D850" s="1549"/>
      <c r="E850" s="1549"/>
      <c r="F850" s="1549"/>
      <c r="G850" s="1549"/>
      <c r="H850" s="1549"/>
      <c r="I850" s="1549"/>
      <c r="J850" s="1549"/>
      <c r="K850" s="1549"/>
      <c r="L850" s="1549"/>
      <c r="M850" s="1549"/>
      <c r="N850" s="1549"/>
      <c r="O850" s="1549"/>
      <c r="P850" s="1549"/>
      <c r="Q850" s="1549"/>
      <c r="R850" s="1549"/>
      <c r="S850" s="1549"/>
      <c r="T850" s="1549"/>
      <c r="U850" s="1549"/>
      <c r="V850" s="1549"/>
      <c r="W850" s="1549"/>
      <c r="X850" s="1549"/>
      <c r="Y850" s="1549"/>
      <c r="Z850" s="1549"/>
      <c r="AA850" s="1549"/>
      <c r="AB850" s="1549"/>
      <c r="AC850" s="1549"/>
      <c r="AD850" s="1549"/>
      <c r="AE850" s="1549"/>
      <c r="AF850" s="1549"/>
      <c r="AG850" s="1549"/>
      <c r="AH850" s="1549"/>
    </row>
    <row r="851" spans="1:34" ht="12.75" customHeight="1" x14ac:dyDescent="0.2">
      <c r="A851" s="1549"/>
      <c r="B851" s="1549"/>
      <c r="C851" s="1549"/>
      <c r="D851" s="1549"/>
      <c r="E851" s="1549"/>
      <c r="F851" s="1549"/>
      <c r="G851" s="1549"/>
      <c r="H851" s="1549"/>
      <c r="I851" s="1549"/>
      <c r="J851" s="1549"/>
      <c r="K851" s="1549"/>
      <c r="L851" s="1549"/>
      <c r="M851" s="1549"/>
      <c r="N851" s="1549"/>
      <c r="O851" s="1549"/>
      <c r="P851" s="1549"/>
      <c r="Q851" s="1549"/>
      <c r="R851" s="1549"/>
      <c r="S851" s="1549"/>
      <c r="T851" s="1549"/>
      <c r="U851" s="1549"/>
      <c r="V851" s="1549"/>
      <c r="W851" s="1549"/>
      <c r="X851" s="1549"/>
      <c r="Y851" s="1549"/>
      <c r="Z851" s="1549"/>
      <c r="AA851" s="1549"/>
      <c r="AB851" s="1549"/>
      <c r="AC851" s="1549"/>
      <c r="AD851" s="1549"/>
      <c r="AE851" s="1549"/>
      <c r="AF851" s="1549"/>
      <c r="AG851" s="1549"/>
      <c r="AH851" s="1549"/>
    </row>
    <row r="852" spans="1:34" ht="12.75" customHeight="1" x14ac:dyDescent="0.2">
      <c r="A852" s="1549"/>
      <c r="B852" s="1549"/>
      <c r="C852" s="1549"/>
      <c r="D852" s="1549"/>
      <c r="E852" s="1549"/>
      <c r="F852" s="1549"/>
      <c r="G852" s="1549"/>
      <c r="H852" s="1549"/>
      <c r="I852" s="1549"/>
      <c r="J852" s="1549"/>
      <c r="K852" s="1549"/>
      <c r="L852" s="1549"/>
      <c r="M852" s="1549"/>
      <c r="N852" s="1549"/>
      <c r="O852" s="1549"/>
      <c r="P852" s="1549"/>
      <c r="Q852" s="1549"/>
      <c r="R852" s="1549"/>
      <c r="S852" s="1549"/>
      <c r="T852" s="1549"/>
      <c r="U852" s="1549"/>
      <c r="V852" s="1549"/>
      <c r="W852" s="1549"/>
      <c r="X852" s="1549"/>
      <c r="Y852" s="1549"/>
      <c r="Z852" s="1549"/>
      <c r="AA852" s="1549"/>
      <c r="AB852" s="1549"/>
      <c r="AC852" s="1549"/>
      <c r="AD852" s="1549"/>
      <c r="AE852" s="1549"/>
      <c r="AF852" s="1549"/>
      <c r="AG852" s="1549"/>
      <c r="AH852" s="1549"/>
    </row>
    <row r="853" spans="1:34" ht="12.75" customHeight="1" x14ac:dyDescent="0.2">
      <c r="A853" s="1549"/>
      <c r="B853" s="1549"/>
      <c r="C853" s="1549"/>
      <c r="D853" s="1549"/>
      <c r="E853" s="1549"/>
      <c r="F853" s="1549"/>
      <c r="G853" s="1549"/>
      <c r="H853" s="1549"/>
      <c r="I853" s="1549"/>
      <c r="J853" s="1549"/>
      <c r="K853" s="1549"/>
      <c r="L853" s="1549"/>
      <c r="M853" s="1549"/>
      <c r="N853" s="1549"/>
      <c r="O853" s="1549"/>
      <c r="P853" s="1549"/>
      <c r="Q853" s="1549"/>
      <c r="R853" s="1549"/>
      <c r="S853" s="1549"/>
      <c r="T853" s="1549"/>
      <c r="U853" s="1549"/>
      <c r="V853" s="1549"/>
      <c r="W853" s="1549"/>
      <c r="X853" s="1549"/>
      <c r="Y853" s="1549"/>
      <c r="Z853" s="1549"/>
      <c r="AA853" s="1549"/>
      <c r="AB853" s="1549"/>
      <c r="AC853" s="1549"/>
      <c r="AD853" s="1549"/>
      <c r="AE853" s="1549"/>
      <c r="AF853" s="1549"/>
      <c r="AG853" s="1549"/>
      <c r="AH853" s="1549"/>
    </row>
    <row r="854" spans="1:34" ht="12.75" customHeight="1" x14ac:dyDescent="0.2">
      <c r="A854" s="1549"/>
      <c r="B854" s="1549"/>
      <c r="C854" s="1549"/>
      <c r="D854" s="1549"/>
      <c r="E854" s="1549"/>
      <c r="F854" s="1549"/>
      <c r="G854" s="1549"/>
      <c r="H854" s="1549"/>
      <c r="I854" s="1549"/>
      <c r="J854" s="1549"/>
      <c r="K854" s="1549"/>
      <c r="L854" s="1549"/>
      <c r="M854" s="1549"/>
      <c r="N854" s="1549"/>
      <c r="O854" s="1549"/>
      <c r="P854" s="1549"/>
      <c r="Q854" s="1549"/>
      <c r="R854" s="1549"/>
      <c r="S854" s="1549"/>
      <c r="T854" s="1549"/>
      <c r="U854" s="1549"/>
      <c r="V854" s="1549"/>
      <c r="W854" s="1549"/>
      <c r="X854" s="1549"/>
      <c r="Y854" s="1549"/>
      <c r="Z854" s="1549"/>
      <c r="AA854" s="1549"/>
      <c r="AB854" s="1549"/>
      <c r="AC854" s="1549"/>
      <c r="AD854" s="1549"/>
      <c r="AE854" s="1549"/>
      <c r="AF854" s="1549"/>
      <c r="AG854" s="1549"/>
      <c r="AH854" s="1549"/>
    </row>
    <row r="855" spans="1:34" ht="12.75" customHeight="1" x14ac:dyDescent="0.2">
      <c r="A855" s="1549"/>
      <c r="B855" s="1549"/>
      <c r="C855" s="1549"/>
      <c r="D855" s="1549"/>
      <c r="E855" s="1549"/>
      <c r="F855" s="1549"/>
      <c r="G855" s="1549"/>
      <c r="H855" s="1549"/>
      <c r="I855" s="1549"/>
      <c r="J855" s="1549"/>
      <c r="K855" s="1549"/>
      <c r="L855" s="1549"/>
      <c r="M855" s="1549"/>
      <c r="N855" s="1549"/>
      <c r="O855" s="1549"/>
      <c r="P855" s="1549"/>
      <c r="Q855" s="1549"/>
      <c r="R855" s="1549"/>
      <c r="S855" s="1549"/>
      <c r="T855" s="1549"/>
      <c r="U855" s="1549"/>
      <c r="V855" s="1549"/>
      <c r="W855" s="1549"/>
      <c r="X855" s="1549"/>
      <c r="Y855" s="1549"/>
      <c r="Z855" s="1549"/>
      <c r="AA855" s="1549"/>
      <c r="AB855" s="1549"/>
      <c r="AC855" s="1549"/>
      <c r="AD855" s="1549"/>
      <c r="AE855" s="1549"/>
      <c r="AF855" s="1549"/>
      <c r="AG855" s="1549"/>
      <c r="AH855" s="1549"/>
    </row>
    <row r="856" spans="1:34" ht="12.75" customHeight="1" x14ac:dyDescent="0.2">
      <c r="A856" s="1549"/>
      <c r="B856" s="1549"/>
      <c r="C856" s="1549"/>
      <c r="D856" s="1549"/>
      <c r="E856" s="1549"/>
      <c r="F856" s="1549"/>
      <c r="G856" s="1549"/>
      <c r="H856" s="1549"/>
      <c r="I856" s="1549"/>
      <c r="J856" s="1549"/>
      <c r="K856" s="1549"/>
      <c r="L856" s="1549"/>
      <c r="M856" s="1549"/>
      <c r="N856" s="1549"/>
      <c r="O856" s="1549"/>
      <c r="P856" s="1549"/>
      <c r="Q856" s="1549"/>
      <c r="R856" s="1549"/>
      <c r="S856" s="1549"/>
      <c r="T856" s="1549"/>
      <c r="U856" s="1549"/>
      <c r="V856" s="1549"/>
      <c r="W856" s="1549"/>
      <c r="X856" s="1549"/>
      <c r="Y856" s="1549"/>
      <c r="Z856" s="1549"/>
      <c r="AA856" s="1549"/>
      <c r="AB856" s="1549"/>
      <c r="AC856" s="1549"/>
      <c r="AD856" s="1549"/>
      <c r="AE856" s="1549"/>
      <c r="AF856" s="1549"/>
      <c r="AG856" s="1549"/>
      <c r="AH856" s="1549"/>
    </row>
    <row r="857" spans="1:34" ht="12.75" customHeight="1" x14ac:dyDescent="0.2">
      <c r="A857" s="1549"/>
      <c r="B857" s="1549"/>
      <c r="C857" s="1549"/>
      <c r="D857" s="1549"/>
      <c r="E857" s="1549"/>
      <c r="F857" s="1549"/>
      <c r="G857" s="1549"/>
      <c r="H857" s="1549"/>
      <c r="I857" s="1549"/>
      <c r="J857" s="1549"/>
      <c r="K857" s="1549"/>
      <c r="L857" s="1549"/>
      <c r="M857" s="1549"/>
      <c r="N857" s="1549"/>
      <c r="O857" s="1549"/>
      <c r="P857" s="1549"/>
      <c r="Q857" s="1549"/>
      <c r="R857" s="1549"/>
      <c r="S857" s="1549"/>
      <c r="T857" s="1549"/>
      <c r="U857" s="1549"/>
      <c r="V857" s="1549"/>
      <c r="W857" s="1549"/>
      <c r="X857" s="1549"/>
      <c r="Y857" s="1549"/>
      <c r="Z857" s="1549"/>
      <c r="AA857" s="1549"/>
      <c r="AB857" s="1549"/>
      <c r="AC857" s="1549"/>
      <c r="AD857" s="1549"/>
      <c r="AE857" s="1549"/>
      <c r="AF857" s="1549"/>
      <c r="AG857" s="1549"/>
      <c r="AH857" s="1549"/>
    </row>
    <row r="858" spans="1:34" ht="12.75" customHeight="1" x14ac:dyDescent="0.2">
      <c r="A858" s="1549"/>
      <c r="B858" s="1549"/>
      <c r="C858" s="1549"/>
      <c r="D858" s="1549"/>
      <c r="E858" s="1549"/>
      <c r="F858" s="1549"/>
      <c r="G858" s="1549"/>
      <c r="H858" s="1549"/>
      <c r="I858" s="1549"/>
      <c r="J858" s="1549"/>
      <c r="K858" s="1549"/>
      <c r="L858" s="1549"/>
      <c r="M858" s="1549"/>
      <c r="N858" s="1549"/>
      <c r="O858" s="1549"/>
      <c r="P858" s="1549"/>
      <c r="Q858" s="1549"/>
      <c r="R858" s="1549"/>
      <c r="S858" s="1549"/>
      <c r="T858" s="1549"/>
      <c r="U858" s="1549"/>
      <c r="V858" s="1549"/>
      <c r="W858" s="1549"/>
      <c r="X858" s="1549"/>
      <c r="Y858" s="1549"/>
      <c r="Z858" s="1549"/>
      <c r="AA858" s="1549"/>
      <c r="AB858" s="1549"/>
      <c r="AC858" s="1549"/>
      <c r="AD858" s="1549"/>
      <c r="AE858" s="1549"/>
      <c r="AF858" s="1549"/>
      <c r="AG858" s="1549"/>
      <c r="AH858" s="1549"/>
    </row>
    <row r="859" spans="1:34" ht="12.75" customHeight="1" x14ac:dyDescent="0.2">
      <c r="A859" s="1549"/>
      <c r="B859" s="1549"/>
      <c r="C859" s="1549"/>
      <c r="D859" s="1549"/>
      <c r="E859" s="1549"/>
      <c r="F859" s="1549"/>
      <c r="G859" s="1549"/>
      <c r="H859" s="1549"/>
      <c r="I859" s="1549"/>
      <c r="J859" s="1549"/>
      <c r="K859" s="1549"/>
      <c r="L859" s="1549"/>
      <c r="M859" s="1549"/>
      <c r="N859" s="1549"/>
      <c r="O859" s="1549"/>
      <c r="P859" s="1549"/>
      <c r="Q859" s="1549"/>
      <c r="R859" s="1549"/>
      <c r="S859" s="1549"/>
      <c r="T859" s="1549"/>
      <c r="U859" s="1549"/>
      <c r="V859" s="1549"/>
      <c r="W859" s="1549"/>
      <c r="X859" s="1549"/>
      <c r="Y859" s="1549"/>
      <c r="Z859" s="1549"/>
      <c r="AA859" s="1549"/>
      <c r="AB859" s="1549"/>
      <c r="AC859" s="1549"/>
      <c r="AD859" s="1549"/>
      <c r="AE859" s="1549"/>
      <c r="AF859" s="1549"/>
      <c r="AG859" s="1549"/>
      <c r="AH859" s="1549"/>
    </row>
    <row r="860" spans="1:34" ht="12.75" customHeight="1" x14ac:dyDescent="0.2">
      <c r="A860" s="1549"/>
      <c r="B860" s="1549"/>
      <c r="C860" s="1549"/>
      <c r="D860" s="1549"/>
      <c r="E860" s="1549"/>
      <c r="F860" s="1549"/>
      <c r="G860" s="1549"/>
      <c r="H860" s="1549"/>
      <c r="I860" s="1549"/>
      <c r="J860" s="1549"/>
      <c r="K860" s="1549"/>
      <c r="L860" s="1549"/>
      <c r="M860" s="1549"/>
      <c r="N860" s="1549"/>
      <c r="O860" s="1549"/>
      <c r="P860" s="1549"/>
      <c r="Q860" s="1549"/>
      <c r="R860" s="1549"/>
      <c r="S860" s="1549"/>
      <c r="T860" s="1549"/>
      <c r="U860" s="1549"/>
      <c r="V860" s="1549"/>
      <c r="W860" s="1549"/>
      <c r="X860" s="1549"/>
      <c r="Y860" s="1549"/>
      <c r="Z860" s="1549"/>
      <c r="AA860" s="1549"/>
      <c r="AB860" s="1549"/>
      <c r="AC860" s="1549"/>
      <c r="AD860" s="1549"/>
      <c r="AE860" s="1549"/>
      <c r="AF860" s="1549"/>
      <c r="AG860" s="1549"/>
      <c r="AH860" s="1549"/>
    </row>
    <row r="861" spans="1:34" ht="12.75" customHeight="1" x14ac:dyDescent="0.2">
      <c r="A861" s="1549"/>
      <c r="B861" s="1549"/>
      <c r="C861" s="1549"/>
      <c r="D861" s="1549"/>
      <c r="E861" s="1549"/>
      <c r="F861" s="1549"/>
      <c r="G861" s="1549"/>
      <c r="H861" s="1549"/>
      <c r="I861" s="1549"/>
      <c r="J861" s="1549"/>
      <c r="K861" s="1549"/>
      <c r="L861" s="1549"/>
      <c r="M861" s="1549"/>
      <c r="N861" s="1549"/>
      <c r="O861" s="1549"/>
      <c r="P861" s="1549"/>
      <c r="Q861" s="1549"/>
      <c r="R861" s="1549"/>
      <c r="S861" s="1549"/>
      <c r="T861" s="1549"/>
      <c r="U861" s="1549"/>
      <c r="V861" s="1549"/>
      <c r="W861" s="1549"/>
      <c r="X861" s="1549"/>
      <c r="Y861" s="1549"/>
      <c r="Z861" s="1549"/>
      <c r="AA861" s="1549"/>
      <c r="AB861" s="1549"/>
      <c r="AC861" s="1549"/>
      <c r="AD861" s="1549"/>
      <c r="AE861" s="1549"/>
      <c r="AF861" s="1549"/>
      <c r="AG861" s="1549"/>
      <c r="AH861" s="1549"/>
    </row>
    <row r="862" spans="1:34" ht="12.75" customHeight="1" x14ac:dyDescent="0.2">
      <c r="A862" s="1549"/>
      <c r="B862" s="1549"/>
      <c r="C862" s="1549"/>
      <c r="D862" s="1549"/>
      <c r="E862" s="1549"/>
      <c r="F862" s="1549"/>
      <c r="G862" s="1549"/>
      <c r="H862" s="1549"/>
      <c r="I862" s="1549"/>
      <c r="J862" s="1549"/>
      <c r="K862" s="1549"/>
      <c r="L862" s="1549"/>
      <c r="M862" s="1549"/>
      <c r="N862" s="1549"/>
      <c r="O862" s="1549"/>
      <c r="P862" s="1549"/>
      <c r="Q862" s="1549"/>
      <c r="R862" s="1549"/>
      <c r="S862" s="1549"/>
      <c r="T862" s="1549"/>
      <c r="U862" s="1549"/>
      <c r="V862" s="1549"/>
      <c r="W862" s="1549"/>
      <c r="X862" s="1549"/>
      <c r="Y862" s="1549"/>
      <c r="Z862" s="1549"/>
      <c r="AA862" s="1549"/>
      <c r="AB862" s="1549"/>
      <c r="AC862" s="1549"/>
      <c r="AD862" s="1549"/>
      <c r="AE862" s="1549"/>
      <c r="AF862" s="1549"/>
      <c r="AG862" s="1549"/>
      <c r="AH862" s="1549"/>
    </row>
    <row r="863" spans="1:34" ht="12.75" customHeight="1" x14ac:dyDescent="0.2">
      <c r="A863" s="1549"/>
      <c r="B863" s="1549"/>
      <c r="C863" s="1549"/>
      <c r="D863" s="1549"/>
      <c r="E863" s="1549"/>
      <c r="F863" s="1549"/>
      <c r="G863" s="1549"/>
      <c r="H863" s="1549"/>
      <c r="I863" s="1549"/>
      <c r="J863" s="1549"/>
      <c r="K863" s="1549"/>
      <c r="L863" s="1549"/>
      <c r="M863" s="1549"/>
      <c r="N863" s="1549"/>
      <c r="O863" s="1549"/>
      <c r="P863" s="1549"/>
      <c r="Q863" s="1549"/>
      <c r="R863" s="1549"/>
      <c r="S863" s="1549"/>
      <c r="T863" s="1549"/>
      <c r="U863" s="1549"/>
      <c r="V863" s="1549"/>
      <c r="W863" s="1549"/>
      <c r="X863" s="1549"/>
      <c r="Y863" s="1549"/>
      <c r="Z863" s="1549"/>
      <c r="AA863" s="1549"/>
      <c r="AB863" s="1549"/>
      <c r="AC863" s="1549"/>
      <c r="AD863" s="1549"/>
      <c r="AE863" s="1549"/>
      <c r="AF863" s="1549"/>
      <c r="AG863" s="1549"/>
      <c r="AH863" s="1549"/>
    </row>
    <row r="864" spans="1:34" ht="12.75" customHeight="1" x14ac:dyDescent="0.2">
      <c r="A864" s="1549"/>
      <c r="B864" s="1549"/>
      <c r="C864" s="1549"/>
      <c r="D864" s="1549"/>
      <c r="E864" s="1549"/>
      <c r="F864" s="1549"/>
      <c r="G864" s="1549"/>
      <c r="H864" s="1549"/>
      <c r="I864" s="1549"/>
      <c r="J864" s="1549"/>
      <c r="K864" s="1549"/>
      <c r="L864" s="1549"/>
      <c r="M864" s="1549"/>
      <c r="N864" s="1549"/>
      <c r="O864" s="1549"/>
      <c r="P864" s="1549"/>
      <c r="Q864" s="1549"/>
      <c r="R864" s="1549"/>
      <c r="S864" s="1549"/>
      <c r="T864" s="1549"/>
      <c r="U864" s="1549"/>
      <c r="V864" s="1549"/>
      <c r="W864" s="1549"/>
      <c r="X864" s="1549"/>
      <c r="Y864" s="1549"/>
      <c r="Z864" s="1549"/>
      <c r="AA864" s="1549"/>
      <c r="AB864" s="1549"/>
      <c r="AC864" s="1549"/>
      <c r="AD864" s="1549"/>
      <c r="AE864" s="1549"/>
      <c r="AF864" s="1549"/>
      <c r="AG864" s="1549"/>
      <c r="AH864" s="1549"/>
    </row>
    <row r="865" spans="1:34" ht="12.75" customHeight="1" x14ac:dyDescent="0.2">
      <c r="A865" s="1549"/>
      <c r="B865" s="1549"/>
      <c r="C865" s="1549"/>
      <c r="D865" s="1549"/>
      <c r="E865" s="1549"/>
      <c r="F865" s="1549"/>
      <c r="G865" s="1549"/>
      <c r="H865" s="1549"/>
      <c r="I865" s="1549"/>
      <c r="J865" s="1549"/>
      <c r="K865" s="1549"/>
      <c r="L865" s="1549"/>
      <c r="M865" s="1549"/>
      <c r="N865" s="1549"/>
      <c r="O865" s="1549"/>
      <c r="P865" s="1549"/>
      <c r="Q865" s="1549"/>
      <c r="R865" s="1549"/>
      <c r="S865" s="1549"/>
      <c r="T865" s="1549"/>
      <c r="U865" s="1549"/>
      <c r="V865" s="1549"/>
      <c r="W865" s="1549"/>
      <c r="X865" s="1549"/>
      <c r="Y865" s="1549"/>
      <c r="Z865" s="1549"/>
      <c r="AA865" s="1549"/>
      <c r="AB865" s="1549"/>
      <c r="AC865" s="1549"/>
      <c r="AD865" s="1549"/>
      <c r="AE865" s="1549"/>
      <c r="AF865" s="1549"/>
      <c r="AG865" s="1549"/>
      <c r="AH865" s="1549"/>
    </row>
    <row r="866" spans="1:34" ht="12.75" customHeight="1" x14ac:dyDescent="0.2">
      <c r="A866" s="1549"/>
      <c r="B866" s="1549"/>
      <c r="C866" s="1549"/>
      <c r="D866" s="1549"/>
      <c r="E866" s="1549"/>
      <c r="F866" s="1549"/>
      <c r="G866" s="1549"/>
      <c r="H866" s="1549"/>
      <c r="I866" s="1549"/>
      <c r="J866" s="1549"/>
      <c r="K866" s="1549"/>
      <c r="L866" s="1549"/>
      <c r="M866" s="1549"/>
      <c r="N866" s="1549"/>
      <c r="O866" s="1549"/>
      <c r="P866" s="1549"/>
      <c r="Q866" s="1549"/>
      <c r="R866" s="1549"/>
      <c r="S866" s="1549"/>
      <c r="T866" s="1549"/>
      <c r="U866" s="1549"/>
      <c r="V866" s="1549"/>
      <c r="W866" s="1549"/>
      <c r="X866" s="1549"/>
      <c r="Y866" s="1549"/>
      <c r="Z866" s="1549"/>
      <c r="AA866" s="1549"/>
      <c r="AB866" s="1549"/>
      <c r="AC866" s="1549"/>
      <c r="AD866" s="1549"/>
      <c r="AE866" s="1549"/>
      <c r="AF866" s="1549"/>
      <c r="AG866" s="1549"/>
      <c r="AH866" s="1549"/>
    </row>
    <row r="867" spans="1:34" ht="12.75" customHeight="1" x14ac:dyDescent="0.2">
      <c r="A867" s="1549"/>
      <c r="B867" s="1549"/>
      <c r="C867" s="1549"/>
      <c r="D867" s="1549"/>
      <c r="E867" s="1549"/>
      <c r="F867" s="1549"/>
      <c r="G867" s="1549"/>
      <c r="H867" s="1549"/>
      <c r="I867" s="1549"/>
      <c r="J867" s="1549"/>
      <c r="K867" s="1549"/>
      <c r="L867" s="1549"/>
      <c r="M867" s="1549"/>
      <c r="N867" s="1549"/>
      <c r="O867" s="1549"/>
      <c r="P867" s="1549"/>
      <c r="Q867" s="1549"/>
      <c r="R867" s="1549"/>
      <c r="S867" s="1549"/>
      <c r="T867" s="1549"/>
      <c r="U867" s="1549"/>
      <c r="V867" s="1549"/>
      <c r="W867" s="1549"/>
      <c r="X867" s="1549"/>
      <c r="Y867" s="1549"/>
      <c r="Z867" s="1549"/>
      <c r="AA867" s="1549"/>
      <c r="AB867" s="1549"/>
      <c r="AC867" s="1549"/>
      <c r="AD867" s="1549"/>
      <c r="AE867" s="1549"/>
      <c r="AF867" s="1549"/>
      <c r="AG867" s="1549"/>
      <c r="AH867" s="1549"/>
    </row>
    <row r="868" spans="1:34" ht="12.75" customHeight="1" x14ac:dyDescent="0.2">
      <c r="A868" s="1549"/>
      <c r="B868" s="1549"/>
      <c r="C868" s="1549"/>
      <c r="D868" s="1549"/>
      <c r="E868" s="1549"/>
      <c r="F868" s="1549"/>
      <c r="G868" s="1549"/>
      <c r="H868" s="1549"/>
      <c r="I868" s="1549"/>
      <c r="J868" s="1549"/>
      <c r="K868" s="1549"/>
      <c r="L868" s="1549"/>
      <c r="M868" s="1549"/>
      <c r="N868" s="1549"/>
      <c r="O868" s="1549"/>
      <c r="P868" s="1549"/>
      <c r="Q868" s="1549"/>
      <c r="R868" s="1549"/>
      <c r="S868" s="1549"/>
      <c r="T868" s="1549"/>
      <c r="U868" s="1549"/>
      <c r="V868" s="1549"/>
      <c r="W868" s="1549"/>
      <c r="X868" s="1549"/>
      <c r="Y868" s="1549"/>
      <c r="Z868" s="1549"/>
      <c r="AA868" s="1549"/>
      <c r="AB868" s="1549"/>
      <c r="AC868" s="1549"/>
      <c r="AD868" s="1549"/>
      <c r="AE868" s="1549"/>
      <c r="AF868" s="1549"/>
      <c r="AG868" s="1549"/>
      <c r="AH868" s="1549"/>
    </row>
    <row r="869" spans="1:34" ht="12.75" customHeight="1" x14ac:dyDescent="0.2">
      <c r="A869" s="1549"/>
      <c r="B869" s="1549"/>
      <c r="C869" s="1549"/>
      <c r="D869" s="1549"/>
      <c r="E869" s="1549"/>
      <c r="F869" s="1549"/>
      <c r="G869" s="1549"/>
      <c r="H869" s="1549"/>
      <c r="I869" s="1549"/>
      <c r="J869" s="1549"/>
      <c r="K869" s="1549"/>
      <c r="L869" s="1549"/>
      <c r="M869" s="1549"/>
      <c r="N869" s="1549"/>
      <c r="O869" s="1549"/>
      <c r="P869" s="1549"/>
      <c r="Q869" s="1549"/>
      <c r="R869" s="1549"/>
      <c r="S869" s="1549"/>
      <c r="T869" s="1549"/>
      <c r="U869" s="1549"/>
      <c r="V869" s="1549"/>
      <c r="W869" s="1549"/>
      <c r="X869" s="1549"/>
      <c r="Y869" s="1549"/>
      <c r="Z869" s="1549"/>
      <c r="AA869" s="1549"/>
      <c r="AB869" s="1549"/>
      <c r="AC869" s="1549"/>
      <c r="AD869" s="1549"/>
      <c r="AE869" s="1549"/>
      <c r="AF869" s="1549"/>
      <c r="AG869" s="1549"/>
      <c r="AH869" s="1549"/>
    </row>
    <row r="870" spans="1:34" ht="12.75" customHeight="1" x14ac:dyDescent="0.2">
      <c r="A870" s="1549"/>
      <c r="B870" s="1549"/>
      <c r="C870" s="1549"/>
      <c r="D870" s="1549"/>
      <c r="E870" s="1549"/>
      <c r="F870" s="1549"/>
      <c r="G870" s="1549"/>
      <c r="H870" s="1549"/>
      <c r="I870" s="1549"/>
      <c r="J870" s="1549"/>
      <c r="K870" s="1549"/>
      <c r="L870" s="1549"/>
      <c r="M870" s="1549"/>
      <c r="N870" s="1549"/>
      <c r="O870" s="1549"/>
      <c r="P870" s="1549"/>
      <c r="Q870" s="1549"/>
      <c r="R870" s="1549"/>
      <c r="S870" s="1549"/>
      <c r="T870" s="1549"/>
      <c r="U870" s="1549"/>
      <c r="V870" s="1549"/>
      <c r="W870" s="1549"/>
      <c r="X870" s="1549"/>
      <c r="Y870" s="1549"/>
      <c r="Z870" s="1549"/>
      <c r="AA870" s="1549"/>
      <c r="AB870" s="1549"/>
      <c r="AC870" s="1549"/>
      <c r="AD870" s="1549"/>
      <c r="AE870" s="1549"/>
      <c r="AF870" s="1549"/>
      <c r="AG870" s="1549"/>
      <c r="AH870" s="1549"/>
    </row>
    <row r="871" spans="1:34" ht="12.75" customHeight="1" x14ac:dyDescent="0.2">
      <c r="A871" s="1549"/>
      <c r="B871" s="1549"/>
      <c r="C871" s="1549"/>
      <c r="D871" s="1549"/>
      <c r="E871" s="1549"/>
      <c r="F871" s="1549"/>
      <c r="G871" s="1549"/>
      <c r="H871" s="1549"/>
      <c r="I871" s="1549"/>
      <c r="J871" s="1549"/>
      <c r="K871" s="1549"/>
      <c r="L871" s="1549"/>
      <c r="M871" s="1549"/>
      <c r="N871" s="1549"/>
      <c r="O871" s="1549"/>
      <c r="P871" s="1549"/>
      <c r="Q871" s="1549"/>
      <c r="R871" s="1549"/>
      <c r="S871" s="1549"/>
      <c r="T871" s="1549"/>
      <c r="U871" s="1549"/>
      <c r="V871" s="1549"/>
      <c r="W871" s="1549"/>
      <c r="X871" s="1549"/>
      <c r="Y871" s="1549"/>
      <c r="Z871" s="1549"/>
      <c r="AA871" s="1549"/>
      <c r="AB871" s="1549"/>
      <c r="AC871" s="1549"/>
      <c r="AD871" s="1549"/>
      <c r="AE871" s="1549"/>
      <c r="AF871" s="1549"/>
      <c r="AG871" s="1549"/>
      <c r="AH871" s="1549"/>
    </row>
    <row r="872" spans="1:34" ht="12.75" customHeight="1" x14ac:dyDescent="0.2">
      <c r="A872" s="1549"/>
      <c r="B872" s="1549"/>
      <c r="C872" s="1549"/>
      <c r="D872" s="1549"/>
      <c r="E872" s="1549"/>
      <c r="F872" s="1549"/>
      <c r="G872" s="1549"/>
      <c r="H872" s="1549"/>
      <c r="I872" s="1549"/>
      <c r="J872" s="1549"/>
      <c r="K872" s="1549"/>
      <c r="L872" s="1549"/>
      <c r="M872" s="1549"/>
      <c r="N872" s="1549"/>
      <c r="O872" s="1549"/>
      <c r="P872" s="1549"/>
      <c r="Q872" s="1549"/>
      <c r="R872" s="1549"/>
      <c r="S872" s="1549"/>
      <c r="T872" s="1549"/>
      <c r="U872" s="1549"/>
      <c r="V872" s="1549"/>
      <c r="W872" s="1549"/>
      <c r="X872" s="1549"/>
      <c r="Y872" s="1549"/>
      <c r="Z872" s="1549"/>
      <c r="AA872" s="1549"/>
      <c r="AB872" s="1549"/>
      <c r="AC872" s="1549"/>
      <c r="AD872" s="1549"/>
      <c r="AE872" s="1549"/>
      <c r="AF872" s="1549"/>
      <c r="AG872" s="1549"/>
      <c r="AH872" s="1549"/>
    </row>
    <row r="873" spans="1:34" ht="12.75" customHeight="1" x14ac:dyDescent="0.2">
      <c r="A873" s="1549"/>
      <c r="B873" s="1549"/>
      <c r="C873" s="1549"/>
      <c r="D873" s="1549"/>
      <c r="E873" s="1549"/>
      <c r="F873" s="1549"/>
      <c r="G873" s="1549"/>
      <c r="H873" s="1549"/>
      <c r="I873" s="1549"/>
      <c r="J873" s="1549"/>
      <c r="K873" s="1549"/>
      <c r="L873" s="1549"/>
      <c r="M873" s="1549"/>
      <c r="N873" s="1549"/>
      <c r="O873" s="1549"/>
      <c r="P873" s="1549"/>
      <c r="Q873" s="1549"/>
      <c r="R873" s="1549"/>
      <c r="S873" s="1549"/>
      <c r="T873" s="1549"/>
      <c r="U873" s="1549"/>
      <c r="V873" s="1549"/>
      <c r="W873" s="1549"/>
      <c r="X873" s="1549"/>
      <c r="Y873" s="1549"/>
      <c r="Z873" s="1549"/>
      <c r="AA873" s="1549"/>
      <c r="AB873" s="1549"/>
      <c r="AC873" s="1549"/>
      <c r="AD873" s="1549"/>
      <c r="AE873" s="1549"/>
      <c r="AF873" s="1549"/>
      <c r="AG873" s="1549"/>
      <c r="AH873" s="1549"/>
    </row>
    <row r="874" spans="1:34" ht="12.75" customHeight="1" x14ac:dyDescent="0.2">
      <c r="A874" s="1549"/>
      <c r="B874" s="1549"/>
      <c r="C874" s="1549"/>
      <c r="D874" s="1549"/>
      <c r="E874" s="1549"/>
      <c r="F874" s="1549"/>
      <c r="G874" s="1549"/>
      <c r="H874" s="1549"/>
      <c r="I874" s="1549"/>
      <c r="J874" s="1549"/>
      <c r="K874" s="1549"/>
      <c r="L874" s="1549"/>
      <c r="M874" s="1549"/>
      <c r="N874" s="1549"/>
      <c r="O874" s="1549"/>
      <c r="P874" s="1549"/>
      <c r="Q874" s="1549"/>
      <c r="R874" s="1549"/>
      <c r="S874" s="1549"/>
      <c r="T874" s="1549"/>
      <c r="U874" s="1549"/>
      <c r="V874" s="1549"/>
      <c r="W874" s="1549"/>
      <c r="X874" s="1549"/>
      <c r="Y874" s="1549"/>
      <c r="Z874" s="1549"/>
      <c r="AA874" s="1549"/>
      <c r="AB874" s="1549"/>
      <c r="AC874" s="1549"/>
      <c r="AD874" s="1549"/>
      <c r="AE874" s="1549"/>
      <c r="AF874" s="1549"/>
      <c r="AG874" s="1549"/>
      <c r="AH874" s="1549"/>
    </row>
    <row r="875" spans="1:34" ht="12.75" customHeight="1" x14ac:dyDescent="0.2">
      <c r="A875" s="1549"/>
      <c r="B875" s="1549"/>
      <c r="C875" s="1549"/>
      <c r="D875" s="1549"/>
      <c r="E875" s="1549"/>
      <c r="F875" s="1549"/>
      <c r="G875" s="1549"/>
      <c r="H875" s="1549"/>
      <c r="I875" s="1549"/>
      <c r="J875" s="1549"/>
      <c r="K875" s="1549"/>
      <c r="L875" s="1549"/>
      <c r="M875" s="1549"/>
      <c r="N875" s="1549"/>
      <c r="O875" s="1549"/>
      <c r="P875" s="1549"/>
      <c r="Q875" s="1549"/>
      <c r="R875" s="1549"/>
      <c r="S875" s="1549"/>
      <c r="T875" s="1549"/>
      <c r="U875" s="1549"/>
      <c r="V875" s="1549"/>
      <c r="W875" s="1549"/>
      <c r="X875" s="1549"/>
      <c r="Y875" s="1549"/>
      <c r="Z875" s="1549"/>
      <c r="AA875" s="1549"/>
      <c r="AB875" s="1549"/>
      <c r="AC875" s="1549"/>
      <c r="AD875" s="1549"/>
      <c r="AE875" s="1549"/>
      <c r="AF875" s="1549"/>
      <c r="AG875" s="1549"/>
      <c r="AH875" s="1549"/>
    </row>
    <row r="876" spans="1:34" ht="12.75" customHeight="1" x14ac:dyDescent="0.2">
      <c r="A876" s="1549"/>
      <c r="B876" s="1549"/>
      <c r="C876" s="1549"/>
      <c r="D876" s="1549"/>
      <c r="E876" s="1549"/>
      <c r="F876" s="1549"/>
      <c r="G876" s="1549"/>
      <c r="H876" s="1549"/>
      <c r="I876" s="1549"/>
      <c r="J876" s="1549"/>
      <c r="K876" s="1549"/>
      <c r="L876" s="1549"/>
      <c r="M876" s="1549"/>
      <c r="N876" s="1549"/>
      <c r="O876" s="1549"/>
      <c r="P876" s="1549"/>
      <c r="Q876" s="1549"/>
      <c r="R876" s="1549"/>
      <c r="S876" s="1549"/>
      <c r="T876" s="1549"/>
      <c r="U876" s="1549"/>
      <c r="V876" s="1549"/>
      <c r="W876" s="1549"/>
      <c r="X876" s="1549"/>
      <c r="Y876" s="1549"/>
      <c r="Z876" s="1549"/>
      <c r="AA876" s="1549"/>
      <c r="AB876" s="1549"/>
      <c r="AC876" s="1549"/>
      <c r="AD876" s="1549"/>
      <c r="AE876" s="1549"/>
      <c r="AF876" s="1549"/>
      <c r="AG876" s="1549"/>
      <c r="AH876" s="1549"/>
    </row>
    <row r="877" spans="1:34" ht="12.75" customHeight="1" x14ac:dyDescent="0.2">
      <c r="A877" s="1549"/>
      <c r="B877" s="1549"/>
      <c r="C877" s="1549"/>
      <c r="D877" s="1549"/>
      <c r="E877" s="1549"/>
      <c r="F877" s="1549"/>
      <c r="G877" s="1549"/>
      <c r="H877" s="1549"/>
      <c r="I877" s="1549"/>
      <c r="J877" s="1549"/>
      <c r="K877" s="1549"/>
      <c r="L877" s="1549"/>
      <c r="M877" s="1549"/>
      <c r="N877" s="1549"/>
      <c r="O877" s="1549"/>
      <c r="P877" s="1549"/>
      <c r="Q877" s="1549"/>
      <c r="R877" s="1549"/>
      <c r="S877" s="1549"/>
      <c r="T877" s="1549"/>
      <c r="U877" s="1549"/>
      <c r="V877" s="1549"/>
      <c r="W877" s="1549"/>
      <c r="X877" s="1549"/>
      <c r="Y877" s="1549"/>
      <c r="Z877" s="1549"/>
      <c r="AA877" s="1549"/>
      <c r="AB877" s="1549"/>
      <c r="AC877" s="1549"/>
      <c r="AD877" s="1549"/>
      <c r="AE877" s="1549"/>
      <c r="AF877" s="1549"/>
      <c r="AG877" s="1549"/>
      <c r="AH877" s="1549"/>
    </row>
    <row r="878" spans="1:34" ht="12.75" customHeight="1" x14ac:dyDescent="0.2">
      <c r="A878" s="1549"/>
      <c r="B878" s="1549"/>
      <c r="C878" s="1549"/>
      <c r="D878" s="1549"/>
      <c r="E878" s="1549"/>
      <c r="F878" s="1549"/>
      <c r="G878" s="1549"/>
      <c r="H878" s="1549"/>
      <c r="I878" s="1549"/>
      <c r="J878" s="1549"/>
      <c r="K878" s="1549"/>
      <c r="L878" s="1549"/>
      <c r="M878" s="1549"/>
      <c r="N878" s="1549"/>
      <c r="O878" s="1549"/>
      <c r="P878" s="1549"/>
      <c r="Q878" s="1549"/>
      <c r="R878" s="1549"/>
      <c r="S878" s="1549"/>
      <c r="T878" s="1549"/>
      <c r="U878" s="1549"/>
      <c r="V878" s="1549"/>
      <c r="W878" s="1549"/>
      <c r="X878" s="1549"/>
      <c r="Y878" s="1549"/>
      <c r="Z878" s="1549"/>
      <c r="AA878" s="1549"/>
      <c r="AB878" s="1549"/>
      <c r="AC878" s="1549"/>
      <c r="AD878" s="1549"/>
      <c r="AE878" s="1549"/>
      <c r="AF878" s="1549"/>
      <c r="AG878" s="1549"/>
      <c r="AH878" s="1549"/>
    </row>
    <row r="879" spans="1:34" ht="12.75" customHeight="1" x14ac:dyDescent="0.2">
      <c r="A879" s="1549"/>
      <c r="B879" s="1549"/>
      <c r="C879" s="1549"/>
      <c r="D879" s="1549"/>
      <c r="E879" s="1549"/>
      <c r="F879" s="1549"/>
      <c r="G879" s="1549"/>
      <c r="H879" s="1549"/>
      <c r="I879" s="1549"/>
      <c r="J879" s="1549"/>
      <c r="K879" s="1549"/>
      <c r="L879" s="1549"/>
      <c r="M879" s="1549"/>
      <c r="N879" s="1549"/>
      <c r="O879" s="1549"/>
      <c r="P879" s="1549"/>
      <c r="Q879" s="1549"/>
      <c r="R879" s="1549"/>
      <c r="S879" s="1549"/>
      <c r="T879" s="1549"/>
      <c r="U879" s="1549"/>
      <c r="V879" s="1549"/>
      <c r="W879" s="1549"/>
      <c r="X879" s="1549"/>
      <c r="Y879" s="1549"/>
      <c r="Z879" s="1549"/>
      <c r="AA879" s="1549"/>
      <c r="AB879" s="1549"/>
      <c r="AC879" s="1549"/>
      <c r="AD879" s="1549"/>
      <c r="AE879" s="1549"/>
      <c r="AF879" s="1549"/>
      <c r="AG879" s="1549"/>
      <c r="AH879" s="1549"/>
    </row>
    <row r="880" spans="1:34" ht="12.75" customHeight="1" x14ac:dyDescent="0.2">
      <c r="A880" s="1549"/>
      <c r="B880" s="1549"/>
      <c r="C880" s="1549"/>
      <c r="D880" s="1549"/>
      <c r="E880" s="1549"/>
      <c r="F880" s="1549"/>
      <c r="G880" s="1549"/>
      <c r="H880" s="1549"/>
      <c r="I880" s="1549"/>
      <c r="J880" s="1549"/>
      <c r="K880" s="1549"/>
      <c r="L880" s="1549"/>
      <c r="M880" s="1549"/>
      <c r="N880" s="1549"/>
      <c r="O880" s="1549"/>
      <c r="P880" s="1549"/>
      <c r="Q880" s="1549"/>
      <c r="R880" s="1549"/>
      <c r="S880" s="1549"/>
      <c r="T880" s="1549"/>
      <c r="U880" s="1549"/>
      <c r="V880" s="1549"/>
      <c r="W880" s="1549"/>
      <c r="X880" s="1549"/>
      <c r="Y880" s="1549"/>
      <c r="Z880" s="1549"/>
      <c r="AA880" s="1549"/>
      <c r="AB880" s="1549"/>
      <c r="AC880" s="1549"/>
      <c r="AD880" s="1549"/>
      <c r="AE880" s="1549"/>
      <c r="AF880" s="1549"/>
      <c r="AG880" s="1549"/>
      <c r="AH880" s="1549"/>
    </row>
    <row r="881" spans="1:34" ht="12.75" customHeight="1" x14ac:dyDescent="0.2">
      <c r="A881" s="1549"/>
      <c r="B881" s="1549"/>
      <c r="C881" s="1549"/>
      <c r="D881" s="1549"/>
      <c r="E881" s="1549"/>
      <c r="F881" s="1549"/>
      <c r="G881" s="1549"/>
      <c r="H881" s="1549"/>
      <c r="I881" s="1549"/>
      <c r="J881" s="1549"/>
      <c r="K881" s="1549"/>
      <c r="L881" s="1549"/>
      <c r="M881" s="1549"/>
      <c r="N881" s="1549"/>
      <c r="O881" s="1549"/>
      <c r="P881" s="1549"/>
      <c r="Q881" s="1549"/>
      <c r="R881" s="1549"/>
      <c r="S881" s="1549"/>
      <c r="T881" s="1549"/>
      <c r="U881" s="1549"/>
      <c r="V881" s="1549"/>
      <c r="W881" s="1549"/>
      <c r="X881" s="1549"/>
      <c r="Y881" s="1549"/>
      <c r="Z881" s="1549"/>
      <c r="AA881" s="1549"/>
      <c r="AB881" s="1549"/>
      <c r="AC881" s="1549"/>
      <c r="AD881" s="1549"/>
      <c r="AE881" s="1549"/>
      <c r="AF881" s="1549"/>
      <c r="AG881" s="1549"/>
      <c r="AH881" s="1549"/>
    </row>
    <row r="882" spans="1:34" ht="12.75" customHeight="1" x14ac:dyDescent="0.2">
      <c r="A882" s="1549"/>
      <c r="B882" s="1549"/>
      <c r="C882" s="1549"/>
      <c r="D882" s="1549"/>
      <c r="E882" s="1549"/>
      <c r="F882" s="1549"/>
      <c r="G882" s="1549"/>
      <c r="H882" s="1549"/>
      <c r="I882" s="1549"/>
      <c r="J882" s="1549"/>
      <c r="K882" s="1549"/>
      <c r="L882" s="1549"/>
      <c r="M882" s="1549"/>
      <c r="N882" s="1549"/>
      <c r="O882" s="1549"/>
      <c r="P882" s="1549"/>
      <c r="Q882" s="1549"/>
      <c r="R882" s="1549"/>
      <c r="S882" s="1549"/>
      <c r="T882" s="1549"/>
      <c r="U882" s="1549"/>
      <c r="V882" s="1549"/>
      <c r="W882" s="1549"/>
      <c r="X882" s="1549"/>
      <c r="Y882" s="1549"/>
      <c r="Z882" s="1549"/>
      <c r="AA882" s="1549"/>
      <c r="AB882" s="1549"/>
      <c r="AC882" s="1549"/>
      <c r="AD882" s="1549"/>
      <c r="AE882" s="1549"/>
      <c r="AF882" s="1549"/>
      <c r="AG882" s="1549"/>
      <c r="AH882" s="1549"/>
    </row>
    <row r="883" spans="1:34" ht="12.75" customHeight="1" x14ac:dyDescent="0.2">
      <c r="A883" s="1549"/>
      <c r="B883" s="1549"/>
      <c r="C883" s="1549"/>
      <c r="D883" s="1549"/>
      <c r="E883" s="1549"/>
      <c r="F883" s="1549"/>
      <c r="G883" s="1549"/>
      <c r="H883" s="1549"/>
      <c r="I883" s="1549"/>
      <c r="J883" s="1549"/>
      <c r="K883" s="1549"/>
      <c r="L883" s="1549"/>
      <c r="M883" s="1549"/>
      <c r="N883" s="1549"/>
      <c r="O883" s="1549"/>
      <c r="P883" s="1549"/>
      <c r="Q883" s="1549"/>
      <c r="R883" s="1549"/>
      <c r="S883" s="1549"/>
      <c r="T883" s="1549"/>
      <c r="U883" s="1549"/>
      <c r="V883" s="1549"/>
      <c r="W883" s="1549"/>
      <c r="X883" s="1549"/>
      <c r="Y883" s="1549"/>
      <c r="Z883" s="1549"/>
      <c r="AA883" s="1549"/>
      <c r="AB883" s="1549"/>
      <c r="AC883" s="1549"/>
      <c r="AD883" s="1549"/>
      <c r="AE883" s="1549"/>
      <c r="AF883" s="1549"/>
      <c r="AG883" s="1549"/>
      <c r="AH883" s="1549"/>
    </row>
    <row r="884" spans="1:34" ht="12.75" customHeight="1" x14ac:dyDescent="0.2">
      <c r="A884" s="1549"/>
      <c r="B884" s="1549"/>
      <c r="C884" s="1549"/>
      <c r="D884" s="1549"/>
      <c r="E884" s="1549"/>
      <c r="F884" s="1549"/>
      <c r="G884" s="1549"/>
      <c r="H884" s="1549"/>
      <c r="I884" s="1549"/>
      <c r="J884" s="1549"/>
      <c r="K884" s="1549"/>
      <c r="L884" s="1549"/>
      <c r="M884" s="1549"/>
      <c r="N884" s="1549"/>
      <c r="O884" s="1549"/>
      <c r="P884" s="1549"/>
      <c r="Q884" s="1549"/>
      <c r="R884" s="1549"/>
      <c r="S884" s="1549"/>
      <c r="T884" s="1549"/>
      <c r="U884" s="1549"/>
      <c r="V884" s="1549"/>
      <c r="W884" s="1549"/>
      <c r="X884" s="1549"/>
      <c r="Y884" s="1549"/>
      <c r="Z884" s="1549"/>
      <c r="AA884" s="1549"/>
      <c r="AB884" s="1549"/>
      <c r="AC884" s="1549"/>
      <c r="AD884" s="1549"/>
      <c r="AE884" s="1549"/>
      <c r="AF884" s="1549"/>
      <c r="AG884" s="1549"/>
      <c r="AH884" s="1549"/>
    </row>
    <row r="885" spans="1:34" ht="12.75" customHeight="1" x14ac:dyDescent="0.2">
      <c r="A885" s="1549"/>
      <c r="B885" s="1549"/>
      <c r="C885" s="1549"/>
      <c r="D885" s="1549"/>
      <c r="E885" s="1549"/>
      <c r="F885" s="1549"/>
      <c r="G885" s="1549"/>
      <c r="H885" s="1549"/>
      <c r="I885" s="1549"/>
      <c r="J885" s="1549"/>
      <c r="K885" s="1549"/>
      <c r="L885" s="1549"/>
      <c r="M885" s="1549"/>
      <c r="N885" s="1549"/>
      <c r="O885" s="1549"/>
      <c r="P885" s="1549"/>
      <c r="Q885" s="1549"/>
      <c r="R885" s="1549"/>
      <c r="S885" s="1549"/>
      <c r="T885" s="1549"/>
      <c r="U885" s="1549"/>
      <c r="V885" s="1549"/>
      <c r="W885" s="1549"/>
      <c r="X885" s="1549"/>
      <c r="Y885" s="1549"/>
      <c r="Z885" s="1549"/>
      <c r="AA885" s="1549"/>
      <c r="AB885" s="1549"/>
      <c r="AC885" s="1549"/>
      <c r="AD885" s="1549"/>
      <c r="AE885" s="1549"/>
      <c r="AF885" s="1549"/>
      <c r="AG885" s="1549"/>
      <c r="AH885" s="1549"/>
    </row>
    <row r="886" spans="1:34" ht="12.75" customHeight="1" x14ac:dyDescent="0.2">
      <c r="A886" s="1549"/>
      <c r="B886" s="1549"/>
      <c r="C886" s="1549"/>
      <c r="D886" s="1549"/>
      <c r="E886" s="1549"/>
      <c r="F886" s="1549"/>
      <c r="G886" s="1549"/>
      <c r="H886" s="1549"/>
      <c r="I886" s="1549"/>
      <c r="J886" s="1549"/>
      <c r="K886" s="1549"/>
      <c r="L886" s="1549"/>
      <c r="M886" s="1549"/>
      <c r="N886" s="1549"/>
      <c r="O886" s="1549"/>
      <c r="P886" s="1549"/>
      <c r="Q886" s="1549"/>
      <c r="R886" s="1549"/>
      <c r="S886" s="1549"/>
      <c r="T886" s="1549"/>
      <c r="U886" s="1549"/>
      <c r="V886" s="1549"/>
      <c r="W886" s="1549"/>
      <c r="X886" s="1549"/>
      <c r="Y886" s="1549"/>
      <c r="Z886" s="1549"/>
      <c r="AA886" s="1549"/>
      <c r="AB886" s="1549"/>
      <c r="AC886" s="1549"/>
      <c r="AD886" s="1549"/>
      <c r="AE886" s="1549"/>
      <c r="AF886" s="1549"/>
      <c r="AG886" s="1549"/>
      <c r="AH886" s="1549"/>
    </row>
    <row r="887" spans="1:34" ht="12.75" customHeight="1" x14ac:dyDescent="0.2">
      <c r="A887" s="1549"/>
      <c r="B887" s="1549"/>
      <c r="C887" s="1549"/>
      <c r="D887" s="1549"/>
      <c r="E887" s="1549"/>
      <c r="F887" s="1549"/>
      <c r="G887" s="1549"/>
      <c r="H887" s="1549"/>
      <c r="I887" s="1549"/>
      <c r="J887" s="1549"/>
      <c r="K887" s="1549"/>
      <c r="L887" s="1549"/>
      <c r="M887" s="1549"/>
      <c r="N887" s="1549"/>
      <c r="O887" s="1549"/>
      <c r="P887" s="1549"/>
      <c r="Q887" s="1549"/>
      <c r="R887" s="1549"/>
      <c r="S887" s="1549"/>
      <c r="T887" s="1549"/>
      <c r="U887" s="1549"/>
      <c r="V887" s="1549"/>
      <c r="W887" s="1549"/>
      <c r="X887" s="1549"/>
      <c r="Y887" s="1549"/>
      <c r="Z887" s="1549"/>
      <c r="AA887" s="1549"/>
      <c r="AB887" s="1549"/>
      <c r="AC887" s="1549"/>
      <c r="AD887" s="1549"/>
      <c r="AE887" s="1549"/>
      <c r="AF887" s="1549"/>
      <c r="AG887" s="1549"/>
      <c r="AH887" s="1549"/>
    </row>
    <row r="888" spans="1:34" ht="12.75" customHeight="1" x14ac:dyDescent="0.2">
      <c r="A888" s="1549"/>
      <c r="B888" s="1549"/>
      <c r="C888" s="1549"/>
      <c r="D888" s="1549"/>
      <c r="E888" s="1549"/>
      <c r="F888" s="1549"/>
      <c r="G888" s="1549"/>
      <c r="H888" s="1549"/>
      <c r="I888" s="1549"/>
      <c r="J888" s="1549"/>
      <c r="K888" s="1549"/>
      <c r="L888" s="1549"/>
      <c r="M888" s="1549"/>
      <c r="N888" s="1549"/>
      <c r="O888" s="1549"/>
      <c r="P888" s="1549"/>
      <c r="Q888" s="1549"/>
      <c r="R888" s="1549"/>
      <c r="S888" s="1549"/>
      <c r="T888" s="1549"/>
      <c r="U888" s="1549"/>
      <c r="V888" s="1549"/>
      <c r="W888" s="1549"/>
      <c r="X888" s="1549"/>
      <c r="Y888" s="1549"/>
      <c r="Z888" s="1549"/>
      <c r="AA888" s="1549"/>
      <c r="AB888" s="1549"/>
      <c r="AC888" s="1549"/>
      <c r="AD888" s="1549"/>
      <c r="AE888" s="1549"/>
      <c r="AF888" s="1549"/>
      <c r="AG888" s="1549"/>
      <c r="AH888" s="1549"/>
    </row>
    <row r="889" spans="1:34" ht="12.75" customHeight="1" x14ac:dyDescent="0.2">
      <c r="A889" s="1549"/>
      <c r="B889" s="1549"/>
      <c r="C889" s="1549"/>
      <c r="D889" s="1549"/>
      <c r="E889" s="1549"/>
      <c r="F889" s="1549"/>
      <c r="G889" s="1549"/>
      <c r="H889" s="1549"/>
      <c r="I889" s="1549"/>
      <c r="J889" s="1549"/>
      <c r="K889" s="1549"/>
      <c r="L889" s="1549"/>
      <c r="M889" s="1549"/>
      <c r="N889" s="1549"/>
      <c r="O889" s="1549"/>
      <c r="P889" s="1549"/>
      <c r="Q889" s="1549"/>
      <c r="R889" s="1549"/>
      <c r="S889" s="1549"/>
      <c r="T889" s="1549"/>
      <c r="U889" s="1549"/>
      <c r="V889" s="1549"/>
      <c r="W889" s="1549"/>
      <c r="X889" s="1549"/>
      <c r="Y889" s="1549"/>
      <c r="Z889" s="1549"/>
      <c r="AA889" s="1549"/>
      <c r="AB889" s="1549"/>
      <c r="AC889" s="1549"/>
      <c r="AD889" s="1549"/>
      <c r="AE889" s="1549"/>
      <c r="AF889" s="1549"/>
      <c r="AG889" s="1549"/>
      <c r="AH889" s="1549"/>
    </row>
    <row r="890" spans="1:34" ht="12.75" customHeight="1" x14ac:dyDescent="0.2">
      <c r="A890" s="1549"/>
      <c r="B890" s="1549"/>
      <c r="C890" s="1549"/>
      <c r="D890" s="1549"/>
      <c r="E890" s="1549"/>
      <c r="F890" s="1549"/>
      <c r="G890" s="1549"/>
      <c r="H890" s="1549"/>
      <c r="I890" s="1549"/>
      <c r="J890" s="1549"/>
      <c r="K890" s="1549"/>
      <c r="L890" s="1549"/>
      <c r="M890" s="1549"/>
      <c r="N890" s="1549"/>
      <c r="O890" s="1549"/>
      <c r="P890" s="1549"/>
      <c r="Q890" s="1549"/>
      <c r="R890" s="1549"/>
      <c r="S890" s="1549"/>
      <c r="T890" s="1549"/>
      <c r="U890" s="1549"/>
      <c r="V890" s="1549"/>
      <c r="W890" s="1549"/>
      <c r="X890" s="1549"/>
      <c r="Y890" s="1549"/>
      <c r="Z890" s="1549"/>
      <c r="AA890" s="1549"/>
      <c r="AB890" s="1549"/>
      <c r="AC890" s="1549"/>
      <c r="AD890" s="1549"/>
      <c r="AE890" s="1549"/>
      <c r="AF890" s="1549"/>
      <c r="AG890" s="1549"/>
      <c r="AH890" s="1549"/>
    </row>
    <row r="891" spans="1:34" ht="12.75" customHeight="1" x14ac:dyDescent="0.2">
      <c r="A891" s="1549"/>
      <c r="B891" s="1549"/>
      <c r="C891" s="1549"/>
      <c r="D891" s="1549"/>
      <c r="E891" s="1549"/>
      <c r="F891" s="1549"/>
      <c r="G891" s="1549"/>
      <c r="H891" s="1549"/>
      <c r="I891" s="1549"/>
      <c r="J891" s="1549"/>
      <c r="K891" s="1549"/>
      <c r="L891" s="1549"/>
      <c r="M891" s="1549"/>
      <c r="N891" s="1549"/>
      <c r="O891" s="1549"/>
      <c r="P891" s="1549"/>
      <c r="Q891" s="1549"/>
      <c r="R891" s="1549"/>
      <c r="S891" s="1549"/>
      <c r="T891" s="1549"/>
      <c r="U891" s="1549"/>
      <c r="V891" s="1549"/>
      <c r="W891" s="1549"/>
      <c r="X891" s="1549"/>
      <c r="Y891" s="1549"/>
      <c r="Z891" s="1549"/>
      <c r="AA891" s="1549"/>
      <c r="AB891" s="1549"/>
      <c r="AC891" s="1549"/>
      <c r="AD891" s="1549"/>
      <c r="AE891" s="1549"/>
      <c r="AF891" s="1549"/>
      <c r="AG891" s="1549"/>
      <c r="AH891" s="1549"/>
    </row>
    <row r="892" spans="1:34" ht="12.75" customHeight="1" x14ac:dyDescent="0.2">
      <c r="A892" s="1549"/>
      <c r="B892" s="1549"/>
      <c r="C892" s="1549"/>
      <c r="D892" s="1549"/>
      <c r="E892" s="1549"/>
      <c r="F892" s="1549"/>
      <c r="G892" s="1549"/>
      <c r="H892" s="1549"/>
      <c r="I892" s="1549"/>
      <c r="J892" s="1549"/>
      <c r="K892" s="1549"/>
      <c r="L892" s="1549"/>
      <c r="M892" s="1549"/>
      <c r="N892" s="1549"/>
      <c r="O892" s="1549"/>
      <c r="P892" s="1549"/>
      <c r="Q892" s="1549"/>
      <c r="R892" s="1549"/>
      <c r="S892" s="1549"/>
      <c r="T892" s="1549"/>
      <c r="U892" s="1549"/>
      <c r="V892" s="1549"/>
      <c r="W892" s="1549"/>
      <c r="X892" s="1549"/>
      <c r="Y892" s="1549"/>
      <c r="Z892" s="1549"/>
      <c r="AA892" s="1549"/>
      <c r="AB892" s="1549"/>
      <c r="AC892" s="1549"/>
      <c r="AD892" s="1549"/>
      <c r="AE892" s="1549"/>
      <c r="AF892" s="1549"/>
      <c r="AG892" s="1549"/>
      <c r="AH892" s="1549"/>
    </row>
    <row r="893" spans="1:34" ht="12.75" customHeight="1" x14ac:dyDescent="0.2">
      <c r="A893" s="1549"/>
      <c r="B893" s="1549"/>
      <c r="C893" s="1549"/>
      <c r="D893" s="1549"/>
      <c r="E893" s="1549"/>
      <c r="F893" s="1549"/>
      <c r="G893" s="1549"/>
      <c r="H893" s="1549"/>
      <c r="I893" s="1549"/>
      <c r="J893" s="1549"/>
      <c r="K893" s="1549"/>
      <c r="L893" s="1549"/>
      <c r="M893" s="1549"/>
      <c r="N893" s="1549"/>
      <c r="O893" s="1549"/>
      <c r="P893" s="1549"/>
      <c r="Q893" s="1549"/>
      <c r="R893" s="1549"/>
      <c r="S893" s="1549"/>
      <c r="T893" s="1549"/>
      <c r="U893" s="1549"/>
      <c r="V893" s="1549"/>
      <c r="W893" s="1549"/>
      <c r="X893" s="1549"/>
      <c r="Y893" s="1549"/>
      <c r="Z893" s="1549"/>
      <c r="AA893" s="1549"/>
      <c r="AB893" s="1549"/>
      <c r="AC893" s="1549"/>
      <c r="AD893" s="1549"/>
      <c r="AE893" s="1549"/>
      <c r="AF893" s="1549"/>
      <c r="AG893" s="1549"/>
      <c r="AH893" s="1549"/>
    </row>
    <row r="894" spans="1:34" ht="12.75" customHeight="1" x14ac:dyDescent="0.2">
      <c r="A894" s="1549"/>
      <c r="B894" s="1549"/>
      <c r="C894" s="1549"/>
      <c r="D894" s="1549"/>
      <c r="E894" s="1549"/>
      <c r="F894" s="1549"/>
      <c r="G894" s="1549"/>
      <c r="H894" s="1549"/>
      <c r="I894" s="1549"/>
      <c r="J894" s="1549"/>
      <c r="K894" s="1549"/>
      <c r="L894" s="1549"/>
      <c r="M894" s="1549"/>
      <c r="N894" s="1549"/>
      <c r="O894" s="1549"/>
      <c r="P894" s="1549"/>
      <c r="Q894" s="1549"/>
      <c r="R894" s="1549"/>
      <c r="S894" s="1549"/>
      <c r="T894" s="1549"/>
      <c r="U894" s="1549"/>
      <c r="V894" s="1549"/>
      <c r="W894" s="1549"/>
      <c r="X894" s="1549"/>
      <c r="Y894" s="1549"/>
      <c r="Z894" s="1549"/>
      <c r="AA894" s="1549"/>
      <c r="AB894" s="1549"/>
      <c r="AC894" s="1549"/>
      <c r="AD894" s="1549"/>
      <c r="AE894" s="1549"/>
      <c r="AF894" s="1549"/>
      <c r="AG894" s="1549"/>
      <c r="AH894" s="1549"/>
    </row>
    <row r="895" spans="1:34" ht="12.75" customHeight="1" x14ac:dyDescent="0.2">
      <c r="A895" s="1549"/>
      <c r="B895" s="1549"/>
      <c r="C895" s="1549"/>
      <c r="D895" s="1549"/>
      <c r="E895" s="1549"/>
      <c r="F895" s="1549"/>
      <c r="G895" s="1549"/>
      <c r="H895" s="1549"/>
      <c r="I895" s="1549"/>
      <c r="J895" s="1549"/>
      <c r="K895" s="1549"/>
      <c r="L895" s="1549"/>
      <c r="M895" s="1549"/>
      <c r="N895" s="1549"/>
      <c r="O895" s="1549"/>
      <c r="P895" s="1549"/>
      <c r="Q895" s="1549"/>
      <c r="R895" s="1549"/>
      <c r="S895" s="1549"/>
      <c r="T895" s="1549"/>
      <c r="U895" s="1549"/>
      <c r="V895" s="1549"/>
      <c r="W895" s="1549"/>
      <c r="X895" s="1549"/>
      <c r="Y895" s="1549"/>
      <c r="Z895" s="1549"/>
      <c r="AA895" s="1549"/>
      <c r="AB895" s="1549"/>
      <c r="AC895" s="1549"/>
      <c r="AD895" s="1549"/>
      <c r="AE895" s="1549"/>
      <c r="AF895" s="1549"/>
      <c r="AG895" s="1549"/>
      <c r="AH895" s="1549"/>
    </row>
    <row r="896" spans="1:34" ht="12.75" customHeight="1" x14ac:dyDescent="0.2">
      <c r="A896" s="1549"/>
      <c r="B896" s="1549"/>
      <c r="C896" s="1549"/>
      <c r="D896" s="1549"/>
      <c r="E896" s="1549"/>
      <c r="F896" s="1549"/>
      <c r="G896" s="1549"/>
      <c r="H896" s="1549"/>
      <c r="I896" s="1549"/>
      <c r="J896" s="1549"/>
      <c r="K896" s="1549"/>
      <c r="L896" s="1549"/>
      <c r="M896" s="1549"/>
      <c r="N896" s="1549"/>
      <c r="O896" s="1549"/>
      <c r="P896" s="1549"/>
      <c r="Q896" s="1549"/>
      <c r="R896" s="1549"/>
      <c r="S896" s="1549"/>
      <c r="T896" s="1549"/>
      <c r="U896" s="1549"/>
      <c r="V896" s="1549"/>
      <c r="W896" s="1549"/>
      <c r="X896" s="1549"/>
      <c r="Y896" s="1549"/>
      <c r="Z896" s="1549"/>
      <c r="AA896" s="1549"/>
      <c r="AB896" s="1549"/>
      <c r="AC896" s="1549"/>
      <c r="AD896" s="1549"/>
      <c r="AE896" s="1549"/>
      <c r="AF896" s="1549"/>
      <c r="AG896" s="1549"/>
      <c r="AH896" s="1549"/>
    </row>
    <row r="897" spans="1:34" ht="12.75" customHeight="1" x14ac:dyDescent="0.2">
      <c r="A897" s="1549"/>
      <c r="B897" s="1549"/>
      <c r="C897" s="1549"/>
      <c r="D897" s="1549"/>
      <c r="E897" s="1549"/>
      <c r="F897" s="1549"/>
      <c r="G897" s="1549"/>
      <c r="H897" s="1549"/>
      <c r="I897" s="1549"/>
      <c r="J897" s="1549"/>
      <c r="K897" s="1549"/>
      <c r="L897" s="1549"/>
      <c r="M897" s="1549"/>
      <c r="N897" s="1549"/>
      <c r="O897" s="1549"/>
      <c r="P897" s="1549"/>
      <c r="Q897" s="1549"/>
      <c r="R897" s="1549"/>
      <c r="S897" s="1549"/>
      <c r="T897" s="1549"/>
      <c r="U897" s="1549"/>
      <c r="V897" s="1549"/>
      <c r="W897" s="1549"/>
      <c r="X897" s="1549"/>
      <c r="Y897" s="1549"/>
      <c r="Z897" s="1549"/>
      <c r="AA897" s="1549"/>
      <c r="AB897" s="1549"/>
      <c r="AC897" s="1549"/>
      <c r="AD897" s="1549"/>
      <c r="AE897" s="1549"/>
      <c r="AF897" s="1549"/>
      <c r="AG897" s="1549"/>
      <c r="AH897" s="1549"/>
    </row>
    <row r="898" spans="1:34" ht="12.75" customHeight="1" x14ac:dyDescent="0.2">
      <c r="A898" s="1549"/>
      <c r="B898" s="1549"/>
      <c r="C898" s="1549"/>
      <c r="D898" s="1549"/>
      <c r="E898" s="1549"/>
      <c r="F898" s="1549"/>
      <c r="G898" s="1549"/>
      <c r="H898" s="1549"/>
      <c r="I898" s="1549"/>
      <c r="J898" s="1549"/>
      <c r="K898" s="1549"/>
      <c r="L898" s="1549"/>
      <c r="M898" s="1549"/>
      <c r="N898" s="1549"/>
      <c r="O898" s="1549"/>
      <c r="P898" s="1549"/>
      <c r="Q898" s="1549"/>
      <c r="R898" s="1549"/>
      <c r="S898" s="1549"/>
      <c r="T898" s="1549"/>
      <c r="U898" s="1549"/>
      <c r="V898" s="1549"/>
      <c r="W898" s="1549"/>
      <c r="X898" s="1549"/>
      <c r="Y898" s="1549"/>
      <c r="Z898" s="1549"/>
      <c r="AA898" s="1549"/>
      <c r="AB898" s="1549"/>
      <c r="AC898" s="1549"/>
      <c r="AD898" s="1549"/>
      <c r="AE898" s="1549"/>
      <c r="AF898" s="1549"/>
      <c r="AG898" s="1549"/>
      <c r="AH898" s="1549"/>
    </row>
    <row r="899" spans="1:34" ht="12.75" customHeight="1" x14ac:dyDescent="0.2">
      <c r="A899" s="1549"/>
      <c r="B899" s="1549"/>
      <c r="C899" s="1549"/>
      <c r="D899" s="1549"/>
      <c r="E899" s="1549"/>
      <c r="F899" s="1549"/>
      <c r="G899" s="1549"/>
      <c r="H899" s="1549"/>
      <c r="I899" s="1549"/>
      <c r="J899" s="1549"/>
      <c r="K899" s="1549"/>
      <c r="L899" s="1549"/>
      <c r="M899" s="1549"/>
      <c r="N899" s="1549"/>
      <c r="O899" s="1549"/>
      <c r="P899" s="1549"/>
      <c r="Q899" s="1549"/>
      <c r="R899" s="1549"/>
      <c r="S899" s="1549"/>
      <c r="T899" s="1549"/>
      <c r="U899" s="1549"/>
      <c r="V899" s="1549"/>
      <c r="W899" s="1549"/>
      <c r="X899" s="1549"/>
      <c r="Y899" s="1549"/>
      <c r="Z899" s="1549"/>
      <c r="AA899" s="1549"/>
      <c r="AB899" s="1549"/>
      <c r="AC899" s="1549"/>
      <c r="AD899" s="1549"/>
      <c r="AE899" s="1549"/>
      <c r="AF899" s="1549"/>
      <c r="AG899" s="1549"/>
      <c r="AH899" s="1549"/>
    </row>
    <row r="900" spans="1:34" ht="12.75" customHeight="1" x14ac:dyDescent="0.2">
      <c r="A900" s="1549"/>
      <c r="B900" s="1549"/>
      <c r="C900" s="1549"/>
      <c r="D900" s="1549"/>
      <c r="E900" s="1549"/>
      <c r="F900" s="1549"/>
      <c r="G900" s="1549"/>
      <c r="H900" s="1549"/>
      <c r="I900" s="1549"/>
      <c r="J900" s="1549"/>
      <c r="K900" s="1549"/>
      <c r="L900" s="1549"/>
      <c r="M900" s="1549"/>
      <c r="N900" s="1549"/>
      <c r="O900" s="1549"/>
      <c r="P900" s="1549"/>
      <c r="Q900" s="1549"/>
      <c r="R900" s="1549"/>
      <c r="S900" s="1549"/>
      <c r="T900" s="1549"/>
      <c r="U900" s="1549"/>
      <c r="V900" s="1549"/>
      <c r="W900" s="1549"/>
      <c r="X900" s="1549"/>
      <c r="Y900" s="1549"/>
      <c r="Z900" s="1549"/>
      <c r="AA900" s="1549"/>
      <c r="AB900" s="1549"/>
      <c r="AC900" s="1549"/>
      <c r="AD900" s="1549"/>
      <c r="AE900" s="1549"/>
      <c r="AF900" s="1549"/>
      <c r="AG900" s="1549"/>
      <c r="AH900" s="1549"/>
    </row>
    <row r="901" spans="1:34" ht="12.75" customHeight="1" x14ac:dyDescent="0.2">
      <c r="A901" s="1549"/>
      <c r="B901" s="1549"/>
      <c r="C901" s="1549"/>
      <c r="D901" s="1549"/>
      <c r="E901" s="1549"/>
      <c r="F901" s="1549"/>
      <c r="G901" s="1549"/>
      <c r="H901" s="1549"/>
      <c r="I901" s="1549"/>
      <c r="J901" s="1549"/>
      <c r="K901" s="1549"/>
      <c r="L901" s="1549"/>
      <c r="M901" s="1549"/>
      <c r="N901" s="1549"/>
      <c r="O901" s="1549"/>
      <c r="P901" s="1549"/>
      <c r="Q901" s="1549"/>
      <c r="R901" s="1549"/>
      <c r="S901" s="1549"/>
      <c r="T901" s="1549"/>
      <c r="U901" s="1549"/>
      <c r="V901" s="1549"/>
      <c r="W901" s="1549"/>
      <c r="X901" s="1549"/>
      <c r="Y901" s="1549"/>
      <c r="Z901" s="1549"/>
      <c r="AA901" s="1549"/>
      <c r="AB901" s="1549"/>
      <c r="AC901" s="1549"/>
      <c r="AD901" s="1549"/>
      <c r="AE901" s="1549"/>
      <c r="AF901" s="1549"/>
      <c r="AG901" s="1549"/>
      <c r="AH901" s="1549"/>
    </row>
    <row r="902" spans="1:34" ht="12.75" customHeight="1" x14ac:dyDescent="0.2">
      <c r="A902" s="1549"/>
      <c r="B902" s="1549"/>
      <c r="C902" s="1549"/>
      <c r="D902" s="1549"/>
      <c r="E902" s="1549"/>
      <c r="F902" s="1549"/>
      <c r="G902" s="1549"/>
      <c r="H902" s="1549"/>
      <c r="I902" s="1549"/>
      <c r="J902" s="1549"/>
      <c r="K902" s="1549"/>
      <c r="L902" s="1549"/>
      <c r="M902" s="1549"/>
      <c r="N902" s="1549"/>
      <c r="O902" s="1549"/>
      <c r="P902" s="1549"/>
      <c r="Q902" s="1549"/>
      <c r="R902" s="1549"/>
      <c r="S902" s="1549"/>
      <c r="T902" s="1549"/>
      <c r="U902" s="1549"/>
      <c r="V902" s="1549"/>
      <c r="W902" s="1549"/>
      <c r="X902" s="1549"/>
      <c r="Y902" s="1549"/>
      <c r="Z902" s="1549"/>
      <c r="AA902" s="1549"/>
      <c r="AB902" s="1549"/>
      <c r="AC902" s="1549"/>
      <c r="AD902" s="1549"/>
      <c r="AE902" s="1549"/>
      <c r="AF902" s="1549"/>
      <c r="AG902" s="1549"/>
      <c r="AH902" s="1549"/>
    </row>
    <row r="903" spans="1:34" ht="12.75" customHeight="1" x14ac:dyDescent="0.2">
      <c r="A903" s="1549"/>
      <c r="B903" s="1549"/>
      <c r="C903" s="1549"/>
      <c r="D903" s="1549"/>
      <c r="E903" s="1549"/>
      <c r="F903" s="1549"/>
      <c r="G903" s="1549"/>
      <c r="H903" s="1549"/>
      <c r="I903" s="1549"/>
      <c r="J903" s="1549"/>
      <c r="K903" s="1549"/>
      <c r="L903" s="1549"/>
      <c r="M903" s="1549"/>
      <c r="N903" s="1549"/>
      <c r="O903" s="1549"/>
      <c r="P903" s="1549"/>
      <c r="Q903" s="1549"/>
      <c r="R903" s="1549"/>
      <c r="S903" s="1549"/>
      <c r="T903" s="1549"/>
      <c r="U903" s="1549"/>
      <c r="V903" s="1549"/>
      <c r="W903" s="1549"/>
      <c r="X903" s="1549"/>
      <c r="Y903" s="1549"/>
      <c r="Z903" s="1549"/>
      <c r="AA903" s="1549"/>
      <c r="AB903" s="1549"/>
      <c r="AC903" s="1549"/>
      <c r="AD903" s="1549"/>
      <c r="AE903" s="1549"/>
      <c r="AF903" s="1549"/>
      <c r="AG903" s="1549"/>
      <c r="AH903" s="1549"/>
    </row>
    <row r="904" spans="1:34" ht="12.75" customHeight="1" x14ac:dyDescent="0.2">
      <c r="A904" s="1549"/>
      <c r="B904" s="1549"/>
      <c r="C904" s="1549"/>
      <c r="D904" s="1549"/>
      <c r="E904" s="1549"/>
      <c r="F904" s="1549"/>
      <c r="G904" s="1549"/>
      <c r="H904" s="1549"/>
      <c r="I904" s="1549"/>
      <c r="J904" s="1549"/>
      <c r="K904" s="1549"/>
      <c r="L904" s="1549"/>
      <c r="M904" s="1549"/>
      <c r="N904" s="1549"/>
      <c r="O904" s="1549"/>
      <c r="P904" s="1549"/>
      <c r="Q904" s="1549"/>
      <c r="R904" s="1549"/>
      <c r="S904" s="1549"/>
      <c r="T904" s="1549"/>
      <c r="U904" s="1549"/>
      <c r="V904" s="1549"/>
      <c r="W904" s="1549"/>
      <c r="X904" s="1549"/>
      <c r="Y904" s="1549"/>
      <c r="Z904" s="1549"/>
      <c r="AA904" s="1549"/>
      <c r="AB904" s="1549"/>
      <c r="AC904" s="1549"/>
      <c r="AD904" s="1549"/>
      <c r="AE904" s="1549"/>
      <c r="AF904" s="1549"/>
      <c r="AG904" s="1549"/>
      <c r="AH904" s="1549"/>
    </row>
    <row r="905" spans="1:34" ht="12.75" customHeight="1" x14ac:dyDescent="0.2">
      <c r="A905" s="1549"/>
      <c r="B905" s="1549"/>
      <c r="C905" s="1549"/>
      <c r="D905" s="1549"/>
      <c r="E905" s="1549"/>
      <c r="F905" s="1549"/>
      <c r="G905" s="1549"/>
      <c r="H905" s="1549"/>
      <c r="I905" s="1549"/>
      <c r="J905" s="1549"/>
      <c r="K905" s="1549"/>
      <c r="L905" s="1549"/>
      <c r="M905" s="1549"/>
      <c r="N905" s="1549"/>
      <c r="O905" s="1549"/>
      <c r="P905" s="1549"/>
      <c r="Q905" s="1549"/>
      <c r="R905" s="1549"/>
      <c r="S905" s="1549"/>
      <c r="T905" s="1549"/>
      <c r="U905" s="1549"/>
      <c r="V905" s="1549"/>
      <c r="W905" s="1549"/>
      <c r="X905" s="1549"/>
      <c r="Y905" s="1549"/>
      <c r="Z905" s="1549"/>
      <c r="AA905" s="1549"/>
      <c r="AB905" s="1549"/>
      <c r="AC905" s="1549"/>
      <c r="AD905" s="1549"/>
      <c r="AE905" s="1549"/>
      <c r="AF905" s="1549"/>
      <c r="AG905" s="1549"/>
      <c r="AH905" s="1549"/>
    </row>
    <row r="906" spans="1:34" ht="12.75" customHeight="1" x14ac:dyDescent="0.2">
      <c r="A906" s="1549"/>
      <c r="B906" s="1549"/>
      <c r="C906" s="1549"/>
      <c r="D906" s="1549"/>
      <c r="E906" s="1549"/>
      <c r="F906" s="1549"/>
      <c r="G906" s="1549"/>
      <c r="H906" s="1549"/>
      <c r="I906" s="1549"/>
      <c r="J906" s="1549"/>
      <c r="K906" s="1549"/>
      <c r="L906" s="1549"/>
      <c r="M906" s="1549"/>
      <c r="N906" s="1549"/>
      <c r="O906" s="1549"/>
      <c r="P906" s="1549"/>
      <c r="Q906" s="1549"/>
      <c r="R906" s="1549"/>
      <c r="S906" s="1549"/>
      <c r="T906" s="1549"/>
      <c r="U906" s="1549"/>
      <c r="V906" s="1549"/>
      <c r="W906" s="1549"/>
      <c r="X906" s="1549"/>
      <c r="Y906" s="1549"/>
      <c r="Z906" s="1549"/>
      <c r="AA906" s="1549"/>
      <c r="AB906" s="1549"/>
      <c r="AC906" s="1549"/>
      <c r="AD906" s="1549"/>
      <c r="AE906" s="1549"/>
      <c r="AF906" s="1549"/>
      <c r="AG906" s="1549"/>
      <c r="AH906" s="1549"/>
    </row>
    <row r="907" spans="1:34" ht="12.75" customHeight="1" x14ac:dyDescent="0.2">
      <c r="A907" s="1549"/>
      <c r="B907" s="1549"/>
      <c r="C907" s="1549"/>
      <c r="D907" s="1549"/>
      <c r="E907" s="1549"/>
      <c r="F907" s="1549"/>
      <c r="G907" s="1549"/>
      <c r="H907" s="1549"/>
      <c r="I907" s="1549"/>
      <c r="J907" s="1549"/>
      <c r="K907" s="1549"/>
      <c r="L907" s="1549"/>
      <c r="M907" s="1549"/>
      <c r="N907" s="1549"/>
      <c r="O907" s="1549"/>
      <c r="P907" s="1549"/>
      <c r="Q907" s="1549"/>
      <c r="R907" s="1549"/>
      <c r="S907" s="1549"/>
      <c r="T907" s="1549"/>
      <c r="U907" s="1549"/>
      <c r="V907" s="1549"/>
      <c r="W907" s="1549"/>
      <c r="X907" s="1549"/>
      <c r="Y907" s="1549"/>
      <c r="Z907" s="1549"/>
      <c r="AA907" s="1549"/>
      <c r="AB907" s="1549"/>
      <c r="AC907" s="1549"/>
      <c r="AD907" s="1549"/>
      <c r="AE907" s="1549"/>
      <c r="AF907" s="1549"/>
      <c r="AG907" s="1549"/>
      <c r="AH907" s="1549"/>
    </row>
    <row r="908" spans="1:34" ht="12.75" customHeight="1" x14ac:dyDescent="0.2">
      <c r="A908" s="1549"/>
      <c r="B908" s="1549"/>
      <c r="C908" s="1549"/>
      <c r="D908" s="1549"/>
      <c r="E908" s="1549"/>
      <c r="F908" s="1549"/>
      <c r="G908" s="1549"/>
      <c r="H908" s="1549"/>
      <c r="I908" s="1549"/>
      <c r="J908" s="1549"/>
      <c r="K908" s="1549"/>
      <c r="L908" s="1549"/>
      <c r="M908" s="1549"/>
      <c r="N908" s="1549"/>
      <c r="O908" s="1549"/>
      <c r="P908" s="1549"/>
      <c r="Q908" s="1549"/>
      <c r="R908" s="1549"/>
      <c r="S908" s="1549"/>
      <c r="T908" s="1549"/>
      <c r="U908" s="1549"/>
      <c r="V908" s="1549"/>
      <c r="W908" s="1549"/>
      <c r="X908" s="1549"/>
      <c r="Y908" s="1549"/>
      <c r="Z908" s="1549"/>
      <c r="AA908" s="1549"/>
      <c r="AB908" s="1549"/>
      <c r="AC908" s="1549"/>
      <c r="AD908" s="1549"/>
      <c r="AE908" s="1549"/>
      <c r="AF908" s="1549"/>
      <c r="AG908" s="1549"/>
      <c r="AH908" s="1549"/>
    </row>
    <row r="909" spans="1:34" ht="12.75" customHeight="1" x14ac:dyDescent="0.2">
      <c r="A909" s="1549"/>
      <c r="B909" s="1549"/>
      <c r="C909" s="1549"/>
      <c r="D909" s="1549"/>
      <c r="E909" s="1549"/>
      <c r="F909" s="1549"/>
      <c r="G909" s="1549"/>
      <c r="H909" s="1549"/>
      <c r="I909" s="1549"/>
      <c r="J909" s="1549"/>
      <c r="K909" s="1549"/>
      <c r="L909" s="1549"/>
      <c r="M909" s="1549"/>
      <c r="N909" s="1549"/>
      <c r="O909" s="1549"/>
      <c r="P909" s="1549"/>
      <c r="Q909" s="1549"/>
      <c r="R909" s="1549"/>
      <c r="S909" s="1549"/>
      <c r="T909" s="1549"/>
      <c r="U909" s="1549"/>
      <c r="V909" s="1549"/>
      <c r="W909" s="1549"/>
      <c r="X909" s="1549"/>
      <c r="Y909" s="1549"/>
      <c r="Z909" s="1549"/>
      <c r="AA909" s="1549"/>
      <c r="AB909" s="1549"/>
      <c r="AC909" s="1549"/>
      <c r="AD909" s="1549"/>
      <c r="AE909" s="1549"/>
      <c r="AF909" s="1549"/>
      <c r="AG909" s="1549"/>
      <c r="AH909" s="1549"/>
    </row>
    <row r="910" spans="1:34" ht="12.75" customHeight="1" x14ac:dyDescent="0.2">
      <c r="A910" s="1549"/>
      <c r="B910" s="1549"/>
      <c r="C910" s="1549"/>
      <c r="D910" s="1549"/>
      <c r="E910" s="1549"/>
      <c r="F910" s="1549"/>
      <c r="G910" s="1549"/>
      <c r="H910" s="1549"/>
      <c r="I910" s="1549"/>
      <c r="J910" s="1549"/>
      <c r="K910" s="1549"/>
      <c r="L910" s="1549"/>
      <c r="M910" s="1549"/>
      <c r="N910" s="1549"/>
      <c r="O910" s="1549"/>
      <c r="P910" s="1549"/>
      <c r="Q910" s="1549"/>
      <c r="R910" s="1549"/>
      <c r="S910" s="1549"/>
      <c r="T910" s="1549"/>
      <c r="U910" s="1549"/>
      <c r="V910" s="1549"/>
      <c r="W910" s="1549"/>
      <c r="X910" s="1549"/>
      <c r="Y910" s="1549"/>
      <c r="Z910" s="1549"/>
      <c r="AA910" s="1549"/>
      <c r="AB910" s="1549"/>
      <c r="AC910" s="1549"/>
      <c r="AD910" s="1549"/>
      <c r="AE910" s="1549"/>
      <c r="AF910" s="1549"/>
      <c r="AG910" s="1549"/>
      <c r="AH910" s="1549"/>
    </row>
    <row r="911" spans="1:34" ht="12.75" customHeight="1" x14ac:dyDescent="0.2">
      <c r="A911" s="1549"/>
      <c r="B911" s="1549"/>
      <c r="C911" s="1549"/>
      <c r="D911" s="1549"/>
      <c r="E911" s="1549"/>
      <c r="F911" s="1549"/>
      <c r="G911" s="1549"/>
      <c r="H911" s="1549"/>
      <c r="I911" s="1549"/>
      <c r="J911" s="1549"/>
      <c r="K911" s="1549"/>
      <c r="L911" s="1549"/>
      <c r="M911" s="1549"/>
      <c r="N911" s="1549"/>
      <c r="O911" s="1549"/>
      <c r="P911" s="1549"/>
      <c r="Q911" s="1549"/>
      <c r="R911" s="1549"/>
      <c r="S911" s="1549"/>
      <c r="T911" s="1549"/>
      <c r="U911" s="1549"/>
      <c r="V911" s="1549"/>
      <c r="W911" s="1549"/>
      <c r="X911" s="1549"/>
      <c r="Y911" s="1549"/>
      <c r="Z911" s="1549"/>
      <c r="AA911" s="1549"/>
      <c r="AB911" s="1549"/>
      <c r="AC911" s="1549"/>
      <c r="AD911" s="1549"/>
      <c r="AE911" s="1549"/>
      <c r="AF911" s="1549"/>
      <c r="AG911" s="1549"/>
      <c r="AH911" s="1549"/>
    </row>
    <row r="912" spans="1:34" ht="12.75" customHeight="1" x14ac:dyDescent="0.2">
      <c r="A912" s="1549"/>
      <c r="B912" s="1549"/>
      <c r="C912" s="1549"/>
      <c r="D912" s="1549"/>
      <c r="E912" s="1549"/>
      <c r="F912" s="1549"/>
      <c r="G912" s="1549"/>
      <c r="H912" s="1549"/>
      <c r="I912" s="1549"/>
      <c r="J912" s="1549"/>
      <c r="K912" s="1549"/>
      <c r="L912" s="1549"/>
      <c r="M912" s="1549"/>
      <c r="N912" s="1549"/>
      <c r="O912" s="1549"/>
      <c r="P912" s="1549"/>
      <c r="Q912" s="1549"/>
      <c r="R912" s="1549"/>
      <c r="S912" s="1549"/>
      <c r="T912" s="1549"/>
      <c r="U912" s="1549"/>
      <c r="V912" s="1549"/>
      <c r="W912" s="1549"/>
      <c r="X912" s="1549"/>
      <c r="Y912" s="1549"/>
      <c r="Z912" s="1549"/>
      <c r="AA912" s="1549"/>
      <c r="AB912" s="1549"/>
      <c r="AC912" s="1549"/>
      <c r="AD912" s="1549"/>
      <c r="AE912" s="1549"/>
      <c r="AF912" s="1549"/>
      <c r="AG912" s="1549"/>
      <c r="AH912" s="1549"/>
    </row>
    <row r="913" spans="1:34" ht="12.75" customHeight="1" x14ac:dyDescent="0.2">
      <c r="A913" s="1549"/>
      <c r="B913" s="1549"/>
      <c r="C913" s="1549"/>
      <c r="D913" s="1549"/>
      <c r="E913" s="1549"/>
      <c r="F913" s="1549"/>
      <c r="G913" s="1549"/>
      <c r="H913" s="1549"/>
      <c r="I913" s="1549"/>
      <c r="J913" s="1549"/>
      <c r="K913" s="1549"/>
      <c r="L913" s="1549"/>
      <c r="M913" s="1549"/>
      <c r="N913" s="1549"/>
      <c r="O913" s="1549"/>
      <c r="P913" s="1549"/>
      <c r="Q913" s="1549"/>
      <c r="R913" s="1549"/>
      <c r="S913" s="1549"/>
      <c r="T913" s="1549"/>
      <c r="U913" s="1549"/>
      <c r="V913" s="1549"/>
      <c r="W913" s="1549"/>
      <c r="X913" s="1549"/>
      <c r="Y913" s="1549"/>
      <c r="Z913" s="1549"/>
      <c r="AA913" s="1549"/>
      <c r="AB913" s="1549"/>
      <c r="AC913" s="1549"/>
      <c r="AD913" s="1549"/>
      <c r="AE913" s="1549"/>
      <c r="AF913" s="1549"/>
      <c r="AG913" s="1549"/>
      <c r="AH913" s="1549"/>
    </row>
    <row r="914" spans="1:34" ht="12.75" customHeight="1" x14ac:dyDescent="0.2">
      <c r="A914" s="1549"/>
      <c r="B914" s="1549"/>
      <c r="C914" s="1549"/>
      <c r="D914" s="1549"/>
      <c r="E914" s="1549"/>
      <c r="F914" s="1549"/>
      <c r="G914" s="1549"/>
      <c r="H914" s="1549"/>
      <c r="I914" s="1549"/>
      <c r="J914" s="1549"/>
      <c r="K914" s="1549"/>
      <c r="L914" s="1549"/>
      <c r="M914" s="1549"/>
      <c r="N914" s="1549"/>
      <c r="O914" s="1549"/>
      <c r="P914" s="1549"/>
      <c r="Q914" s="1549"/>
      <c r="R914" s="1549"/>
      <c r="S914" s="1549"/>
      <c r="T914" s="1549"/>
      <c r="U914" s="1549"/>
      <c r="V914" s="1549"/>
      <c r="W914" s="1549"/>
      <c r="X914" s="1549"/>
      <c r="Y914" s="1549"/>
      <c r="Z914" s="1549"/>
      <c r="AA914" s="1549"/>
      <c r="AB914" s="1549"/>
      <c r="AC914" s="1549"/>
      <c r="AD914" s="1549"/>
      <c r="AE914" s="1549"/>
      <c r="AF914" s="1549"/>
      <c r="AG914" s="1549"/>
      <c r="AH914" s="1549"/>
    </row>
    <row r="915" spans="1:34" ht="12.75" customHeight="1" x14ac:dyDescent="0.2">
      <c r="A915" s="1549"/>
      <c r="B915" s="1549"/>
      <c r="C915" s="1549"/>
      <c r="D915" s="1549"/>
      <c r="E915" s="1549"/>
      <c r="F915" s="1549"/>
      <c r="G915" s="1549"/>
      <c r="H915" s="1549"/>
      <c r="I915" s="1549"/>
      <c r="J915" s="1549"/>
      <c r="K915" s="1549"/>
      <c r="L915" s="1549"/>
      <c r="M915" s="1549"/>
      <c r="N915" s="1549"/>
      <c r="O915" s="1549"/>
      <c r="P915" s="1549"/>
      <c r="Q915" s="1549"/>
      <c r="R915" s="1549"/>
      <c r="S915" s="1549"/>
      <c r="T915" s="1549"/>
      <c r="U915" s="1549"/>
      <c r="V915" s="1549"/>
      <c r="W915" s="1549"/>
      <c r="X915" s="1549"/>
      <c r="Y915" s="1549"/>
      <c r="Z915" s="1549"/>
      <c r="AA915" s="1549"/>
      <c r="AB915" s="1549"/>
      <c r="AC915" s="1549"/>
      <c r="AD915" s="1549"/>
      <c r="AE915" s="1549"/>
      <c r="AF915" s="1549"/>
      <c r="AG915" s="1549"/>
      <c r="AH915" s="1549"/>
    </row>
    <row r="916" spans="1:34" ht="12.75" customHeight="1" x14ac:dyDescent="0.2">
      <c r="A916" s="1549"/>
      <c r="B916" s="1549"/>
      <c r="C916" s="1549"/>
      <c r="D916" s="1549"/>
      <c r="E916" s="1549"/>
      <c r="F916" s="1549"/>
      <c r="G916" s="1549"/>
      <c r="H916" s="1549"/>
      <c r="I916" s="1549"/>
      <c r="J916" s="1549"/>
      <c r="K916" s="1549"/>
      <c r="L916" s="1549"/>
      <c r="M916" s="1549"/>
      <c r="N916" s="1549"/>
      <c r="O916" s="1549"/>
      <c r="P916" s="1549"/>
      <c r="Q916" s="1549"/>
      <c r="R916" s="1549"/>
      <c r="S916" s="1549"/>
      <c r="T916" s="1549"/>
      <c r="U916" s="1549"/>
      <c r="V916" s="1549"/>
      <c r="W916" s="1549"/>
      <c r="X916" s="1549"/>
      <c r="Y916" s="1549"/>
      <c r="Z916" s="1549"/>
      <c r="AA916" s="1549"/>
      <c r="AB916" s="1549"/>
      <c r="AC916" s="1549"/>
      <c r="AD916" s="1549"/>
      <c r="AE916" s="1549"/>
      <c r="AF916" s="1549"/>
      <c r="AG916" s="1549"/>
      <c r="AH916" s="1549"/>
    </row>
    <row r="917" spans="1:34" ht="12.75" customHeight="1" x14ac:dyDescent="0.2">
      <c r="A917" s="1549"/>
      <c r="B917" s="1549"/>
      <c r="C917" s="1549"/>
      <c r="D917" s="1549"/>
      <c r="E917" s="1549"/>
      <c r="F917" s="1549"/>
      <c r="G917" s="1549"/>
      <c r="H917" s="1549"/>
      <c r="I917" s="1549"/>
      <c r="J917" s="1549"/>
      <c r="K917" s="1549"/>
      <c r="L917" s="1549"/>
      <c r="M917" s="1549"/>
      <c r="N917" s="1549"/>
      <c r="O917" s="1549"/>
      <c r="P917" s="1549"/>
      <c r="Q917" s="1549"/>
      <c r="R917" s="1549"/>
      <c r="S917" s="1549"/>
      <c r="T917" s="1549"/>
      <c r="U917" s="1549"/>
      <c r="V917" s="1549"/>
      <c r="W917" s="1549"/>
      <c r="X917" s="1549"/>
      <c r="Y917" s="1549"/>
      <c r="Z917" s="1549"/>
      <c r="AA917" s="1549"/>
      <c r="AB917" s="1549"/>
      <c r="AC917" s="1549"/>
      <c r="AD917" s="1549"/>
      <c r="AE917" s="1549"/>
      <c r="AF917" s="1549"/>
      <c r="AG917" s="1549"/>
      <c r="AH917" s="1549"/>
    </row>
    <row r="918" spans="1:34" ht="12.75" customHeight="1" x14ac:dyDescent="0.2">
      <c r="A918" s="1549"/>
      <c r="B918" s="1549"/>
      <c r="C918" s="1549"/>
      <c r="D918" s="1549"/>
      <c r="E918" s="1549"/>
      <c r="F918" s="1549"/>
      <c r="G918" s="1549"/>
      <c r="H918" s="1549"/>
      <c r="I918" s="1549"/>
      <c r="J918" s="1549"/>
      <c r="K918" s="1549"/>
      <c r="L918" s="1549"/>
      <c r="M918" s="1549"/>
      <c r="N918" s="1549"/>
      <c r="O918" s="1549"/>
      <c r="P918" s="1549"/>
      <c r="Q918" s="1549"/>
      <c r="R918" s="1549"/>
      <c r="S918" s="1549"/>
      <c r="T918" s="1549"/>
      <c r="U918" s="1549"/>
      <c r="V918" s="1549"/>
      <c r="W918" s="1549"/>
      <c r="X918" s="1549"/>
      <c r="Y918" s="1549"/>
      <c r="Z918" s="1549"/>
      <c r="AA918" s="1549"/>
      <c r="AB918" s="1549"/>
      <c r="AC918" s="1549"/>
      <c r="AD918" s="1549"/>
      <c r="AE918" s="1549"/>
      <c r="AF918" s="1549"/>
      <c r="AG918" s="1549"/>
      <c r="AH918" s="1549"/>
    </row>
    <row r="919" spans="1:34" ht="12.75" customHeight="1" x14ac:dyDescent="0.2">
      <c r="A919" s="1549"/>
      <c r="B919" s="1549"/>
      <c r="C919" s="1549"/>
      <c r="D919" s="1549"/>
      <c r="E919" s="1549"/>
      <c r="F919" s="1549"/>
      <c r="G919" s="1549"/>
      <c r="H919" s="1549"/>
      <c r="I919" s="1549"/>
      <c r="J919" s="1549"/>
      <c r="K919" s="1549"/>
      <c r="L919" s="1549"/>
      <c r="M919" s="1549"/>
      <c r="N919" s="1549"/>
      <c r="O919" s="1549"/>
      <c r="P919" s="1549"/>
      <c r="Q919" s="1549"/>
      <c r="R919" s="1549"/>
      <c r="S919" s="1549"/>
      <c r="T919" s="1549"/>
      <c r="U919" s="1549"/>
      <c r="V919" s="1549"/>
      <c r="W919" s="1549"/>
      <c r="X919" s="1549"/>
      <c r="Y919" s="1549"/>
      <c r="Z919" s="1549"/>
      <c r="AA919" s="1549"/>
      <c r="AB919" s="1549"/>
      <c r="AC919" s="1549"/>
      <c r="AD919" s="1549"/>
      <c r="AE919" s="1549"/>
      <c r="AF919" s="1549"/>
      <c r="AG919" s="1549"/>
      <c r="AH919" s="1549"/>
    </row>
    <row r="920" spans="1:34" ht="12.75" customHeight="1" x14ac:dyDescent="0.2">
      <c r="A920" s="1549"/>
      <c r="B920" s="1549"/>
      <c r="C920" s="1549"/>
      <c r="D920" s="1549"/>
      <c r="E920" s="1549"/>
      <c r="F920" s="1549"/>
      <c r="G920" s="1549"/>
      <c r="H920" s="1549"/>
      <c r="I920" s="1549"/>
      <c r="J920" s="1549"/>
      <c r="K920" s="1549"/>
      <c r="L920" s="1549"/>
      <c r="M920" s="1549"/>
      <c r="N920" s="1549"/>
      <c r="O920" s="1549"/>
      <c r="P920" s="1549"/>
      <c r="Q920" s="1549"/>
      <c r="R920" s="1549"/>
      <c r="S920" s="1549"/>
      <c r="T920" s="1549"/>
      <c r="U920" s="1549"/>
      <c r="V920" s="1549"/>
      <c r="W920" s="1549"/>
      <c r="X920" s="1549"/>
      <c r="Y920" s="1549"/>
      <c r="Z920" s="1549"/>
      <c r="AA920" s="1549"/>
      <c r="AB920" s="1549"/>
      <c r="AC920" s="1549"/>
      <c r="AD920" s="1549"/>
      <c r="AE920" s="1549"/>
      <c r="AF920" s="1549"/>
      <c r="AG920" s="1549"/>
      <c r="AH920" s="1549"/>
    </row>
    <row r="921" spans="1:34" ht="12.75" customHeight="1" x14ac:dyDescent="0.2">
      <c r="A921" s="1549"/>
      <c r="B921" s="1549"/>
      <c r="C921" s="1549"/>
      <c r="D921" s="1549"/>
      <c r="E921" s="1549"/>
      <c r="F921" s="1549"/>
      <c r="G921" s="1549"/>
      <c r="H921" s="1549"/>
      <c r="I921" s="1549"/>
      <c r="J921" s="1549"/>
      <c r="K921" s="1549"/>
      <c r="L921" s="1549"/>
      <c r="M921" s="1549"/>
      <c r="N921" s="1549"/>
      <c r="O921" s="1549"/>
      <c r="P921" s="1549"/>
      <c r="Q921" s="1549"/>
      <c r="R921" s="1549"/>
      <c r="S921" s="1549"/>
      <c r="T921" s="1549"/>
      <c r="U921" s="1549"/>
      <c r="V921" s="1549"/>
      <c r="W921" s="1549"/>
      <c r="X921" s="1549"/>
      <c r="Y921" s="1549"/>
      <c r="Z921" s="1549"/>
      <c r="AA921" s="1549"/>
      <c r="AB921" s="1549"/>
      <c r="AC921" s="1549"/>
      <c r="AD921" s="1549"/>
      <c r="AE921" s="1549"/>
      <c r="AF921" s="1549"/>
      <c r="AG921" s="1549"/>
      <c r="AH921" s="1549"/>
    </row>
    <row r="922" spans="1:34" ht="12.75" customHeight="1" x14ac:dyDescent="0.2">
      <c r="A922" s="1549"/>
      <c r="B922" s="1549"/>
      <c r="C922" s="1549"/>
      <c r="D922" s="1549"/>
      <c r="E922" s="1549"/>
      <c r="F922" s="1549"/>
      <c r="G922" s="1549"/>
      <c r="H922" s="1549"/>
      <c r="I922" s="1549"/>
      <c r="J922" s="1549"/>
      <c r="K922" s="1549"/>
      <c r="L922" s="1549"/>
      <c r="M922" s="1549"/>
      <c r="N922" s="1549"/>
      <c r="O922" s="1549"/>
      <c r="P922" s="1549"/>
      <c r="Q922" s="1549"/>
      <c r="R922" s="1549"/>
      <c r="S922" s="1549"/>
      <c r="T922" s="1549"/>
      <c r="U922" s="1549"/>
      <c r="V922" s="1549"/>
      <c r="W922" s="1549"/>
      <c r="X922" s="1549"/>
      <c r="Y922" s="1549"/>
      <c r="Z922" s="1549"/>
      <c r="AA922" s="1549"/>
      <c r="AB922" s="1549"/>
      <c r="AC922" s="1549"/>
      <c r="AD922" s="1549"/>
      <c r="AE922" s="1549"/>
      <c r="AF922" s="1549"/>
      <c r="AG922" s="1549"/>
      <c r="AH922" s="1549"/>
    </row>
    <row r="923" spans="1:34" ht="12.75" customHeight="1" x14ac:dyDescent="0.2">
      <c r="A923" s="1549"/>
      <c r="B923" s="1549"/>
      <c r="C923" s="1549"/>
      <c r="D923" s="1549"/>
      <c r="E923" s="1549"/>
      <c r="F923" s="1549"/>
      <c r="G923" s="1549"/>
      <c r="H923" s="1549"/>
      <c r="I923" s="1549"/>
      <c r="J923" s="1549"/>
      <c r="K923" s="1549"/>
      <c r="L923" s="1549"/>
      <c r="M923" s="1549"/>
      <c r="N923" s="1549"/>
      <c r="O923" s="1549"/>
      <c r="P923" s="1549"/>
      <c r="Q923" s="1549"/>
      <c r="R923" s="1549"/>
      <c r="S923" s="1549"/>
      <c r="T923" s="1549"/>
      <c r="U923" s="1549"/>
      <c r="V923" s="1549"/>
      <c r="W923" s="1549"/>
      <c r="X923" s="1549"/>
      <c r="Y923" s="1549"/>
      <c r="Z923" s="1549"/>
      <c r="AA923" s="1549"/>
      <c r="AB923" s="1549"/>
      <c r="AC923" s="1549"/>
      <c r="AD923" s="1549"/>
      <c r="AE923" s="1549"/>
      <c r="AF923" s="1549"/>
      <c r="AG923" s="1549"/>
      <c r="AH923" s="1549"/>
    </row>
    <row r="924" spans="1:34" ht="12.75" customHeight="1" x14ac:dyDescent="0.2">
      <c r="A924" s="1549"/>
      <c r="B924" s="1549"/>
      <c r="C924" s="1549"/>
      <c r="D924" s="1549"/>
      <c r="E924" s="1549"/>
      <c r="F924" s="1549"/>
      <c r="G924" s="1549"/>
      <c r="H924" s="1549"/>
      <c r="I924" s="1549"/>
      <c r="J924" s="1549"/>
      <c r="K924" s="1549"/>
      <c r="L924" s="1549"/>
      <c r="M924" s="1549"/>
      <c r="N924" s="1549"/>
      <c r="O924" s="1549"/>
      <c r="P924" s="1549"/>
      <c r="Q924" s="1549"/>
      <c r="R924" s="1549"/>
      <c r="S924" s="1549"/>
      <c r="T924" s="1549"/>
      <c r="U924" s="1549"/>
      <c r="V924" s="1549"/>
      <c r="W924" s="1549"/>
      <c r="X924" s="1549"/>
      <c r="Y924" s="1549"/>
      <c r="Z924" s="1549"/>
      <c r="AA924" s="1549"/>
      <c r="AB924" s="1549"/>
      <c r="AC924" s="1549"/>
      <c r="AD924" s="1549"/>
      <c r="AE924" s="1549"/>
      <c r="AF924" s="1549"/>
      <c r="AG924" s="1549"/>
      <c r="AH924" s="1549"/>
    </row>
    <row r="925" spans="1:34" ht="12.75" customHeight="1" x14ac:dyDescent="0.2">
      <c r="A925" s="1549"/>
      <c r="B925" s="1549"/>
      <c r="C925" s="1549"/>
      <c r="D925" s="1549"/>
      <c r="E925" s="1549"/>
      <c r="F925" s="1549"/>
      <c r="G925" s="1549"/>
      <c r="H925" s="1549"/>
      <c r="I925" s="1549"/>
      <c r="J925" s="1549"/>
      <c r="K925" s="1549"/>
      <c r="L925" s="1549"/>
      <c r="M925" s="1549"/>
      <c r="N925" s="1549"/>
      <c r="O925" s="1549"/>
      <c r="P925" s="1549"/>
      <c r="Q925" s="1549"/>
      <c r="R925" s="1549"/>
      <c r="S925" s="1549"/>
      <c r="T925" s="1549"/>
      <c r="U925" s="1549"/>
      <c r="V925" s="1549"/>
      <c r="W925" s="1549"/>
      <c r="X925" s="1549"/>
      <c r="Y925" s="1549"/>
      <c r="Z925" s="1549"/>
      <c r="AA925" s="1549"/>
      <c r="AB925" s="1549"/>
      <c r="AC925" s="1549"/>
      <c r="AD925" s="1549"/>
      <c r="AE925" s="1549"/>
      <c r="AF925" s="1549"/>
      <c r="AG925" s="1549"/>
      <c r="AH925" s="1549"/>
    </row>
    <row r="926" spans="1:34" ht="12.75" customHeight="1" x14ac:dyDescent="0.2">
      <c r="A926" s="1549"/>
      <c r="B926" s="1549"/>
      <c r="C926" s="1549"/>
      <c r="D926" s="1549"/>
      <c r="E926" s="1549"/>
      <c r="F926" s="1549"/>
      <c r="G926" s="1549"/>
      <c r="H926" s="1549"/>
      <c r="I926" s="1549"/>
      <c r="J926" s="1549"/>
      <c r="K926" s="1549"/>
      <c r="L926" s="1549"/>
      <c r="M926" s="1549"/>
      <c r="N926" s="1549"/>
      <c r="O926" s="1549"/>
      <c r="P926" s="1549"/>
      <c r="Q926" s="1549"/>
      <c r="R926" s="1549"/>
      <c r="S926" s="1549"/>
      <c r="T926" s="1549"/>
      <c r="U926" s="1549"/>
      <c r="V926" s="1549"/>
      <c r="W926" s="1549"/>
      <c r="X926" s="1549"/>
      <c r="Y926" s="1549"/>
      <c r="Z926" s="1549"/>
      <c r="AA926" s="1549"/>
      <c r="AB926" s="1549"/>
      <c r="AC926" s="1549"/>
      <c r="AD926" s="1549"/>
      <c r="AE926" s="1549"/>
      <c r="AF926" s="1549"/>
      <c r="AG926" s="1549"/>
      <c r="AH926" s="1549"/>
    </row>
    <row r="927" spans="1:34" ht="12.75" customHeight="1" x14ac:dyDescent="0.2">
      <c r="A927" s="1549"/>
      <c r="B927" s="1549"/>
      <c r="C927" s="1549"/>
      <c r="D927" s="1549"/>
      <c r="E927" s="1549"/>
      <c r="F927" s="1549"/>
      <c r="G927" s="1549"/>
      <c r="H927" s="1549"/>
      <c r="I927" s="1549"/>
      <c r="J927" s="1549"/>
      <c r="K927" s="1549"/>
      <c r="L927" s="1549"/>
      <c r="M927" s="1549"/>
      <c r="N927" s="1549"/>
      <c r="O927" s="1549"/>
      <c r="P927" s="1549"/>
      <c r="Q927" s="1549"/>
      <c r="R927" s="1549"/>
      <c r="S927" s="1549"/>
      <c r="T927" s="1549"/>
      <c r="U927" s="1549"/>
      <c r="V927" s="1549"/>
      <c r="W927" s="1549"/>
      <c r="X927" s="1549"/>
      <c r="Y927" s="1549"/>
      <c r="Z927" s="1549"/>
      <c r="AA927" s="1549"/>
      <c r="AB927" s="1549"/>
      <c r="AC927" s="1549"/>
      <c r="AD927" s="1549"/>
      <c r="AE927" s="1549"/>
      <c r="AF927" s="1549"/>
      <c r="AG927" s="1549"/>
      <c r="AH927" s="1549"/>
    </row>
    <row r="928" spans="1:34" ht="12.75" customHeight="1" x14ac:dyDescent="0.2">
      <c r="A928" s="1549"/>
      <c r="B928" s="1549"/>
      <c r="C928" s="1549"/>
      <c r="D928" s="1549"/>
      <c r="E928" s="1549"/>
      <c r="F928" s="1549"/>
      <c r="G928" s="1549"/>
      <c r="H928" s="1549"/>
      <c r="I928" s="1549"/>
      <c r="J928" s="1549"/>
      <c r="K928" s="1549"/>
      <c r="L928" s="1549"/>
      <c r="M928" s="1549"/>
      <c r="N928" s="1549"/>
      <c r="O928" s="1549"/>
      <c r="P928" s="1549"/>
      <c r="Q928" s="1549"/>
      <c r="R928" s="1549"/>
      <c r="S928" s="1549"/>
      <c r="T928" s="1549"/>
      <c r="U928" s="1549"/>
      <c r="V928" s="1549"/>
      <c r="W928" s="1549"/>
      <c r="X928" s="1549"/>
      <c r="Y928" s="1549"/>
      <c r="Z928" s="1549"/>
      <c r="AA928" s="1549"/>
      <c r="AB928" s="1549"/>
      <c r="AC928" s="1549"/>
      <c r="AD928" s="1549"/>
      <c r="AE928" s="1549"/>
      <c r="AF928" s="1549"/>
      <c r="AG928" s="1549"/>
      <c r="AH928" s="1549"/>
    </row>
    <row r="929" spans="1:34" ht="12.75" customHeight="1" x14ac:dyDescent="0.2">
      <c r="A929" s="1549"/>
      <c r="B929" s="1549"/>
      <c r="C929" s="1549"/>
      <c r="D929" s="1549"/>
      <c r="E929" s="1549"/>
      <c r="F929" s="1549"/>
      <c r="G929" s="1549"/>
      <c r="H929" s="1549"/>
      <c r="I929" s="1549"/>
      <c r="J929" s="1549"/>
      <c r="K929" s="1549"/>
      <c r="L929" s="1549"/>
      <c r="M929" s="1549"/>
      <c r="N929" s="1549"/>
      <c r="O929" s="1549"/>
      <c r="P929" s="1549"/>
      <c r="Q929" s="1549"/>
      <c r="R929" s="1549"/>
      <c r="S929" s="1549"/>
      <c r="T929" s="1549"/>
      <c r="U929" s="1549"/>
      <c r="V929" s="1549"/>
      <c r="W929" s="1549"/>
      <c r="X929" s="1549"/>
      <c r="Y929" s="1549"/>
      <c r="Z929" s="1549"/>
      <c r="AA929" s="1549"/>
      <c r="AB929" s="1549"/>
      <c r="AC929" s="1549"/>
      <c r="AD929" s="1549"/>
      <c r="AE929" s="1549"/>
      <c r="AF929" s="1549"/>
      <c r="AG929" s="1549"/>
      <c r="AH929" s="1549"/>
    </row>
    <row r="930" spans="1:34" ht="12.75" customHeight="1" x14ac:dyDescent="0.2">
      <c r="A930" s="1549"/>
      <c r="B930" s="1549"/>
      <c r="C930" s="1549"/>
      <c r="D930" s="1549"/>
      <c r="E930" s="1549"/>
      <c r="F930" s="1549"/>
      <c r="G930" s="1549"/>
      <c r="H930" s="1549"/>
      <c r="I930" s="1549"/>
      <c r="J930" s="1549"/>
      <c r="K930" s="1549"/>
      <c r="L930" s="1549"/>
      <c r="M930" s="1549"/>
      <c r="N930" s="1549"/>
      <c r="O930" s="1549"/>
      <c r="P930" s="1549"/>
      <c r="Q930" s="1549"/>
      <c r="R930" s="1549"/>
      <c r="S930" s="1549"/>
      <c r="T930" s="1549"/>
      <c r="U930" s="1549"/>
      <c r="V930" s="1549"/>
      <c r="W930" s="1549"/>
      <c r="X930" s="1549"/>
      <c r="Y930" s="1549"/>
      <c r="Z930" s="1549"/>
      <c r="AA930" s="1549"/>
      <c r="AB930" s="1549"/>
      <c r="AC930" s="1549"/>
      <c r="AD930" s="1549"/>
      <c r="AE930" s="1549"/>
      <c r="AF930" s="1549"/>
      <c r="AG930" s="1549"/>
      <c r="AH930" s="1549"/>
    </row>
    <row r="931" spans="1:34" ht="12.75" customHeight="1" x14ac:dyDescent="0.2">
      <c r="A931" s="1549"/>
      <c r="B931" s="1549"/>
      <c r="C931" s="1549"/>
      <c r="D931" s="1549"/>
      <c r="E931" s="1549"/>
      <c r="F931" s="1549"/>
      <c r="G931" s="1549"/>
      <c r="H931" s="1549"/>
      <c r="I931" s="1549"/>
      <c r="J931" s="1549"/>
      <c r="K931" s="1549"/>
      <c r="L931" s="1549"/>
      <c r="M931" s="1549"/>
      <c r="N931" s="1549"/>
      <c r="O931" s="1549"/>
      <c r="P931" s="1549"/>
      <c r="Q931" s="1549"/>
      <c r="R931" s="1549"/>
      <c r="S931" s="1549"/>
      <c r="T931" s="1549"/>
      <c r="U931" s="1549"/>
      <c r="V931" s="1549"/>
      <c r="W931" s="1549"/>
      <c r="X931" s="1549"/>
      <c r="Y931" s="1549"/>
      <c r="Z931" s="1549"/>
      <c r="AA931" s="1549"/>
      <c r="AB931" s="1549"/>
      <c r="AC931" s="1549"/>
      <c r="AD931" s="1549"/>
      <c r="AE931" s="1549"/>
      <c r="AF931" s="1549"/>
      <c r="AG931" s="1549"/>
      <c r="AH931" s="1549"/>
    </row>
    <row r="932" spans="1:34" ht="12.75" customHeight="1" x14ac:dyDescent="0.2">
      <c r="A932" s="1549"/>
      <c r="B932" s="1549"/>
      <c r="C932" s="1549"/>
      <c r="D932" s="1549"/>
      <c r="E932" s="1549"/>
      <c r="F932" s="1549"/>
      <c r="G932" s="1549"/>
      <c r="H932" s="1549"/>
      <c r="I932" s="1549"/>
      <c r="J932" s="1549"/>
      <c r="K932" s="1549"/>
      <c r="L932" s="1549"/>
      <c r="M932" s="1549"/>
      <c r="N932" s="1549"/>
      <c r="O932" s="1549"/>
      <c r="P932" s="1549"/>
      <c r="Q932" s="1549"/>
      <c r="R932" s="1549"/>
      <c r="S932" s="1549"/>
      <c r="T932" s="1549"/>
      <c r="U932" s="1549"/>
      <c r="V932" s="1549"/>
      <c r="W932" s="1549"/>
      <c r="X932" s="1549"/>
      <c r="Y932" s="1549"/>
      <c r="Z932" s="1549"/>
      <c r="AA932" s="1549"/>
      <c r="AB932" s="1549"/>
      <c r="AC932" s="1549"/>
      <c r="AD932" s="1549"/>
      <c r="AE932" s="1549"/>
      <c r="AF932" s="1549"/>
      <c r="AG932" s="1549"/>
      <c r="AH932" s="1549"/>
    </row>
    <row r="933" spans="1:34" ht="12.75" customHeight="1" x14ac:dyDescent="0.2">
      <c r="A933" s="1549"/>
      <c r="B933" s="1549"/>
      <c r="C933" s="1549"/>
      <c r="D933" s="1549"/>
      <c r="E933" s="1549"/>
      <c r="F933" s="1549"/>
      <c r="G933" s="1549"/>
      <c r="H933" s="1549"/>
      <c r="I933" s="1549"/>
      <c r="J933" s="1549"/>
      <c r="K933" s="1549"/>
      <c r="L933" s="1549"/>
      <c r="M933" s="1549"/>
      <c r="N933" s="1549"/>
      <c r="O933" s="1549"/>
      <c r="P933" s="1549"/>
      <c r="Q933" s="1549"/>
      <c r="R933" s="1549"/>
      <c r="S933" s="1549"/>
      <c r="T933" s="1549"/>
      <c r="U933" s="1549"/>
      <c r="V933" s="1549"/>
      <c r="W933" s="1549"/>
      <c r="X933" s="1549"/>
      <c r="Y933" s="1549"/>
      <c r="Z933" s="1549"/>
      <c r="AA933" s="1549"/>
      <c r="AB933" s="1549"/>
      <c r="AC933" s="1549"/>
      <c r="AD933" s="1549"/>
      <c r="AE933" s="1549"/>
      <c r="AF933" s="1549"/>
      <c r="AG933" s="1549"/>
      <c r="AH933" s="1549"/>
    </row>
    <row r="934" spans="1:34" ht="12.75" customHeight="1" x14ac:dyDescent="0.2">
      <c r="A934" s="1549"/>
      <c r="B934" s="1549"/>
      <c r="C934" s="1549"/>
      <c r="D934" s="1549"/>
      <c r="E934" s="1549"/>
      <c r="F934" s="1549"/>
      <c r="G934" s="1549"/>
      <c r="H934" s="1549"/>
      <c r="I934" s="1549"/>
      <c r="J934" s="1549"/>
      <c r="K934" s="1549"/>
      <c r="L934" s="1549"/>
      <c r="M934" s="1549"/>
      <c r="N934" s="1549"/>
      <c r="O934" s="1549"/>
      <c r="P934" s="1549"/>
      <c r="Q934" s="1549"/>
      <c r="R934" s="1549"/>
      <c r="S934" s="1549"/>
      <c r="T934" s="1549"/>
      <c r="U934" s="1549"/>
      <c r="V934" s="1549"/>
      <c r="W934" s="1549"/>
      <c r="X934" s="1549"/>
      <c r="Y934" s="1549"/>
      <c r="Z934" s="1549"/>
      <c r="AA934" s="1549"/>
      <c r="AB934" s="1549"/>
      <c r="AC934" s="1549"/>
      <c r="AD934" s="1549"/>
      <c r="AE934" s="1549"/>
      <c r="AF934" s="1549"/>
      <c r="AG934" s="1549"/>
      <c r="AH934" s="1549"/>
    </row>
    <row r="935" spans="1:34" ht="12.75" customHeight="1" x14ac:dyDescent="0.2">
      <c r="A935" s="1549"/>
      <c r="B935" s="1549"/>
      <c r="C935" s="1549"/>
      <c r="D935" s="1549"/>
      <c r="E935" s="1549"/>
      <c r="F935" s="1549"/>
      <c r="G935" s="1549"/>
      <c r="H935" s="1549"/>
      <c r="I935" s="1549"/>
      <c r="J935" s="1549"/>
      <c r="K935" s="1549"/>
      <c r="L935" s="1549"/>
      <c r="M935" s="1549"/>
      <c r="N935" s="1549"/>
      <c r="O935" s="1549"/>
      <c r="P935" s="1549"/>
      <c r="Q935" s="1549"/>
      <c r="R935" s="1549"/>
      <c r="S935" s="1549"/>
      <c r="T935" s="1549"/>
      <c r="U935" s="1549"/>
      <c r="V935" s="1549"/>
      <c r="W935" s="1549"/>
      <c r="X935" s="1549"/>
      <c r="Y935" s="1549"/>
      <c r="Z935" s="1549"/>
      <c r="AA935" s="1549"/>
      <c r="AB935" s="1549"/>
      <c r="AC935" s="1549"/>
      <c r="AD935" s="1549"/>
      <c r="AE935" s="1549"/>
      <c r="AF935" s="1549"/>
      <c r="AG935" s="1549"/>
      <c r="AH935" s="1549"/>
    </row>
    <row r="936" spans="1:34" ht="12.75" customHeight="1" x14ac:dyDescent="0.2">
      <c r="A936" s="1549"/>
      <c r="B936" s="1549"/>
      <c r="C936" s="1549"/>
      <c r="D936" s="1549"/>
      <c r="E936" s="1549"/>
      <c r="F936" s="1549"/>
      <c r="G936" s="1549"/>
      <c r="H936" s="1549"/>
      <c r="I936" s="1549"/>
      <c r="J936" s="1549"/>
      <c r="K936" s="1549"/>
      <c r="L936" s="1549"/>
      <c r="M936" s="1549"/>
      <c r="N936" s="1549"/>
      <c r="O936" s="1549"/>
      <c r="P936" s="1549"/>
      <c r="Q936" s="1549"/>
      <c r="R936" s="1549"/>
      <c r="S936" s="1549"/>
      <c r="T936" s="1549"/>
      <c r="U936" s="1549"/>
      <c r="V936" s="1549"/>
      <c r="W936" s="1549"/>
      <c r="X936" s="1549"/>
      <c r="Y936" s="1549"/>
      <c r="Z936" s="1549"/>
      <c r="AA936" s="1549"/>
      <c r="AB936" s="1549"/>
      <c r="AC936" s="1549"/>
      <c r="AD936" s="1549"/>
      <c r="AE936" s="1549"/>
      <c r="AF936" s="1549"/>
      <c r="AG936" s="1549"/>
      <c r="AH936" s="1549"/>
    </row>
    <row r="937" spans="1:34" ht="12.75" customHeight="1" x14ac:dyDescent="0.2">
      <c r="A937" s="1549"/>
      <c r="B937" s="1549"/>
      <c r="C937" s="1549"/>
      <c r="D937" s="1549"/>
      <c r="E937" s="1549"/>
      <c r="F937" s="1549"/>
      <c r="G937" s="1549"/>
      <c r="H937" s="1549"/>
      <c r="I937" s="1549"/>
      <c r="J937" s="1549"/>
      <c r="K937" s="1549"/>
      <c r="L937" s="1549"/>
      <c r="M937" s="1549"/>
      <c r="N937" s="1549"/>
      <c r="O937" s="1549"/>
      <c r="P937" s="1549"/>
      <c r="Q937" s="1549"/>
      <c r="R937" s="1549"/>
      <c r="S937" s="1549"/>
      <c r="T937" s="1549"/>
      <c r="U937" s="1549"/>
      <c r="V937" s="1549"/>
      <c r="W937" s="1549"/>
      <c r="X937" s="1549"/>
      <c r="Y937" s="1549"/>
      <c r="Z937" s="1549"/>
      <c r="AA937" s="1549"/>
      <c r="AB937" s="1549"/>
      <c r="AC937" s="1549"/>
      <c r="AD937" s="1549"/>
      <c r="AE937" s="1549"/>
      <c r="AF937" s="1549"/>
      <c r="AG937" s="1549"/>
      <c r="AH937" s="1549"/>
    </row>
    <row r="938" spans="1:34" ht="12.75" customHeight="1" x14ac:dyDescent="0.2">
      <c r="A938" s="1549"/>
      <c r="B938" s="1549"/>
      <c r="C938" s="1549"/>
      <c r="D938" s="1549"/>
      <c r="E938" s="1549"/>
      <c r="F938" s="1549"/>
      <c r="G938" s="1549"/>
      <c r="H938" s="1549"/>
      <c r="I938" s="1549"/>
      <c r="J938" s="1549"/>
      <c r="K938" s="1549"/>
      <c r="L938" s="1549"/>
      <c r="M938" s="1549"/>
      <c r="N938" s="1549"/>
      <c r="O938" s="1549"/>
      <c r="P938" s="1549"/>
      <c r="Q938" s="1549"/>
      <c r="R938" s="1549"/>
      <c r="S938" s="1549"/>
      <c r="T938" s="1549"/>
      <c r="U938" s="1549"/>
      <c r="V938" s="1549"/>
      <c r="W938" s="1549"/>
      <c r="X938" s="1549"/>
      <c r="Y938" s="1549"/>
      <c r="Z938" s="1549"/>
      <c r="AA938" s="1549"/>
      <c r="AB938" s="1549"/>
      <c r="AC938" s="1549"/>
      <c r="AD938" s="1549"/>
      <c r="AE938" s="1549"/>
      <c r="AF938" s="1549"/>
      <c r="AG938" s="1549"/>
      <c r="AH938" s="1549"/>
    </row>
    <row r="939" spans="1:34" ht="12.75" customHeight="1" x14ac:dyDescent="0.2">
      <c r="A939" s="1549"/>
      <c r="B939" s="1549"/>
      <c r="C939" s="1549"/>
      <c r="D939" s="1549"/>
      <c r="E939" s="1549"/>
      <c r="F939" s="1549"/>
      <c r="G939" s="1549"/>
      <c r="H939" s="1549"/>
      <c r="I939" s="1549"/>
      <c r="J939" s="1549"/>
      <c r="K939" s="1549"/>
      <c r="L939" s="1549"/>
      <c r="M939" s="1549"/>
      <c r="N939" s="1549"/>
      <c r="O939" s="1549"/>
      <c r="P939" s="1549"/>
      <c r="Q939" s="1549"/>
      <c r="R939" s="1549"/>
      <c r="S939" s="1549"/>
      <c r="T939" s="1549"/>
      <c r="U939" s="1549"/>
      <c r="V939" s="1549"/>
      <c r="W939" s="1549"/>
      <c r="X939" s="1549"/>
      <c r="Y939" s="1549"/>
      <c r="Z939" s="1549"/>
      <c r="AA939" s="1549"/>
      <c r="AB939" s="1549"/>
      <c r="AC939" s="1549"/>
      <c r="AD939" s="1549"/>
      <c r="AE939" s="1549"/>
      <c r="AF939" s="1549"/>
      <c r="AG939" s="1549"/>
      <c r="AH939" s="1549"/>
    </row>
    <row r="940" spans="1:34" ht="12.75" customHeight="1" x14ac:dyDescent="0.2">
      <c r="A940" s="1549"/>
      <c r="B940" s="1549"/>
      <c r="C940" s="1549"/>
      <c r="D940" s="1549"/>
      <c r="E940" s="1549"/>
      <c r="F940" s="1549"/>
      <c r="G940" s="1549"/>
      <c r="H940" s="1549"/>
      <c r="I940" s="1549"/>
      <c r="J940" s="1549"/>
      <c r="K940" s="1549"/>
      <c r="L940" s="1549"/>
      <c r="M940" s="1549"/>
      <c r="N940" s="1549"/>
      <c r="O940" s="1549"/>
      <c r="P940" s="1549"/>
      <c r="Q940" s="1549"/>
      <c r="R940" s="1549"/>
      <c r="S940" s="1549"/>
      <c r="T940" s="1549"/>
      <c r="U940" s="1549"/>
      <c r="V940" s="1549"/>
      <c r="W940" s="1549"/>
      <c r="X940" s="1549"/>
      <c r="Y940" s="1549"/>
      <c r="Z940" s="1549"/>
      <c r="AA940" s="1549"/>
      <c r="AB940" s="1549"/>
      <c r="AC940" s="1549"/>
      <c r="AD940" s="1549"/>
      <c r="AE940" s="1549"/>
      <c r="AF940" s="1549"/>
      <c r="AG940" s="1549"/>
      <c r="AH940" s="1549"/>
    </row>
    <row r="941" spans="1:34" ht="12.75" customHeight="1" x14ac:dyDescent="0.2">
      <c r="A941" s="1549"/>
      <c r="B941" s="1549"/>
      <c r="C941" s="1549"/>
      <c r="D941" s="1549"/>
      <c r="E941" s="1549"/>
      <c r="F941" s="1549"/>
      <c r="G941" s="1549"/>
      <c r="H941" s="1549"/>
      <c r="I941" s="1549"/>
      <c r="J941" s="1549"/>
      <c r="K941" s="1549"/>
      <c r="L941" s="1549"/>
      <c r="M941" s="1549"/>
      <c r="N941" s="1549"/>
      <c r="O941" s="1549"/>
      <c r="P941" s="1549"/>
      <c r="Q941" s="1549"/>
      <c r="R941" s="1549"/>
      <c r="S941" s="1549"/>
      <c r="T941" s="1549"/>
      <c r="U941" s="1549"/>
      <c r="V941" s="1549"/>
      <c r="W941" s="1549"/>
      <c r="X941" s="1549"/>
      <c r="Y941" s="1549"/>
      <c r="Z941" s="1549"/>
      <c r="AA941" s="1549"/>
      <c r="AB941" s="1549"/>
      <c r="AC941" s="1549"/>
      <c r="AD941" s="1549"/>
      <c r="AE941" s="1549"/>
      <c r="AF941" s="1549"/>
      <c r="AG941" s="1549"/>
      <c r="AH941" s="1549"/>
    </row>
    <row r="942" spans="1:34" ht="12.75" customHeight="1" x14ac:dyDescent="0.2">
      <c r="A942" s="1549"/>
      <c r="B942" s="1549"/>
      <c r="C942" s="1549"/>
      <c r="D942" s="1549"/>
      <c r="E942" s="1549"/>
      <c r="F942" s="1549"/>
      <c r="G942" s="1549"/>
      <c r="H942" s="1549"/>
      <c r="I942" s="1549"/>
      <c r="J942" s="1549"/>
      <c r="K942" s="1549"/>
      <c r="L942" s="1549"/>
      <c r="M942" s="1549"/>
      <c r="N942" s="1549"/>
      <c r="O942" s="1549"/>
      <c r="P942" s="1549"/>
      <c r="Q942" s="1549"/>
      <c r="R942" s="1549"/>
      <c r="S942" s="1549"/>
      <c r="T942" s="1549"/>
      <c r="U942" s="1549"/>
      <c r="V942" s="1549"/>
      <c r="W942" s="1549"/>
      <c r="X942" s="1549"/>
      <c r="Y942" s="1549"/>
      <c r="Z942" s="1549"/>
      <c r="AA942" s="1549"/>
      <c r="AB942" s="1549"/>
      <c r="AC942" s="1549"/>
      <c r="AD942" s="1549"/>
      <c r="AE942" s="1549"/>
      <c r="AF942" s="1549"/>
      <c r="AG942" s="1549"/>
      <c r="AH942" s="1549"/>
    </row>
    <row r="943" spans="1:34" ht="12.75" customHeight="1" x14ac:dyDescent="0.2">
      <c r="A943" s="1549"/>
      <c r="B943" s="1549"/>
      <c r="C943" s="1549"/>
      <c r="D943" s="1549"/>
      <c r="E943" s="1549"/>
      <c r="F943" s="1549"/>
      <c r="G943" s="1549"/>
      <c r="H943" s="1549"/>
      <c r="I943" s="1549"/>
      <c r="J943" s="1549"/>
      <c r="K943" s="1549"/>
      <c r="L943" s="1549"/>
      <c r="M943" s="1549"/>
      <c r="N943" s="1549"/>
      <c r="O943" s="1549"/>
      <c r="P943" s="1549"/>
      <c r="Q943" s="1549"/>
      <c r="R943" s="1549"/>
      <c r="S943" s="1549"/>
      <c r="T943" s="1549"/>
      <c r="U943" s="1549"/>
      <c r="V943" s="1549"/>
      <c r="W943" s="1549"/>
      <c r="X943" s="1549"/>
      <c r="Y943" s="1549"/>
      <c r="Z943" s="1549"/>
      <c r="AA943" s="1549"/>
      <c r="AB943" s="1549"/>
      <c r="AC943" s="1549"/>
      <c r="AD943" s="1549"/>
      <c r="AE943" s="1549"/>
      <c r="AF943" s="1549"/>
      <c r="AG943" s="1549"/>
      <c r="AH943" s="1549"/>
    </row>
    <row r="944" spans="1:34" ht="12.75" customHeight="1" x14ac:dyDescent="0.2">
      <c r="A944" s="1549"/>
      <c r="B944" s="1549"/>
      <c r="C944" s="1549"/>
      <c r="D944" s="1549"/>
      <c r="E944" s="1549"/>
      <c r="F944" s="1549"/>
      <c r="G944" s="1549"/>
      <c r="H944" s="1549"/>
      <c r="I944" s="1549"/>
      <c r="J944" s="1549"/>
      <c r="K944" s="1549"/>
      <c r="L944" s="1549"/>
      <c r="M944" s="1549"/>
      <c r="N944" s="1549"/>
      <c r="O944" s="1549"/>
      <c r="P944" s="1549"/>
      <c r="Q944" s="1549"/>
      <c r="R944" s="1549"/>
      <c r="S944" s="1549"/>
      <c r="T944" s="1549"/>
      <c r="U944" s="1549"/>
      <c r="V944" s="1549"/>
      <c r="W944" s="1549"/>
      <c r="X944" s="1549"/>
      <c r="Y944" s="1549"/>
      <c r="Z944" s="1549"/>
      <c r="AA944" s="1549"/>
      <c r="AB944" s="1549"/>
      <c r="AC944" s="1549"/>
      <c r="AD944" s="1549"/>
      <c r="AE944" s="1549"/>
      <c r="AF944" s="1549"/>
      <c r="AG944" s="1549"/>
      <c r="AH944" s="1549"/>
    </row>
    <row r="945" spans="1:34" ht="12.75" customHeight="1" x14ac:dyDescent="0.2">
      <c r="A945" s="1549"/>
      <c r="B945" s="1549"/>
      <c r="C945" s="1549"/>
      <c r="D945" s="1549"/>
      <c r="E945" s="1549"/>
      <c r="F945" s="1549"/>
      <c r="G945" s="1549"/>
      <c r="H945" s="1549"/>
      <c r="I945" s="1549"/>
      <c r="J945" s="1549"/>
      <c r="K945" s="1549"/>
      <c r="L945" s="1549"/>
      <c r="M945" s="1549"/>
      <c r="N945" s="1549"/>
      <c r="O945" s="1549"/>
      <c r="P945" s="1549"/>
      <c r="Q945" s="1549"/>
      <c r="R945" s="1549"/>
      <c r="S945" s="1549"/>
      <c r="T945" s="1549"/>
      <c r="U945" s="1549"/>
      <c r="V945" s="1549"/>
      <c r="W945" s="1549"/>
      <c r="X945" s="1549"/>
      <c r="Y945" s="1549"/>
      <c r="Z945" s="1549"/>
      <c r="AA945" s="1549"/>
      <c r="AB945" s="1549"/>
      <c r="AC945" s="1549"/>
      <c r="AD945" s="1549"/>
      <c r="AE945" s="1549"/>
      <c r="AF945" s="1549"/>
      <c r="AG945" s="1549"/>
      <c r="AH945" s="1549"/>
    </row>
    <row r="946" spans="1:34" ht="12.75" customHeight="1" x14ac:dyDescent="0.2">
      <c r="A946" s="1549"/>
      <c r="B946" s="1549"/>
      <c r="C946" s="1549"/>
      <c r="D946" s="1549"/>
      <c r="E946" s="1549"/>
      <c r="F946" s="1549"/>
      <c r="G946" s="1549"/>
      <c r="H946" s="1549"/>
      <c r="I946" s="1549"/>
      <c r="J946" s="1549"/>
      <c r="K946" s="1549"/>
      <c r="L946" s="1549"/>
      <c r="M946" s="1549"/>
      <c r="N946" s="1549"/>
      <c r="O946" s="1549"/>
      <c r="P946" s="1549"/>
      <c r="Q946" s="1549"/>
      <c r="R946" s="1549"/>
      <c r="S946" s="1549"/>
      <c r="T946" s="1549"/>
      <c r="U946" s="1549"/>
      <c r="V946" s="1549"/>
      <c r="W946" s="1549"/>
      <c r="X946" s="1549"/>
      <c r="Y946" s="1549"/>
      <c r="Z946" s="1549"/>
      <c r="AA946" s="1549"/>
      <c r="AB946" s="1549"/>
      <c r="AC946" s="1549"/>
      <c r="AD946" s="1549"/>
      <c r="AE946" s="1549"/>
      <c r="AF946" s="1549"/>
      <c r="AG946" s="1549"/>
      <c r="AH946" s="1549"/>
    </row>
    <row r="947" spans="1:34" ht="12.75" customHeight="1" x14ac:dyDescent="0.2">
      <c r="A947" s="1549"/>
      <c r="B947" s="1549"/>
      <c r="C947" s="1549"/>
      <c r="D947" s="1549"/>
      <c r="E947" s="1549"/>
      <c r="F947" s="1549"/>
      <c r="G947" s="1549"/>
      <c r="H947" s="1549"/>
      <c r="I947" s="1549"/>
      <c r="J947" s="1549"/>
      <c r="K947" s="1549"/>
      <c r="L947" s="1549"/>
      <c r="M947" s="1549"/>
      <c r="N947" s="1549"/>
      <c r="O947" s="1549"/>
      <c r="P947" s="1549"/>
      <c r="Q947" s="1549"/>
      <c r="R947" s="1549"/>
      <c r="S947" s="1549"/>
      <c r="T947" s="1549"/>
      <c r="U947" s="1549"/>
      <c r="V947" s="1549"/>
      <c r="W947" s="1549"/>
      <c r="X947" s="1549"/>
      <c r="Y947" s="1549"/>
      <c r="Z947" s="1549"/>
      <c r="AA947" s="1549"/>
      <c r="AB947" s="1549"/>
      <c r="AC947" s="1549"/>
      <c r="AD947" s="1549"/>
      <c r="AE947" s="1549"/>
      <c r="AF947" s="1549"/>
      <c r="AG947" s="1549"/>
      <c r="AH947" s="1549"/>
    </row>
    <row r="948" spans="1:34" ht="12.75" customHeight="1" x14ac:dyDescent="0.2">
      <c r="A948" s="1549"/>
      <c r="B948" s="1549"/>
      <c r="C948" s="1549"/>
      <c r="D948" s="1549"/>
      <c r="E948" s="1549"/>
      <c r="F948" s="1549"/>
      <c r="G948" s="1549"/>
      <c r="H948" s="1549"/>
      <c r="I948" s="1549"/>
      <c r="J948" s="1549"/>
      <c r="K948" s="1549"/>
      <c r="L948" s="1549"/>
      <c r="M948" s="1549"/>
      <c r="N948" s="1549"/>
      <c r="O948" s="1549"/>
      <c r="P948" s="1549"/>
      <c r="Q948" s="1549"/>
      <c r="R948" s="1549"/>
      <c r="S948" s="1549"/>
      <c r="T948" s="1549"/>
      <c r="U948" s="1549"/>
      <c r="V948" s="1549"/>
      <c r="W948" s="1549"/>
      <c r="X948" s="1549"/>
      <c r="Y948" s="1549"/>
      <c r="Z948" s="1549"/>
      <c r="AA948" s="1549"/>
      <c r="AB948" s="1549"/>
      <c r="AC948" s="1549"/>
      <c r="AD948" s="1549"/>
      <c r="AE948" s="1549"/>
      <c r="AF948" s="1549"/>
      <c r="AG948" s="1549"/>
      <c r="AH948" s="1549"/>
    </row>
    <row r="949" spans="1:34" ht="12.75" customHeight="1" x14ac:dyDescent="0.2">
      <c r="A949" s="1549"/>
      <c r="B949" s="1549"/>
      <c r="C949" s="1549"/>
      <c r="D949" s="1549"/>
      <c r="E949" s="1549"/>
      <c r="F949" s="1549"/>
      <c r="G949" s="1549"/>
      <c r="H949" s="1549"/>
      <c r="I949" s="1549"/>
      <c r="J949" s="1549"/>
      <c r="K949" s="1549"/>
      <c r="L949" s="1549"/>
      <c r="M949" s="1549"/>
      <c r="N949" s="1549"/>
      <c r="O949" s="1549"/>
      <c r="P949" s="1549"/>
      <c r="Q949" s="1549"/>
      <c r="R949" s="1549"/>
      <c r="S949" s="1549"/>
      <c r="T949" s="1549"/>
      <c r="U949" s="1549"/>
      <c r="V949" s="1549"/>
      <c r="W949" s="1549"/>
      <c r="X949" s="1549"/>
      <c r="Y949" s="1549"/>
      <c r="Z949" s="1549"/>
      <c r="AA949" s="1549"/>
      <c r="AB949" s="1549"/>
      <c r="AC949" s="1549"/>
      <c r="AD949" s="1549"/>
      <c r="AE949" s="1549"/>
      <c r="AF949" s="1549"/>
      <c r="AG949" s="1549"/>
      <c r="AH949" s="1549"/>
    </row>
    <row r="950" spans="1:34" ht="12.75" customHeight="1" x14ac:dyDescent="0.2">
      <c r="A950" s="1549"/>
      <c r="B950" s="1549"/>
      <c r="C950" s="1549"/>
      <c r="D950" s="1549"/>
      <c r="E950" s="1549"/>
      <c r="F950" s="1549"/>
      <c r="G950" s="1549"/>
      <c r="H950" s="1549"/>
      <c r="I950" s="1549"/>
      <c r="J950" s="1549"/>
      <c r="K950" s="1549"/>
      <c r="L950" s="1549"/>
      <c r="M950" s="1549"/>
      <c r="N950" s="1549"/>
      <c r="O950" s="1549"/>
      <c r="P950" s="1549"/>
      <c r="Q950" s="1549"/>
      <c r="R950" s="1549"/>
      <c r="S950" s="1549"/>
      <c r="T950" s="1549"/>
      <c r="U950" s="1549"/>
      <c r="V950" s="1549"/>
      <c r="W950" s="1549"/>
      <c r="X950" s="1549"/>
      <c r="Y950" s="1549"/>
      <c r="Z950" s="1549"/>
      <c r="AA950" s="1549"/>
      <c r="AB950" s="1549"/>
      <c r="AC950" s="1549"/>
      <c r="AD950" s="1549"/>
      <c r="AE950" s="1549"/>
      <c r="AF950" s="1549"/>
      <c r="AG950" s="1549"/>
      <c r="AH950" s="1549"/>
    </row>
    <row r="951" spans="1:34" ht="12.75" customHeight="1" x14ac:dyDescent="0.2">
      <c r="A951" s="1549"/>
      <c r="B951" s="1549"/>
      <c r="C951" s="1549"/>
      <c r="D951" s="1549"/>
      <c r="E951" s="1549"/>
      <c r="F951" s="1549"/>
      <c r="G951" s="1549"/>
      <c r="H951" s="1549"/>
      <c r="I951" s="1549"/>
      <c r="J951" s="1549"/>
      <c r="K951" s="1549"/>
      <c r="L951" s="1549"/>
      <c r="M951" s="1549"/>
      <c r="N951" s="1549"/>
      <c r="O951" s="1549"/>
      <c r="P951" s="1549"/>
      <c r="Q951" s="1549"/>
      <c r="R951" s="1549"/>
      <c r="S951" s="1549"/>
      <c r="T951" s="1549"/>
      <c r="U951" s="1549"/>
      <c r="V951" s="1549"/>
      <c r="W951" s="1549"/>
      <c r="X951" s="1549"/>
      <c r="Y951" s="1549"/>
      <c r="Z951" s="1549"/>
      <c r="AA951" s="1549"/>
      <c r="AB951" s="1549"/>
      <c r="AC951" s="1549"/>
      <c r="AD951" s="1549"/>
      <c r="AE951" s="1549"/>
      <c r="AF951" s="1549"/>
      <c r="AG951" s="1549"/>
      <c r="AH951" s="1549"/>
    </row>
    <row r="952" spans="1:34" ht="12.75" customHeight="1" x14ac:dyDescent="0.2">
      <c r="A952" s="1549"/>
      <c r="B952" s="1549"/>
      <c r="C952" s="1549"/>
      <c r="D952" s="1549"/>
      <c r="E952" s="1549"/>
      <c r="F952" s="1549"/>
      <c r="G952" s="1549"/>
      <c r="H952" s="1549"/>
      <c r="I952" s="1549"/>
      <c r="J952" s="1549"/>
      <c r="K952" s="1549"/>
      <c r="L952" s="1549"/>
      <c r="M952" s="1549"/>
      <c r="N952" s="1549"/>
      <c r="O952" s="1549"/>
      <c r="P952" s="1549"/>
      <c r="Q952" s="1549"/>
      <c r="R952" s="1549"/>
      <c r="S952" s="1549"/>
      <c r="T952" s="1549"/>
      <c r="U952" s="1549"/>
      <c r="V952" s="1549"/>
      <c r="W952" s="1549"/>
      <c r="X952" s="1549"/>
      <c r="Y952" s="1549"/>
      <c r="Z952" s="1549"/>
      <c r="AA952" s="1549"/>
      <c r="AB952" s="1549"/>
      <c r="AC952" s="1549"/>
      <c r="AD952" s="1549"/>
      <c r="AE952" s="1549"/>
      <c r="AF952" s="1549"/>
      <c r="AG952" s="1549"/>
      <c r="AH952" s="1549"/>
    </row>
    <row r="953" spans="1:34" ht="12.75" customHeight="1" x14ac:dyDescent="0.2">
      <c r="A953" s="1549"/>
      <c r="B953" s="1549"/>
      <c r="C953" s="1549"/>
      <c r="D953" s="1549"/>
      <c r="E953" s="1549"/>
      <c r="F953" s="1549"/>
      <c r="G953" s="1549"/>
      <c r="H953" s="1549"/>
      <c r="I953" s="1549"/>
      <c r="J953" s="1549"/>
      <c r="K953" s="1549"/>
      <c r="L953" s="1549"/>
      <c r="M953" s="1549"/>
      <c r="N953" s="1549"/>
      <c r="O953" s="1549"/>
      <c r="P953" s="1549"/>
      <c r="Q953" s="1549"/>
      <c r="R953" s="1549"/>
      <c r="S953" s="1549"/>
      <c r="T953" s="1549"/>
      <c r="U953" s="1549"/>
      <c r="V953" s="1549"/>
      <c r="W953" s="1549"/>
      <c r="X953" s="1549"/>
      <c r="Y953" s="1549"/>
      <c r="Z953" s="1549"/>
      <c r="AA953" s="1549"/>
      <c r="AB953" s="1549"/>
      <c r="AC953" s="1549"/>
      <c r="AD953" s="1549"/>
      <c r="AE953" s="1549"/>
      <c r="AF953" s="1549"/>
      <c r="AG953" s="1549"/>
      <c r="AH953" s="1549"/>
    </row>
    <row r="954" spans="1:34" ht="12.75" customHeight="1" x14ac:dyDescent="0.2">
      <c r="A954" s="1549"/>
      <c r="B954" s="1549"/>
      <c r="C954" s="1549"/>
      <c r="D954" s="1549"/>
      <c r="E954" s="1549"/>
      <c r="F954" s="1549"/>
      <c r="G954" s="1549"/>
      <c r="H954" s="1549"/>
      <c r="I954" s="1549"/>
      <c r="J954" s="1549"/>
      <c r="K954" s="1549"/>
      <c r="L954" s="1549"/>
      <c r="M954" s="1549"/>
      <c r="N954" s="1549"/>
      <c r="O954" s="1549"/>
      <c r="P954" s="1549"/>
      <c r="Q954" s="1549"/>
      <c r="R954" s="1549"/>
      <c r="S954" s="1549"/>
      <c r="T954" s="1549"/>
      <c r="U954" s="1549"/>
      <c r="V954" s="1549"/>
      <c r="W954" s="1549"/>
      <c r="X954" s="1549"/>
      <c r="Y954" s="1549"/>
      <c r="Z954" s="1549"/>
      <c r="AA954" s="1549"/>
      <c r="AB954" s="1549"/>
      <c r="AC954" s="1549"/>
      <c r="AD954" s="1549"/>
      <c r="AE954" s="1549"/>
      <c r="AF954" s="1549"/>
      <c r="AG954" s="1549"/>
      <c r="AH954" s="1549"/>
    </row>
    <row r="955" spans="1:34" ht="12.75" customHeight="1" x14ac:dyDescent="0.2">
      <c r="A955" s="1549"/>
      <c r="B955" s="1549"/>
      <c r="C955" s="1549"/>
      <c r="D955" s="1549"/>
      <c r="E955" s="1549"/>
      <c r="F955" s="1549"/>
      <c r="G955" s="1549"/>
      <c r="H955" s="1549"/>
      <c r="I955" s="1549"/>
      <c r="J955" s="1549"/>
      <c r="K955" s="1549"/>
      <c r="L955" s="1549"/>
      <c r="M955" s="1549"/>
      <c r="N955" s="1549"/>
      <c r="O955" s="1549"/>
      <c r="P955" s="1549"/>
      <c r="Q955" s="1549"/>
      <c r="R955" s="1549"/>
      <c r="S955" s="1549"/>
      <c r="T955" s="1549"/>
      <c r="U955" s="1549"/>
      <c r="V955" s="1549"/>
      <c r="W955" s="1549"/>
      <c r="X955" s="1549"/>
      <c r="Y955" s="1549"/>
      <c r="Z955" s="1549"/>
      <c r="AA955" s="1549"/>
      <c r="AB955" s="1549"/>
      <c r="AC955" s="1549"/>
      <c r="AD955" s="1549"/>
      <c r="AE955" s="1549"/>
      <c r="AF955" s="1549"/>
      <c r="AG955" s="1549"/>
      <c r="AH955" s="1549"/>
    </row>
    <row r="956" spans="1:34" ht="12.75" customHeight="1" x14ac:dyDescent="0.2">
      <c r="A956" s="1549"/>
      <c r="B956" s="1549"/>
      <c r="C956" s="1549"/>
      <c r="D956" s="1549"/>
      <c r="E956" s="1549"/>
      <c r="F956" s="1549"/>
      <c r="G956" s="1549"/>
      <c r="H956" s="1549"/>
      <c r="I956" s="1549"/>
      <c r="J956" s="1549"/>
      <c r="K956" s="1549"/>
      <c r="L956" s="1549"/>
      <c r="M956" s="1549"/>
      <c r="N956" s="1549"/>
      <c r="O956" s="1549"/>
      <c r="P956" s="1549"/>
      <c r="Q956" s="1549"/>
      <c r="R956" s="1549"/>
      <c r="S956" s="1549"/>
      <c r="T956" s="1549"/>
      <c r="U956" s="1549"/>
      <c r="V956" s="1549"/>
      <c r="W956" s="1549"/>
      <c r="X956" s="1549"/>
      <c r="Y956" s="1549"/>
      <c r="Z956" s="1549"/>
      <c r="AA956" s="1549"/>
      <c r="AB956" s="1549"/>
      <c r="AC956" s="1549"/>
      <c r="AD956" s="1549"/>
      <c r="AE956" s="1549"/>
      <c r="AF956" s="1549"/>
      <c r="AG956" s="1549"/>
      <c r="AH956" s="1549"/>
    </row>
    <row r="957" spans="1:34" ht="12.75" customHeight="1" x14ac:dyDescent="0.2">
      <c r="A957" s="1549"/>
      <c r="B957" s="1549"/>
      <c r="C957" s="1549"/>
      <c r="D957" s="1549"/>
      <c r="E957" s="1549"/>
      <c r="F957" s="1549"/>
      <c r="G957" s="1549"/>
      <c r="H957" s="1549"/>
      <c r="I957" s="1549"/>
      <c r="J957" s="1549"/>
      <c r="K957" s="1549"/>
      <c r="L957" s="1549"/>
      <c r="M957" s="1549"/>
      <c r="N957" s="1549"/>
      <c r="O957" s="1549"/>
      <c r="P957" s="1549"/>
      <c r="Q957" s="1549"/>
      <c r="R957" s="1549"/>
      <c r="S957" s="1549"/>
      <c r="T957" s="1549"/>
      <c r="U957" s="1549"/>
      <c r="V957" s="1549"/>
      <c r="W957" s="1549"/>
      <c r="X957" s="1549"/>
      <c r="Y957" s="1549"/>
      <c r="Z957" s="1549"/>
      <c r="AA957" s="1549"/>
      <c r="AB957" s="1549"/>
      <c r="AC957" s="1549"/>
      <c r="AD957" s="1549"/>
      <c r="AE957" s="1549"/>
      <c r="AF957" s="1549"/>
      <c r="AG957" s="1549"/>
      <c r="AH957" s="1549"/>
    </row>
    <row r="958" spans="1:34" ht="12.75" customHeight="1" x14ac:dyDescent="0.2">
      <c r="A958" s="1549"/>
      <c r="B958" s="1549"/>
      <c r="C958" s="1549"/>
      <c r="D958" s="1549"/>
      <c r="E958" s="1549"/>
      <c r="F958" s="1549"/>
      <c r="G958" s="1549"/>
      <c r="H958" s="1549"/>
      <c r="I958" s="1549"/>
      <c r="J958" s="1549"/>
      <c r="K958" s="1549"/>
      <c r="L958" s="1549"/>
      <c r="M958" s="1549"/>
      <c r="N958" s="1549"/>
      <c r="O958" s="1549"/>
      <c r="P958" s="1549"/>
      <c r="Q958" s="1549"/>
      <c r="R958" s="1549"/>
      <c r="S958" s="1549"/>
      <c r="T958" s="1549"/>
      <c r="U958" s="1549"/>
      <c r="V958" s="1549"/>
      <c r="W958" s="1549"/>
      <c r="X958" s="1549"/>
      <c r="Y958" s="1549"/>
      <c r="Z958" s="1549"/>
      <c r="AA958" s="1549"/>
      <c r="AB958" s="1549"/>
      <c r="AC958" s="1549"/>
      <c r="AD958" s="1549"/>
      <c r="AE958" s="1549"/>
      <c r="AF958" s="1549"/>
      <c r="AG958" s="1549"/>
      <c r="AH958" s="1549"/>
    </row>
    <row r="959" spans="1:34" ht="12.75" customHeight="1" x14ac:dyDescent="0.2">
      <c r="A959" s="1549"/>
      <c r="B959" s="1549"/>
      <c r="C959" s="1549"/>
      <c r="D959" s="1549"/>
      <c r="E959" s="1549"/>
      <c r="F959" s="1549"/>
      <c r="G959" s="1549"/>
      <c r="H959" s="1549"/>
      <c r="I959" s="1549"/>
      <c r="J959" s="1549"/>
      <c r="K959" s="1549"/>
      <c r="L959" s="1549"/>
      <c r="M959" s="1549"/>
      <c r="N959" s="1549"/>
      <c r="O959" s="1549"/>
      <c r="P959" s="1549"/>
      <c r="Q959" s="1549"/>
      <c r="R959" s="1549"/>
      <c r="S959" s="1549"/>
      <c r="T959" s="1549"/>
      <c r="U959" s="1549"/>
      <c r="V959" s="1549"/>
      <c r="W959" s="1549"/>
      <c r="X959" s="1549"/>
      <c r="Y959" s="1549"/>
      <c r="Z959" s="1549"/>
      <c r="AA959" s="1549"/>
      <c r="AB959" s="1549"/>
      <c r="AC959" s="1549"/>
      <c r="AD959" s="1549"/>
      <c r="AE959" s="1549"/>
      <c r="AF959" s="1549"/>
      <c r="AG959" s="1549"/>
      <c r="AH959" s="1549"/>
    </row>
    <row r="960" spans="1:34" ht="12.75" customHeight="1" x14ac:dyDescent="0.2">
      <c r="A960" s="1549"/>
      <c r="B960" s="1549"/>
      <c r="C960" s="1549"/>
      <c r="D960" s="1549"/>
      <c r="E960" s="1549"/>
      <c r="F960" s="1549"/>
      <c r="G960" s="1549"/>
      <c r="H960" s="1549"/>
      <c r="I960" s="1549"/>
      <c r="J960" s="1549"/>
      <c r="K960" s="1549"/>
      <c r="L960" s="1549"/>
      <c r="M960" s="1549"/>
      <c r="N960" s="1549"/>
      <c r="O960" s="1549"/>
      <c r="P960" s="1549"/>
      <c r="Q960" s="1549"/>
      <c r="R960" s="1549"/>
      <c r="S960" s="1549"/>
      <c r="T960" s="1549"/>
      <c r="U960" s="1549"/>
      <c r="V960" s="1549"/>
      <c r="W960" s="1549"/>
      <c r="X960" s="1549"/>
      <c r="Y960" s="1549"/>
      <c r="Z960" s="1549"/>
      <c r="AA960" s="1549"/>
      <c r="AB960" s="1549"/>
      <c r="AC960" s="1549"/>
      <c r="AD960" s="1549"/>
      <c r="AE960" s="1549"/>
      <c r="AF960" s="1549"/>
      <c r="AG960" s="1549"/>
      <c r="AH960" s="1549"/>
    </row>
    <row r="961" spans="1:34" ht="12.75" customHeight="1" x14ac:dyDescent="0.2">
      <c r="A961" s="1549"/>
      <c r="B961" s="1549"/>
      <c r="C961" s="1549"/>
      <c r="D961" s="1549"/>
      <c r="E961" s="1549"/>
      <c r="F961" s="1549"/>
      <c r="G961" s="1549"/>
      <c r="H961" s="1549"/>
      <c r="I961" s="1549"/>
      <c r="J961" s="1549"/>
      <c r="K961" s="1549"/>
      <c r="L961" s="1549"/>
      <c r="M961" s="1549"/>
      <c r="N961" s="1549"/>
      <c r="O961" s="1549"/>
      <c r="P961" s="1549"/>
      <c r="Q961" s="1549"/>
      <c r="R961" s="1549"/>
      <c r="S961" s="1549"/>
      <c r="T961" s="1549"/>
      <c r="U961" s="1549"/>
      <c r="V961" s="1549"/>
      <c r="W961" s="1549"/>
      <c r="X961" s="1549"/>
      <c r="Y961" s="1549"/>
      <c r="Z961" s="1549"/>
      <c r="AA961" s="1549"/>
      <c r="AB961" s="1549"/>
      <c r="AC961" s="1549"/>
      <c r="AD961" s="1549"/>
      <c r="AE961" s="1549"/>
      <c r="AF961" s="1549"/>
      <c r="AG961" s="1549"/>
      <c r="AH961" s="1549"/>
    </row>
    <row r="962" spans="1:34" ht="12.75" customHeight="1" x14ac:dyDescent="0.2">
      <c r="A962" s="1549"/>
      <c r="B962" s="1549"/>
      <c r="C962" s="1549"/>
      <c r="D962" s="1549"/>
      <c r="E962" s="1549"/>
      <c r="F962" s="1549"/>
      <c r="G962" s="1549"/>
      <c r="H962" s="1549"/>
      <c r="I962" s="1549"/>
      <c r="J962" s="1549"/>
      <c r="K962" s="1549"/>
      <c r="L962" s="1549"/>
      <c r="M962" s="1549"/>
      <c r="N962" s="1549"/>
      <c r="O962" s="1549"/>
      <c r="P962" s="1549"/>
      <c r="Q962" s="1549"/>
      <c r="R962" s="1549"/>
      <c r="S962" s="1549"/>
      <c r="T962" s="1549"/>
      <c r="U962" s="1549"/>
      <c r="V962" s="1549"/>
      <c r="W962" s="1549"/>
      <c r="X962" s="1549"/>
      <c r="Y962" s="1549"/>
      <c r="Z962" s="1549"/>
      <c r="AA962" s="1549"/>
      <c r="AB962" s="1549"/>
      <c r="AC962" s="1549"/>
      <c r="AD962" s="1549"/>
      <c r="AE962" s="1549"/>
      <c r="AF962" s="1549"/>
      <c r="AG962" s="1549"/>
      <c r="AH962" s="1549"/>
    </row>
    <row r="963" spans="1:34" ht="12.75" customHeight="1" x14ac:dyDescent="0.2">
      <c r="A963" s="1549"/>
      <c r="B963" s="1549"/>
      <c r="C963" s="1549"/>
      <c r="D963" s="1549"/>
      <c r="E963" s="1549"/>
      <c r="F963" s="1549"/>
      <c r="G963" s="1549"/>
      <c r="H963" s="1549"/>
      <c r="I963" s="1549"/>
      <c r="J963" s="1549"/>
      <c r="K963" s="1549"/>
      <c r="L963" s="1549"/>
      <c r="M963" s="1549"/>
      <c r="N963" s="1549"/>
      <c r="O963" s="1549"/>
      <c r="P963" s="1549"/>
      <c r="Q963" s="1549"/>
      <c r="R963" s="1549"/>
      <c r="S963" s="1549"/>
      <c r="T963" s="1549"/>
      <c r="U963" s="1549"/>
      <c r="V963" s="1549"/>
      <c r="W963" s="1549"/>
      <c r="X963" s="1549"/>
      <c r="Y963" s="1549"/>
      <c r="Z963" s="1549"/>
      <c r="AA963" s="1549"/>
      <c r="AB963" s="1549"/>
      <c r="AC963" s="1549"/>
      <c r="AD963" s="1549"/>
      <c r="AE963" s="1549"/>
      <c r="AF963" s="1549"/>
      <c r="AG963" s="1549"/>
      <c r="AH963" s="1549"/>
    </row>
    <row r="964" spans="1:34" ht="12.75" customHeight="1" x14ac:dyDescent="0.2">
      <c r="A964" s="1549"/>
      <c r="B964" s="1549"/>
      <c r="C964" s="1549"/>
      <c r="D964" s="1549"/>
      <c r="E964" s="1549"/>
      <c r="F964" s="1549"/>
      <c r="G964" s="1549"/>
      <c r="H964" s="1549"/>
      <c r="I964" s="1549"/>
      <c r="J964" s="1549"/>
      <c r="K964" s="1549"/>
      <c r="L964" s="1549"/>
      <c r="M964" s="1549"/>
      <c r="N964" s="1549"/>
      <c r="O964" s="1549"/>
      <c r="P964" s="1549"/>
      <c r="Q964" s="1549"/>
      <c r="R964" s="1549"/>
      <c r="S964" s="1549"/>
      <c r="T964" s="1549"/>
      <c r="U964" s="1549"/>
      <c r="V964" s="1549"/>
      <c r="W964" s="1549"/>
      <c r="X964" s="1549"/>
      <c r="Y964" s="1549"/>
      <c r="Z964" s="1549"/>
      <c r="AA964" s="1549"/>
      <c r="AB964" s="1549"/>
      <c r="AC964" s="1549"/>
      <c r="AD964" s="1549"/>
      <c r="AE964" s="1549"/>
      <c r="AF964" s="1549"/>
      <c r="AG964" s="1549"/>
      <c r="AH964" s="1549"/>
    </row>
    <row r="965" spans="1:34" ht="12.75" customHeight="1" x14ac:dyDescent="0.2">
      <c r="A965" s="1549"/>
      <c r="B965" s="1549"/>
      <c r="C965" s="1549"/>
      <c r="D965" s="1549"/>
      <c r="E965" s="1549"/>
      <c r="F965" s="1549"/>
      <c r="G965" s="1549"/>
      <c r="H965" s="1549"/>
      <c r="I965" s="1549"/>
      <c r="J965" s="1549"/>
      <c r="K965" s="1549"/>
      <c r="L965" s="1549"/>
      <c r="M965" s="1549"/>
      <c r="N965" s="1549"/>
      <c r="O965" s="1549"/>
      <c r="P965" s="1549"/>
      <c r="Q965" s="1549"/>
      <c r="R965" s="1549"/>
      <c r="S965" s="1549"/>
      <c r="T965" s="1549"/>
      <c r="U965" s="1549"/>
      <c r="V965" s="1549"/>
      <c r="W965" s="1549"/>
      <c r="X965" s="1549"/>
      <c r="Y965" s="1549"/>
      <c r="Z965" s="1549"/>
      <c r="AA965" s="1549"/>
      <c r="AB965" s="1549"/>
      <c r="AC965" s="1549"/>
      <c r="AD965" s="1549"/>
      <c r="AE965" s="1549"/>
      <c r="AF965" s="1549"/>
      <c r="AG965" s="1549"/>
      <c r="AH965" s="1549"/>
    </row>
    <row r="966" spans="1:34" ht="12.75" customHeight="1" x14ac:dyDescent="0.2">
      <c r="A966" s="1549"/>
      <c r="B966" s="1549"/>
      <c r="C966" s="1549"/>
      <c r="D966" s="1549"/>
      <c r="E966" s="1549"/>
      <c r="F966" s="1549"/>
      <c r="G966" s="1549"/>
      <c r="H966" s="1549"/>
      <c r="I966" s="1549"/>
      <c r="J966" s="1549"/>
      <c r="K966" s="1549"/>
      <c r="L966" s="1549"/>
      <c r="M966" s="1549"/>
      <c r="N966" s="1549"/>
      <c r="O966" s="1549"/>
      <c r="P966" s="1549"/>
      <c r="Q966" s="1549"/>
      <c r="R966" s="1549"/>
      <c r="S966" s="1549"/>
      <c r="T966" s="1549"/>
      <c r="U966" s="1549"/>
      <c r="V966" s="1549"/>
      <c r="W966" s="1549"/>
      <c r="X966" s="1549"/>
      <c r="Y966" s="1549"/>
      <c r="Z966" s="1549"/>
      <c r="AA966" s="1549"/>
      <c r="AB966" s="1549"/>
      <c r="AC966" s="1549"/>
      <c r="AD966" s="1549"/>
      <c r="AE966" s="1549"/>
      <c r="AF966" s="1549"/>
      <c r="AG966" s="1549"/>
      <c r="AH966" s="1549"/>
    </row>
    <row r="967" spans="1:34" ht="12.75" customHeight="1" x14ac:dyDescent="0.2">
      <c r="A967" s="1549"/>
      <c r="B967" s="1549"/>
      <c r="C967" s="1549"/>
      <c r="D967" s="1549"/>
      <c r="E967" s="1549"/>
      <c r="F967" s="1549"/>
      <c r="G967" s="1549"/>
      <c r="H967" s="1549"/>
      <c r="I967" s="1549"/>
      <c r="J967" s="1549"/>
      <c r="K967" s="1549"/>
      <c r="L967" s="1549"/>
      <c r="M967" s="1549"/>
      <c r="N967" s="1549"/>
      <c r="O967" s="1549"/>
      <c r="P967" s="1549"/>
      <c r="Q967" s="1549"/>
      <c r="R967" s="1549"/>
      <c r="S967" s="1549"/>
      <c r="T967" s="1549"/>
      <c r="U967" s="1549"/>
      <c r="V967" s="1549"/>
      <c r="W967" s="1549"/>
      <c r="X967" s="1549"/>
      <c r="Y967" s="1549"/>
      <c r="Z967" s="1549"/>
      <c r="AA967" s="1549"/>
      <c r="AB967" s="1549"/>
      <c r="AC967" s="1549"/>
      <c r="AD967" s="1549"/>
      <c r="AE967" s="1549"/>
      <c r="AF967" s="1549"/>
      <c r="AG967" s="1549"/>
      <c r="AH967" s="1549"/>
    </row>
    <row r="968" spans="1:34" ht="12.75" customHeight="1" x14ac:dyDescent="0.2">
      <c r="A968" s="1549"/>
      <c r="B968" s="1549"/>
      <c r="C968" s="1549"/>
      <c r="D968" s="1549"/>
      <c r="E968" s="1549"/>
      <c r="F968" s="1549"/>
      <c r="G968" s="1549"/>
      <c r="H968" s="1549"/>
      <c r="I968" s="1549"/>
      <c r="J968" s="1549"/>
      <c r="K968" s="1549"/>
      <c r="L968" s="1549"/>
      <c r="M968" s="1549"/>
      <c r="N968" s="1549"/>
      <c r="O968" s="1549"/>
      <c r="P968" s="1549"/>
      <c r="Q968" s="1549"/>
      <c r="R968" s="1549"/>
      <c r="S968" s="1549"/>
      <c r="T968" s="1549"/>
      <c r="U968" s="1549"/>
      <c r="V968" s="1549"/>
      <c r="W968" s="1549"/>
      <c r="X968" s="1549"/>
      <c r="Y968" s="1549"/>
      <c r="Z968" s="1549"/>
      <c r="AA968" s="1549"/>
      <c r="AB968" s="1549"/>
      <c r="AC968" s="1549"/>
      <c r="AD968" s="1549"/>
      <c r="AE968" s="1549"/>
      <c r="AF968" s="1549"/>
      <c r="AG968" s="1549"/>
      <c r="AH968" s="1549"/>
    </row>
    <row r="969" spans="1:34" ht="12.75" customHeight="1" x14ac:dyDescent="0.2">
      <c r="A969" s="1549"/>
      <c r="B969" s="1549"/>
      <c r="C969" s="1549"/>
      <c r="D969" s="1549"/>
      <c r="E969" s="1549"/>
      <c r="F969" s="1549"/>
      <c r="G969" s="1549"/>
      <c r="H969" s="1549"/>
      <c r="I969" s="1549"/>
      <c r="J969" s="1549"/>
      <c r="K969" s="1549"/>
      <c r="L969" s="1549"/>
      <c r="M969" s="1549"/>
      <c r="N969" s="1549"/>
      <c r="O969" s="1549"/>
      <c r="P969" s="1549"/>
      <c r="Q969" s="1549"/>
      <c r="R969" s="1549"/>
      <c r="S969" s="1549"/>
      <c r="T969" s="1549"/>
      <c r="U969" s="1549"/>
      <c r="V969" s="1549"/>
      <c r="W969" s="1549"/>
      <c r="X969" s="1549"/>
      <c r="Y969" s="1549"/>
      <c r="Z969" s="1549"/>
      <c r="AA969" s="1549"/>
      <c r="AB969" s="1549"/>
      <c r="AC969" s="1549"/>
      <c r="AD969" s="1549"/>
      <c r="AE969" s="1549"/>
      <c r="AF969" s="1549"/>
      <c r="AG969" s="1549"/>
      <c r="AH969" s="1549"/>
    </row>
    <row r="970" spans="1:34" ht="12.75" customHeight="1" x14ac:dyDescent="0.2">
      <c r="A970" s="1549"/>
      <c r="B970" s="1549"/>
      <c r="C970" s="1549"/>
      <c r="D970" s="1549"/>
      <c r="E970" s="1549"/>
      <c r="F970" s="1549"/>
      <c r="G970" s="1549"/>
      <c r="H970" s="1549"/>
      <c r="I970" s="1549"/>
      <c r="J970" s="1549"/>
      <c r="K970" s="1549"/>
      <c r="L970" s="1549"/>
      <c r="M970" s="1549"/>
      <c r="N970" s="1549"/>
      <c r="O970" s="1549"/>
      <c r="P970" s="1549"/>
      <c r="Q970" s="1549"/>
      <c r="R970" s="1549"/>
      <c r="S970" s="1549"/>
      <c r="T970" s="1549"/>
      <c r="U970" s="1549"/>
      <c r="V970" s="1549"/>
      <c r="W970" s="1549"/>
      <c r="X970" s="1549"/>
      <c r="Y970" s="1549"/>
      <c r="Z970" s="1549"/>
      <c r="AA970" s="1549"/>
      <c r="AB970" s="1549"/>
      <c r="AC970" s="1549"/>
      <c r="AD970" s="1549"/>
      <c r="AE970" s="1549"/>
      <c r="AF970" s="1549"/>
      <c r="AG970" s="1549"/>
      <c r="AH970" s="1549"/>
    </row>
    <row r="971" spans="1:34" ht="12.75" customHeight="1" x14ac:dyDescent="0.2">
      <c r="A971" s="1549"/>
      <c r="B971" s="1549"/>
      <c r="C971" s="1549"/>
      <c r="D971" s="1549"/>
      <c r="E971" s="1549"/>
      <c r="F971" s="1549"/>
      <c r="G971" s="1549"/>
      <c r="H971" s="1549"/>
      <c r="I971" s="1549"/>
      <c r="J971" s="1549"/>
      <c r="K971" s="1549"/>
      <c r="L971" s="1549"/>
      <c r="M971" s="1549"/>
      <c r="N971" s="1549"/>
      <c r="O971" s="1549"/>
      <c r="P971" s="1549"/>
      <c r="Q971" s="1549"/>
      <c r="R971" s="1549"/>
      <c r="S971" s="1549"/>
      <c r="T971" s="1549"/>
      <c r="U971" s="1549"/>
      <c r="V971" s="1549"/>
      <c r="W971" s="1549"/>
      <c r="X971" s="1549"/>
      <c r="Y971" s="1549"/>
      <c r="Z971" s="1549"/>
      <c r="AA971" s="1549"/>
      <c r="AB971" s="1549"/>
      <c r="AC971" s="1549"/>
      <c r="AD971" s="1549"/>
      <c r="AE971" s="1549"/>
      <c r="AF971" s="1549"/>
      <c r="AG971" s="1549"/>
      <c r="AH971" s="1549"/>
    </row>
    <row r="972" spans="1:34" ht="12.75" customHeight="1" x14ac:dyDescent="0.2">
      <c r="A972" s="1549"/>
      <c r="B972" s="1549"/>
      <c r="C972" s="1549"/>
      <c r="D972" s="1549"/>
      <c r="E972" s="1549"/>
      <c r="F972" s="1549"/>
      <c r="G972" s="1549"/>
      <c r="H972" s="1549"/>
      <c r="I972" s="1549"/>
      <c r="J972" s="1549"/>
      <c r="K972" s="1549"/>
      <c r="L972" s="1549"/>
      <c r="M972" s="1549"/>
      <c r="N972" s="1549"/>
      <c r="O972" s="1549"/>
      <c r="P972" s="1549"/>
      <c r="Q972" s="1549"/>
      <c r="R972" s="1549"/>
      <c r="S972" s="1549"/>
      <c r="T972" s="1549"/>
      <c r="U972" s="1549"/>
      <c r="V972" s="1549"/>
      <c r="W972" s="1549"/>
      <c r="X972" s="1549"/>
      <c r="Y972" s="1549"/>
      <c r="Z972" s="1549"/>
      <c r="AA972" s="1549"/>
      <c r="AB972" s="1549"/>
      <c r="AC972" s="1549"/>
      <c r="AD972" s="1549"/>
      <c r="AE972" s="1549"/>
      <c r="AF972" s="1549"/>
      <c r="AG972" s="1549"/>
      <c r="AH972" s="1549"/>
    </row>
    <row r="973" spans="1:34" ht="12.75" customHeight="1" x14ac:dyDescent="0.2">
      <c r="A973" s="1549"/>
      <c r="B973" s="1549"/>
      <c r="C973" s="1549"/>
      <c r="D973" s="1549"/>
      <c r="E973" s="1549"/>
      <c r="F973" s="1549"/>
      <c r="G973" s="1549"/>
      <c r="H973" s="1549"/>
      <c r="I973" s="1549"/>
      <c r="J973" s="1549"/>
      <c r="K973" s="1549"/>
      <c r="L973" s="1549"/>
      <c r="M973" s="1549"/>
      <c r="N973" s="1549"/>
      <c r="O973" s="1549"/>
      <c r="P973" s="1549"/>
      <c r="Q973" s="1549"/>
      <c r="R973" s="1549"/>
      <c r="S973" s="1549"/>
      <c r="T973" s="1549"/>
      <c r="U973" s="1549"/>
      <c r="V973" s="1549"/>
      <c r="W973" s="1549"/>
      <c r="X973" s="1549"/>
      <c r="Y973" s="1549"/>
      <c r="Z973" s="1549"/>
      <c r="AA973" s="1549"/>
      <c r="AB973" s="1549"/>
      <c r="AC973" s="1549"/>
      <c r="AD973" s="1549"/>
      <c r="AE973" s="1549"/>
      <c r="AF973" s="1549"/>
      <c r="AG973" s="1549"/>
      <c r="AH973" s="1549"/>
    </row>
    <row r="974" spans="1:34" ht="12.75" customHeight="1" x14ac:dyDescent="0.2">
      <c r="A974" s="1549"/>
      <c r="B974" s="1549"/>
      <c r="C974" s="1549"/>
      <c r="D974" s="1549"/>
      <c r="E974" s="1549"/>
      <c r="F974" s="1549"/>
      <c r="G974" s="1549"/>
      <c r="H974" s="1549"/>
      <c r="I974" s="1549"/>
      <c r="J974" s="1549"/>
      <c r="K974" s="1549"/>
      <c r="L974" s="1549"/>
      <c r="M974" s="1549"/>
      <c r="N974" s="1549"/>
      <c r="O974" s="1549"/>
      <c r="P974" s="1549"/>
      <c r="Q974" s="1549"/>
      <c r="R974" s="1549"/>
      <c r="S974" s="1549"/>
      <c r="T974" s="1549"/>
      <c r="U974" s="1549"/>
      <c r="V974" s="1549"/>
      <c r="W974" s="1549"/>
      <c r="X974" s="1549"/>
      <c r="Y974" s="1549"/>
      <c r="Z974" s="1549"/>
      <c r="AA974" s="1549"/>
      <c r="AB974" s="1549"/>
      <c r="AC974" s="1549"/>
      <c r="AD974" s="1549"/>
      <c r="AE974" s="1549"/>
      <c r="AF974" s="1549"/>
      <c r="AG974" s="1549"/>
      <c r="AH974" s="1549"/>
    </row>
    <row r="975" spans="1:34" ht="12.75" customHeight="1" x14ac:dyDescent="0.2">
      <c r="A975" s="1549"/>
      <c r="B975" s="1549"/>
      <c r="C975" s="1549"/>
      <c r="D975" s="1549"/>
      <c r="E975" s="1549"/>
      <c r="F975" s="1549"/>
      <c r="G975" s="1549"/>
      <c r="H975" s="1549"/>
      <c r="I975" s="1549"/>
      <c r="J975" s="1549"/>
      <c r="K975" s="1549"/>
      <c r="L975" s="1549"/>
      <c r="M975" s="1549"/>
      <c r="N975" s="1549"/>
      <c r="O975" s="1549"/>
      <c r="P975" s="1549"/>
      <c r="Q975" s="1549"/>
      <c r="R975" s="1549"/>
      <c r="S975" s="1549"/>
      <c r="T975" s="1549"/>
      <c r="U975" s="1549"/>
      <c r="V975" s="1549"/>
      <c r="W975" s="1549"/>
      <c r="X975" s="1549"/>
      <c r="Y975" s="1549"/>
      <c r="Z975" s="1549"/>
      <c r="AA975" s="1549"/>
      <c r="AB975" s="1549"/>
      <c r="AC975" s="1549"/>
      <c r="AD975" s="1549"/>
      <c r="AE975" s="1549"/>
      <c r="AF975" s="1549"/>
      <c r="AG975" s="1549"/>
      <c r="AH975" s="1549"/>
    </row>
    <row r="976" spans="1:34" ht="12.75" customHeight="1" x14ac:dyDescent="0.2">
      <c r="A976" s="1549"/>
      <c r="B976" s="1549"/>
      <c r="C976" s="1549"/>
      <c r="D976" s="1549"/>
      <c r="E976" s="1549"/>
      <c r="F976" s="1549"/>
      <c r="G976" s="1549"/>
      <c r="H976" s="1549"/>
      <c r="I976" s="1549"/>
      <c r="J976" s="1549"/>
      <c r="K976" s="1549"/>
      <c r="L976" s="1549"/>
      <c r="M976" s="1549"/>
      <c r="N976" s="1549"/>
      <c r="O976" s="1549"/>
      <c r="P976" s="1549"/>
      <c r="Q976" s="1549"/>
      <c r="R976" s="1549"/>
      <c r="S976" s="1549"/>
      <c r="T976" s="1549"/>
      <c r="U976" s="1549"/>
      <c r="V976" s="1549"/>
      <c r="W976" s="1549"/>
      <c r="X976" s="1549"/>
      <c r="Y976" s="1549"/>
      <c r="Z976" s="1549"/>
      <c r="AA976" s="1549"/>
      <c r="AB976" s="1549"/>
      <c r="AC976" s="1549"/>
      <c r="AD976" s="1549"/>
      <c r="AE976" s="1549"/>
      <c r="AF976" s="1549"/>
      <c r="AG976" s="1549"/>
      <c r="AH976" s="1549"/>
    </row>
    <row r="977" spans="1:34" ht="12.75" customHeight="1" x14ac:dyDescent="0.2">
      <c r="A977" s="1549"/>
      <c r="B977" s="1549"/>
      <c r="C977" s="1549"/>
      <c r="D977" s="1549"/>
      <c r="E977" s="1549"/>
      <c r="F977" s="1549"/>
      <c r="G977" s="1549"/>
      <c r="H977" s="1549"/>
      <c r="I977" s="1549"/>
      <c r="J977" s="1549"/>
      <c r="K977" s="1549"/>
      <c r="L977" s="1549"/>
      <c r="M977" s="1549"/>
      <c r="N977" s="1549"/>
      <c r="O977" s="1549"/>
      <c r="P977" s="1549"/>
      <c r="Q977" s="1549"/>
      <c r="R977" s="1549"/>
      <c r="S977" s="1549"/>
      <c r="T977" s="1549"/>
      <c r="U977" s="1549"/>
      <c r="V977" s="1549"/>
      <c r="W977" s="1549"/>
      <c r="X977" s="1549"/>
      <c r="Y977" s="1549"/>
      <c r="Z977" s="1549"/>
      <c r="AA977" s="1549"/>
      <c r="AB977" s="1549"/>
      <c r="AC977" s="1549"/>
      <c r="AD977" s="1549"/>
      <c r="AE977" s="1549"/>
      <c r="AF977" s="1549"/>
      <c r="AG977" s="1549"/>
      <c r="AH977" s="1549"/>
    </row>
    <row r="978" spans="1:34" ht="12.75" customHeight="1" x14ac:dyDescent="0.2">
      <c r="A978" s="1549"/>
      <c r="B978" s="1549"/>
      <c r="C978" s="1549"/>
      <c r="D978" s="1549"/>
      <c r="E978" s="1549"/>
      <c r="F978" s="1549"/>
      <c r="G978" s="1549"/>
      <c r="H978" s="1549"/>
      <c r="I978" s="1549"/>
      <c r="J978" s="1549"/>
      <c r="K978" s="1549"/>
      <c r="L978" s="1549"/>
      <c r="M978" s="1549"/>
      <c r="N978" s="1549"/>
      <c r="O978" s="1549"/>
      <c r="P978" s="1549"/>
      <c r="Q978" s="1549"/>
      <c r="R978" s="1549"/>
      <c r="S978" s="1549"/>
      <c r="T978" s="1549"/>
      <c r="U978" s="1549"/>
      <c r="V978" s="1549"/>
      <c r="W978" s="1549"/>
      <c r="X978" s="1549"/>
      <c r="Y978" s="1549"/>
      <c r="Z978" s="1549"/>
      <c r="AA978" s="1549"/>
      <c r="AB978" s="1549"/>
      <c r="AC978" s="1549"/>
      <c r="AD978" s="1549"/>
      <c r="AE978" s="1549"/>
      <c r="AF978" s="1549"/>
      <c r="AG978" s="1549"/>
      <c r="AH978" s="1549"/>
    </row>
    <row r="979" spans="1:34" ht="12.75" customHeight="1" x14ac:dyDescent="0.2">
      <c r="A979" s="1549"/>
      <c r="B979" s="1549"/>
      <c r="C979" s="1549"/>
      <c r="D979" s="1549"/>
      <c r="E979" s="1549"/>
      <c r="F979" s="1549"/>
      <c r="G979" s="1549"/>
      <c r="H979" s="1549"/>
      <c r="I979" s="1549"/>
      <c r="J979" s="1549"/>
      <c r="K979" s="1549"/>
      <c r="L979" s="1549"/>
      <c r="M979" s="1549"/>
      <c r="N979" s="1549"/>
      <c r="O979" s="1549"/>
      <c r="P979" s="1549"/>
      <c r="Q979" s="1549"/>
      <c r="R979" s="1549"/>
      <c r="S979" s="1549"/>
      <c r="T979" s="1549"/>
      <c r="U979" s="1549"/>
      <c r="V979" s="1549"/>
      <c r="W979" s="1549"/>
      <c r="X979" s="1549"/>
      <c r="Y979" s="1549"/>
      <c r="Z979" s="1549"/>
      <c r="AA979" s="1549"/>
      <c r="AB979" s="1549"/>
      <c r="AC979" s="1549"/>
      <c r="AD979" s="1549"/>
      <c r="AE979" s="1549"/>
      <c r="AF979" s="1549"/>
      <c r="AG979" s="1549"/>
      <c r="AH979" s="1549"/>
    </row>
    <row r="980" spans="1:34" ht="12.75" customHeight="1" x14ac:dyDescent="0.2">
      <c r="A980" s="1549"/>
      <c r="B980" s="1549"/>
      <c r="C980" s="1549"/>
      <c r="D980" s="1549"/>
      <c r="E980" s="1549"/>
      <c r="F980" s="1549"/>
      <c r="G980" s="1549"/>
      <c r="H980" s="1549"/>
      <c r="I980" s="1549"/>
      <c r="J980" s="1549"/>
      <c r="K980" s="1549"/>
      <c r="L980" s="1549"/>
      <c r="M980" s="1549"/>
      <c r="N980" s="1549"/>
      <c r="O980" s="1549"/>
      <c r="P980" s="1549"/>
      <c r="Q980" s="1549"/>
      <c r="R980" s="1549"/>
      <c r="S980" s="1549"/>
      <c r="T980" s="1549"/>
      <c r="U980" s="1549"/>
      <c r="V980" s="1549"/>
      <c r="W980" s="1549"/>
      <c r="X980" s="1549"/>
      <c r="Y980" s="1549"/>
      <c r="Z980" s="1549"/>
      <c r="AA980" s="1549"/>
      <c r="AB980" s="1549"/>
      <c r="AC980" s="1549"/>
      <c r="AD980" s="1549"/>
      <c r="AE980" s="1549"/>
      <c r="AF980" s="1549"/>
      <c r="AG980" s="1549"/>
      <c r="AH980" s="1549"/>
    </row>
    <row r="981" spans="1:34" ht="12.75" customHeight="1" x14ac:dyDescent="0.2">
      <c r="A981" s="1549"/>
      <c r="B981" s="1549"/>
      <c r="C981" s="1549"/>
      <c r="D981" s="1549"/>
      <c r="E981" s="1549"/>
      <c r="F981" s="1549"/>
      <c r="G981" s="1549"/>
      <c r="H981" s="1549"/>
      <c r="I981" s="1549"/>
      <c r="J981" s="1549"/>
      <c r="K981" s="1549"/>
      <c r="L981" s="1549"/>
      <c r="M981" s="1549"/>
      <c r="N981" s="1549"/>
      <c r="O981" s="1549"/>
      <c r="P981" s="1549"/>
      <c r="Q981" s="1549"/>
      <c r="R981" s="1549"/>
      <c r="S981" s="1549"/>
      <c r="T981" s="1549"/>
      <c r="U981" s="1549"/>
      <c r="V981" s="1549"/>
      <c r="W981" s="1549"/>
      <c r="X981" s="1549"/>
      <c r="Y981" s="1549"/>
      <c r="Z981" s="1549"/>
      <c r="AA981" s="1549"/>
      <c r="AB981" s="1549"/>
      <c r="AC981" s="1549"/>
      <c r="AD981" s="1549"/>
      <c r="AE981" s="1549"/>
      <c r="AF981" s="1549"/>
      <c r="AG981" s="1549"/>
      <c r="AH981" s="1549"/>
    </row>
    <row r="982" spans="1:34" ht="12.75" customHeight="1" x14ac:dyDescent="0.2">
      <c r="A982" s="1549"/>
      <c r="B982" s="1549"/>
      <c r="C982" s="1549"/>
      <c r="D982" s="1549"/>
      <c r="E982" s="1549"/>
      <c r="F982" s="1549"/>
      <c r="G982" s="1549"/>
      <c r="H982" s="1549"/>
      <c r="I982" s="1549"/>
      <c r="J982" s="1549"/>
      <c r="K982" s="1549"/>
      <c r="L982" s="1549"/>
      <c r="M982" s="1549"/>
      <c r="N982" s="1549"/>
      <c r="O982" s="1549"/>
      <c r="P982" s="1549"/>
      <c r="Q982" s="1549"/>
      <c r="R982" s="1549"/>
      <c r="S982" s="1549"/>
      <c r="T982" s="1549"/>
      <c r="U982" s="1549"/>
      <c r="V982" s="1549"/>
      <c r="W982" s="1549"/>
      <c r="X982" s="1549"/>
      <c r="Y982" s="1549"/>
      <c r="Z982" s="1549"/>
      <c r="AA982" s="1549"/>
      <c r="AB982" s="1549"/>
      <c r="AC982" s="1549"/>
      <c r="AD982" s="1549"/>
      <c r="AE982" s="1549"/>
      <c r="AF982" s="1549"/>
      <c r="AG982" s="1549"/>
      <c r="AH982" s="1549"/>
    </row>
    <row r="983" spans="1:34" ht="12.75" customHeight="1" x14ac:dyDescent="0.2">
      <c r="A983" s="1549"/>
      <c r="B983" s="1549"/>
      <c r="C983" s="1549"/>
      <c r="D983" s="1549"/>
      <c r="E983" s="1549"/>
      <c r="F983" s="1549"/>
      <c r="G983" s="1549"/>
      <c r="H983" s="1549"/>
      <c r="I983" s="1549"/>
      <c r="J983" s="1549"/>
      <c r="K983" s="1549"/>
      <c r="L983" s="1549"/>
      <c r="M983" s="1549"/>
      <c r="N983" s="1549"/>
      <c r="O983" s="1549"/>
      <c r="P983" s="1549"/>
      <c r="Q983" s="1549"/>
      <c r="R983" s="1549"/>
      <c r="S983" s="1549"/>
      <c r="T983" s="1549"/>
      <c r="U983" s="1549"/>
      <c r="V983" s="1549"/>
      <c r="W983" s="1549"/>
      <c r="X983" s="1549"/>
      <c r="Y983" s="1549"/>
      <c r="Z983" s="1549"/>
      <c r="AA983" s="1549"/>
      <c r="AB983" s="1549"/>
      <c r="AC983" s="1549"/>
      <c r="AD983" s="1549"/>
      <c r="AE983" s="1549"/>
      <c r="AF983" s="1549"/>
      <c r="AG983" s="1549"/>
      <c r="AH983" s="1549"/>
    </row>
    <row r="984" spans="1:34" ht="12.75" customHeight="1" x14ac:dyDescent="0.2">
      <c r="A984" s="1549"/>
      <c r="B984" s="1549"/>
      <c r="C984" s="1549"/>
      <c r="D984" s="1549"/>
      <c r="E984" s="1549"/>
      <c r="F984" s="1549"/>
      <c r="G984" s="1549"/>
      <c r="H984" s="1549"/>
      <c r="I984" s="1549"/>
      <c r="J984" s="1549"/>
      <c r="K984" s="1549"/>
      <c r="L984" s="1549"/>
      <c r="M984" s="1549"/>
      <c r="N984" s="1549"/>
      <c r="O984" s="1549"/>
      <c r="P984" s="1549"/>
      <c r="Q984" s="1549"/>
      <c r="R984" s="1549"/>
      <c r="S984" s="1549"/>
      <c r="T984" s="1549"/>
      <c r="U984" s="1549"/>
      <c r="V984" s="1549"/>
      <c r="W984" s="1549"/>
      <c r="X984" s="1549"/>
      <c r="Y984" s="1549"/>
      <c r="Z984" s="1549"/>
      <c r="AA984" s="1549"/>
      <c r="AB984" s="1549"/>
      <c r="AC984" s="1549"/>
      <c r="AD984" s="1549"/>
      <c r="AE984" s="1549"/>
      <c r="AF984" s="1549"/>
      <c r="AG984" s="1549"/>
      <c r="AH984" s="1549"/>
    </row>
    <row r="985" spans="1:34" ht="12.75" customHeight="1" x14ac:dyDescent="0.2">
      <c r="A985" s="1549"/>
      <c r="B985" s="1549"/>
      <c r="C985" s="1549"/>
      <c r="D985" s="1549"/>
      <c r="E985" s="1549"/>
      <c r="F985" s="1549"/>
      <c r="G985" s="1549"/>
      <c r="H985" s="1549"/>
      <c r="I985" s="1549"/>
      <c r="J985" s="1549"/>
      <c r="K985" s="1549"/>
      <c r="L985" s="1549"/>
      <c r="M985" s="1549"/>
      <c r="N985" s="1549"/>
      <c r="O985" s="1549"/>
      <c r="P985" s="1549"/>
      <c r="Q985" s="1549"/>
      <c r="R985" s="1549"/>
      <c r="S985" s="1549"/>
      <c r="T985" s="1549"/>
      <c r="U985" s="1549"/>
      <c r="V985" s="1549"/>
      <c r="W985" s="1549"/>
      <c r="X985" s="1549"/>
      <c r="Y985" s="1549"/>
      <c r="Z985" s="1549"/>
      <c r="AA985" s="1549"/>
      <c r="AB985" s="1549"/>
      <c r="AC985" s="1549"/>
      <c r="AD985" s="1549"/>
      <c r="AE985" s="1549"/>
      <c r="AF985" s="1549"/>
      <c r="AG985" s="1549"/>
      <c r="AH985" s="1549"/>
    </row>
    <row r="986" spans="1:34" ht="12.75" customHeight="1" x14ac:dyDescent="0.2">
      <c r="A986" s="1549"/>
      <c r="B986" s="1549"/>
      <c r="C986" s="1549"/>
      <c r="D986" s="1549"/>
      <c r="E986" s="1549"/>
      <c r="F986" s="1549"/>
      <c r="G986" s="1549"/>
      <c r="H986" s="1549"/>
      <c r="I986" s="1549"/>
      <c r="J986" s="1549"/>
      <c r="K986" s="1549"/>
      <c r="L986" s="1549"/>
      <c r="M986" s="1549"/>
      <c r="N986" s="1549"/>
      <c r="O986" s="1549"/>
      <c r="P986" s="1549"/>
      <c r="Q986" s="1549"/>
      <c r="R986" s="1549"/>
      <c r="S986" s="1549"/>
      <c r="T986" s="1549"/>
      <c r="U986" s="1549"/>
      <c r="V986" s="1549"/>
      <c r="W986" s="1549"/>
      <c r="X986" s="1549"/>
      <c r="Y986" s="1549"/>
      <c r="Z986" s="1549"/>
      <c r="AA986" s="1549"/>
      <c r="AB986" s="1549"/>
      <c r="AC986" s="1549"/>
      <c r="AD986" s="1549"/>
      <c r="AE986" s="1549"/>
      <c r="AF986" s="1549"/>
      <c r="AG986" s="1549"/>
      <c r="AH986" s="1549"/>
    </row>
    <row r="987" spans="1:34" ht="12.75" customHeight="1" x14ac:dyDescent="0.2">
      <c r="A987" s="1549"/>
      <c r="B987" s="1549"/>
      <c r="C987" s="1549"/>
      <c r="D987" s="1549"/>
      <c r="E987" s="1549"/>
      <c r="F987" s="1549"/>
      <c r="G987" s="1549"/>
      <c r="H987" s="1549"/>
      <c r="I987" s="1549"/>
      <c r="J987" s="1549"/>
      <c r="K987" s="1549"/>
      <c r="L987" s="1549"/>
      <c r="M987" s="1549"/>
      <c r="N987" s="1549"/>
      <c r="O987" s="1549"/>
      <c r="P987" s="1549"/>
      <c r="Q987" s="1549"/>
      <c r="R987" s="1549"/>
      <c r="S987" s="1549"/>
      <c r="T987" s="1549"/>
      <c r="U987" s="1549"/>
      <c r="V987" s="1549"/>
      <c r="W987" s="1549"/>
      <c r="X987" s="1549"/>
      <c r="Y987" s="1549"/>
      <c r="Z987" s="1549"/>
      <c r="AA987" s="1549"/>
      <c r="AB987" s="1549"/>
      <c r="AC987" s="1549"/>
      <c r="AD987" s="1549"/>
      <c r="AE987" s="1549"/>
      <c r="AF987" s="1549"/>
      <c r="AG987" s="1549"/>
      <c r="AH987" s="1549"/>
    </row>
    <row r="988" spans="1:34" ht="12.75" customHeight="1" x14ac:dyDescent="0.2">
      <c r="A988" s="1549"/>
      <c r="B988" s="1549"/>
      <c r="C988" s="1549"/>
      <c r="D988" s="1549"/>
      <c r="E988" s="1549"/>
      <c r="F988" s="1549"/>
      <c r="G988" s="1549"/>
      <c r="H988" s="1549"/>
      <c r="I988" s="1549"/>
      <c r="J988" s="1549"/>
      <c r="K988" s="1549"/>
      <c r="L988" s="1549"/>
      <c r="M988" s="1549"/>
      <c r="N988" s="1549"/>
      <c r="O988" s="1549"/>
      <c r="P988" s="1549"/>
      <c r="Q988" s="1549"/>
      <c r="R988" s="1549"/>
      <c r="S988" s="1549"/>
      <c r="T988" s="1549"/>
      <c r="U988" s="1549"/>
      <c r="V988" s="1549"/>
      <c r="W988" s="1549"/>
      <c r="X988" s="1549"/>
      <c r="Y988" s="1549"/>
      <c r="Z988" s="1549"/>
      <c r="AA988" s="1549"/>
      <c r="AB988" s="1549"/>
      <c r="AC988" s="1549"/>
      <c r="AD988" s="1549"/>
      <c r="AE988" s="1549"/>
      <c r="AF988" s="1549"/>
      <c r="AG988" s="1549"/>
      <c r="AH988" s="1549"/>
    </row>
    <row r="989" spans="1:34" ht="12.75" customHeight="1" x14ac:dyDescent="0.2">
      <c r="A989" s="1549"/>
      <c r="B989" s="1549"/>
      <c r="C989" s="1549"/>
      <c r="D989" s="1549"/>
      <c r="E989" s="1549"/>
      <c r="F989" s="1549"/>
      <c r="G989" s="1549"/>
      <c r="H989" s="1549"/>
      <c r="I989" s="1549"/>
      <c r="J989" s="1549"/>
      <c r="K989" s="1549"/>
      <c r="L989" s="1549"/>
      <c r="M989" s="1549"/>
      <c r="N989" s="1549"/>
      <c r="O989" s="1549"/>
      <c r="P989" s="1549"/>
      <c r="Q989" s="1549"/>
      <c r="R989" s="1549"/>
      <c r="S989" s="1549"/>
      <c r="T989" s="1549"/>
      <c r="U989" s="1549"/>
      <c r="V989" s="1549"/>
      <c r="W989" s="1549"/>
      <c r="X989" s="1549"/>
      <c r="Y989" s="1549"/>
      <c r="Z989" s="1549"/>
      <c r="AA989" s="1549"/>
      <c r="AB989" s="1549"/>
      <c r="AC989" s="1549"/>
      <c r="AD989" s="1549"/>
      <c r="AE989" s="1549"/>
      <c r="AF989" s="1549"/>
      <c r="AG989" s="1549"/>
      <c r="AH989" s="1549"/>
    </row>
    <row r="990" spans="1:34" ht="12.75" customHeight="1" x14ac:dyDescent="0.2">
      <c r="A990" s="1549"/>
      <c r="B990" s="1549"/>
      <c r="C990" s="1549"/>
      <c r="D990" s="1549"/>
      <c r="E990" s="1549"/>
      <c r="F990" s="1549"/>
      <c r="G990" s="1549"/>
      <c r="H990" s="1549"/>
      <c r="I990" s="1549"/>
      <c r="J990" s="1549"/>
      <c r="K990" s="1549"/>
      <c r="L990" s="1549"/>
      <c r="M990" s="1549"/>
      <c r="N990" s="1549"/>
      <c r="O990" s="1549"/>
      <c r="P990" s="1549"/>
      <c r="Q990" s="1549"/>
      <c r="R990" s="1549"/>
      <c r="S990" s="1549"/>
      <c r="T990" s="1549"/>
      <c r="U990" s="1549"/>
      <c r="V990" s="1549"/>
      <c r="W990" s="1549"/>
      <c r="X990" s="1549"/>
      <c r="Y990" s="1549"/>
      <c r="Z990" s="1549"/>
      <c r="AA990" s="1549"/>
      <c r="AB990" s="1549"/>
      <c r="AC990" s="1549"/>
      <c r="AD990" s="1549"/>
      <c r="AE990" s="1549"/>
      <c r="AF990" s="1549"/>
      <c r="AG990" s="1549"/>
      <c r="AH990" s="1549"/>
    </row>
    <row r="991" spans="1:34" ht="12.75" customHeight="1" x14ac:dyDescent="0.2">
      <c r="A991" s="1549"/>
      <c r="B991" s="1549"/>
      <c r="C991" s="1549"/>
      <c r="D991" s="1549"/>
      <c r="E991" s="1549"/>
      <c r="F991" s="1549"/>
      <c r="G991" s="1549"/>
      <c r="H991" s="1549"/>
      <c r="I991" s="1549"/>
      <c r="J991" s="1549"/>
      <c r="K991" s="1549"/>
      <c r="L991" s="1549"/>
      <c r="M991" s="1549"/>
      <c r="N991" s="1549"/>
      <c r="O991" s="1549"/>
      <c r="P991" s="1549"/>
      <c r="Q991" s="1549"/>
      <c r="R991" s="1549"/>
      <c r="S991" s="1549"/>
      <c r="T991" s="1549"/>
      <c r="U991" s="1549"/>
      <c r="V991" s="1549"/>
      <c r="W991" s="1549"/>
      <c r="X991" s="1549"/>
      <c r="Y991" s="1549"/>
      <c r="Z991" s="1549"/>
      <c r="AA991" s="1549"/>
      <c r="AB991" s="1549"/>
      <c r="AC991" s="1549"/>
      <c r="AD991" s="1549"/>
      <c r="AE991" s="1549"/>
      <c r="AF991" s="1549"/>
      <c r="AG991" s="1549"/>
      <c r="AH991" s="1549"/>
    </row>
    <row r="992" spans="1:34" ht="12.75" customHeight="1" x14ac:dyDescent="0.2">
      <c r="A992" s="1549"/>
      <c r="B992" s="1549"/>
      <c r="C992" s="1549"/>
      <c r="D992" s="1549"/>
      <c r="E992" s="1549"/>
      <c r="F992" s="1549"/>
      <c r="G992" s="1549"/>
      <c r="H992" s="1549"/>
      <c r="I992" s="1549"/>
      <c r="J992" s="1549"/>
      <c r="K992" s="1549"/>
      <c r="L992" s="1549"/>
      <c r="M992" s="1549"/>
      <c r="N992" s="1549"/>
      <c r="O992" s="1549"/>
      <c r="P992" s="1549"/>
      <c r="Q992" s="1549"/>
      <c r="R992" s="1549"/>
      <c r="S992" s="1549"/>
      <c r="T992" s="1549"/>
      <c r="U992" s="1549"/>
      <c r="V992" s="1549"/>
      <c r="W992" s="1549"/>
      <c r="X992" s="1549"/>
      <c r="Y992" s="1549"/>
      <c r="Z992" s="1549"/>
      <c r="AA992" s="1549"/>
      <c r="AB992" s="1549"/>
      <c r="AC992" s="1549"/>
      <c r="AD992" s="1549"/>
      <c r="AE992" s="1549"/>
      <c r="AF992" s="1549"/>
      <c r="AG992" s="1549"/>
      <c r="AH992" s="1549"/>
    </row>
    <row r="993" spans="1:34" ht="12.75" customHeight="1" x14ac:dyDescent="0.2">
      <c r="A993" s="1549"/>
      <c r="B993" s="1549"/>
      <c r="C993" s="1549"/>
      <c r="D993" s="1549"/>
      <c r="E993" s="1549"/>
      <c r="F993" s="1549"/>
      <c r="G993" s="1549"/>
      <c r="H993" s="1549"/>
      <c r="I993" s="1549"/>
      <c r="J993" s="1549"/>
      <c r="K993" s="1549"/>
      <c r="L993" s="1549"/>
      <c r="M993" s="1549"/>
      <c r="N993" s="1549"/>
      <c r="O993" s="1549"/>
      <c r="P993" s="1549"/>
      <c r="Q993" s="1549"/>
      <c r="R993" s="1549"/>
      <c r="S993" s="1549"/>
      <c r="T993" s="1549"/>
      <c r="U993" s="1549"/>
      <c r="V993" s="1549"/>
      <c r="W993" s="1549"/>
      <c r="X993" s="1549"/>
      <c r="Y993" s="1549"/>
      <c r="Z993" s="1549"/>
      <c r="AA993" s="1549"/>
      <c r="AB993" s="1549"/>
      <c r="AC993" s="1549"/>
      <c r="AD993" s="1549"/>
      <c r="AE993" s="1549"/>
      <c r="AF993" s="1549"/>
      <c r="AG993" s="1549"/>
      <c r="AH993" s="1549"/>
    </row>
    <row r="994" spans="1:34" ht="12.75" customHeight="1" x14ac:dyDescent="0.2">
      <c r="A994" s="1549"/>
      <c r="B994" s="1549"/>
      <c r="C994" s="1549"/>
      <c r="D994" s="1549"/>
      <c r="E994" s="1549"/>
      <c r="F994" s="1549"/>
      <c r="G994" s="1549"/>
      <c r="H994" s="1549"/>
      <c r="I994" s="1549"/>
      <c r="J994" s="1549"/>
      <c r="K994" s="1549"/>
      <c r="L994" s="1549"/>
      <c r="M994" s="1549"/>
      <c r="N994" s="1549"/>
      <c r="O994" s="1549"/>
      <c r="P994" s="1549"/>
      <c r="Q994" s="1549"/>
      <c r="R994" s="1549"/>
      <c r="S994" s="1549"/>
      <c r="T994" s="1549"/>
      <c r="U994" s="1549"/>
      <c r="V994" s="1549"/>
      <c r="W994" s="1549"/>
      <c r="X994" s="1549"/>
      <c r="Y994" s="1549"/>
      <c r="Z994" s="1549"/>
      <c r="AA994" s="1549"/>
      <c r="AB994" s="1549"/>
      <c r="AC994" s="1549"/>
      <c r="AD994" s="1549"/>
      <c r="AE994" s="1549"/>
      <c r="AF994" s="1549"/>
      <c r="AG994" s="1549"/>
      <c r="AH994" s="1549"/>
    </row>
    <row r="995" spans="1:34" ht="12.75" customHeight="1" x14ac:dyDescent="0.2">
      <c r="A995" s="1549"/>
      <c r="B995" s="1549"/>
      <c r="C995" s="1549"/>
      <c r="D995" s="1549"/>
      <c r="E995" s="1549"/>
      <c r="F995" s="1549"/>
      <c r="G995" s="1549"/>
      <c r="H995" s="1549"/>
      <c r="I995" s="1549"/>
      <c r="J995" s="1549"/>
      <c r="K995" s="1549"/>
      <c r="L995" s="1549"/>
      <c r="M995" s="1549"/>
      <c r="N995" s="1549"/>
      <c r="O995" s="1549"/>
      <c r="P995" s="1549"/>
      <c r="Q995" s="1549"/>
      <c r="R995" s="1549"/>
      <c r="S995" s="1549"/>
      <c r="T995" s="1549"/>
      <c r="U995" s="1549"/>
      <c r="V995" s="1549"/>
      <c r="W995" s="1549"/>
      <c r="X995" s="1549"/>
      <c r="Y995" s="1549"/>
      <c r="Z995" s="1549"/>
      <c r="AA995" s="1549"/>
      <c r="AB995" s="1549"/>
      <c r="AC995" s="1549"/>
      <c r="AD995" s="1549"/>
      <c r="AE995" s="1549"/>
      <c r="AF995" s="1549"/>
      <c r="AG995" s="1549"/>
      <c r="AH995" s="1549"/>
    </row>
    <row r="996" spans="1:34" ht="12.75" customHeight="1" x14ac:dyDescent="0.2">
      <c r="A996" s="1549"/>
      <c r="B996" s="1549"/>
      <c r="C996" s="1549"/>
      <c r="D996" s="1549"/>
      <c r="E996" s="1549"/>
      <c r="F996" s="1549"/>
      <c r="G996" s="1549"/>
      <c r="H996" s="1549"/>
      <c r="I996" s="1549"/>
      <c r="J996" s="1549"/>
      <c r="K996" s="1549"/>
      <c r="L996" s="1549"/>
      <c r="M996" s="1549"/>
      <c r="N996" s="1549"/>
      <c r="O996" s="1549"/>
      <c r="P996" s="1549"/>
      <c r="Q996" s="1549"/>
      <c r="R996" s="1549"/>
      <c r="S996" s="1549"/>
      <c r="T996" s="1549"/>
      <c r="U996" s="1549"/>
      <c r="V996" s="1549"/>
      <c r="W996" s="1549"/>
      <c r="X996" s="1549"/>
      <c r="Y996" s="1549"/>
      <c r="Z996" s="1549"/>
      <c r="AA996" s="1549"/>
      <c r="AB996" s="1549"/>
      <c r="AC996" s="1549"/>
      <c r="AD996" s="1549"/>
      <c r="AE996" s="1549"/>
      <c r="AF996" s="1549"/>
      <c r="AG996" s="1549"/>
      <c r="AH996" s="1549"/>
    </row>
    <row r="997" spans="1:34" ht="12.75" customHeight="1" x14ac:dyDescent="0.2">
      <c r="A997" s="1549"/>
      <c r="B997" s="1549"/>
      <c r="C997" s="1549"/>
      <c r="D997" s="1549"/>
      <c r="E997" s="1549"/>
      <c r="F997" s="1549"/>
      <c r="G997" s="1549"/>
      <c r="H997" s="1549"/>
      <c r="I997" s="1549"/>
      <c r="J997" s="1549"/>
      <c r="K997" s="1549"/>
      <c r="L997" s="1549"/>
      <c r="M997" s="1549"/>
      <c r="N997" s="1549"/>
      <c r="O997" s="1549"/>
      <c r="P997" s="1549"/>
      <c r="Q997" s="1549"/>
      <c r="R997" s="1549"/>
      <c r="S997" s="1549"/>
      <c r="T997" s="1549"/>
      <c r="U997" s="1549"/>
      <c r="V997" s="1549"/>
      <c r="W997" s="1549"/>
      <c r="X997" s="1549"/>
      <c r="Y997" s="1549"/>
      <c r="Z997" s="1549"/>
      <c r="AA997" s="1549"/>
      <c r="AB997" s="1549"/>
      <c r="AC997" s="1549"/>
      <c r="AD997" s="1549"/>
      <c r="AE997" s="1549"/>
      <c r="AF997" s="1549"/>
      <c r="AG997" s="1549"/>
      <c r="AH997" s="1549"/>
    </row>
    <row r="998" spans="1:34" ht="12.75" customHeight="1" x14ac:dyDescent="0.2">
      <c r="A998" s="1549"/>
      <c r="B998" s="1549"/>
      <c r="C998" s="1549"/>
      <c r="D998" s="1549"/>
      <c r="E998" s="1549"/>
      <c r="F998" s="1549"/>
      <c r="G998" s="1549"/>
      <c r="H998" s="1549"/>
      <c r="I998" s="1549"/>
      <c r="J998" s="1549"/>
      <c r="K998" s="1549"/>
      <c r="L998" s="1549"/>
      <c r="M998" s="1549"/>
      <c r="N998" s="1549"/>
      <c r="O998" s="1549"/>
      <c r="P998" s="1549"/>
      <c r="Q998" s="1549"/>
      <c r="R998" s="1549"/>
      <c r="S998" s="1549"/>
      <c r="T998" s="1549"/>
      <c r="U998" s="1549"/>
      <c r="V998" s="1549"/>
      <c r="W998" s="1549"/>
      <c r="X998" s="1549"/>
      <c r="Y998" s="1549"/>
      <c r="Z998" s="1549"/>
      <c r="AA998" s="1549"/>
      <c r="AB998" s="1549"/>
      <c r="AC998" s="1549"/>
      <c r="AD998" s="1549"/>
      <c r="AE998" s="1549"/>
      <c r="AF998" s="1549"/>
      <c r="AG998" s="1549"/>
      <c r="AH998" s="1549"/>
    </row>
    <row r="999" spans="1:34" ht="12.75" customHeight="1" x14ac:dyDescent="0.2">
      <c r="A999" s="1549"/>
      <c r="B999" s="1549"/>
      <c r="C999" s="1549"/>
      <c r="D999" s="1549"/>
      <c r="E999" s="1549"/>
      <c r="F999" s="1549"/>
      <c r="G999" s="1549"/>
      <c r="H999" s="1549"/>
      <c r="I999" s="1549"/>
      <c r="J999" s="1549"/>
      <c r="K999" s="1549"/>
      <c r="L999" s="1549"/>
      <c r="M999" s="1549"/>
      <c r="N999" s="1549"/>
      <c r="O999" s="1549"/>
      <c r="P999" s="1549"/>
      <c r="Q999" s="1549"/>
      <c r="R999" s="1549"/>
      <c r="S999" s="1549"/>
      <c r="T999" s="1549"/>
      <c r="U999" s="1549"/>
      <c r="V999" s="1549"/>
      <c r="W999" s="1549"/>
      <c r="X999" s="1549"/>
      <c r="Y999" s="1549"/>
      <c r="Z999" s="1549"/>
      <c r="AA999" s="1549"/>
      <c r="AB999" s="1549"/>
      <c r="AC999" s="1549"/>
      <c r="AD999" s="1549"/>
      <c r="AE999" s="1549"/>
      <c r="AF999" s="1549"/>
      <c r="AG999" s="1549"/>
      <c r="AH999" s="1549"/>
    </row>
    <row r="1000" spans="1:34" ht="12.75" customHeight="1" x14ac:dyDescent="0.2">
      <c r="A1000" s="1549"/>
      <c r="B1000" s="1549"/>
      <c r="C1000" s="1549"/>
      <c r="D1000" s="1549"/>
      <c r="E1000" s="1549"/>
      <c r="F1000" s="1549"/>
      <c r="G1000" s="1549"/>
      <c r="H1000" s="1549"/>
      <c r="I1000" s="1549"/>
      <c r="J1000" s="1549"/>
      <c r="K1000" s="1549"/>
      <c r="L1000" s="1549"/>
      <c r="M1000" s="1549"/>
      <c r="N1000" s="1549"/>
      <c r="O1000" s="1549"/>
      <c r="P1000" s="1549"/>
      <c r="Q1000" s="1549"/>
      <c r="R1000" s="1549"/>
      <c r="S1000" s="1549"/>
      <c r="T1000" s="1549"/>
      <c r="U1000" s="1549"/>
      <c r="V1000" s="1549"/>
      <c r="W1000" s="1549"/>
      <c r="X1000" s="1549"/>
      <c r="Y1000" s="1549"/>
      <c r="Z1000" s="1549"/>
      <c r="AA1000" s="1549"/>
      <c r="AB1000" s="1549"/>
      <c r="AC1000" s="1549"/>
      <c r="AD1000" s="1549"/>
      <c r="AE1000" s="1549"/>
      <c r="AF1000" s="1549"/>
      <c r="AG1000" s="1549"/>
      <c r="AH1000" s="1549"/>
    </row>
  </sheetData>
  <printOptions horizontalCentered="1"/>
  <pageMargins left="0.3" right="0.3" top="0.61" bottom="0.37" header="0" footer="0"/>
  <pageSetup paperSize="9" pageOrder="overThenDown" orientation="portrai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96C95-B3B5-4B32-A700-EB2119C9F7D0}">
  <sheetPr>
    <outlinePr summaryBelow="0" summaryRight="0"/>
  </sheetPr>
  <dimension ref="A1:Z1000"/>
  <sheetViews>
    <sheetView workbookViewId="0">
      <selection activeCell="O1" sqref="O1"/>
    </sheetView>
  </sheetViews>
  <sheetFormatPr defaultColWidth="14.42578125" defaultRowHeight="15" customHeight="1" x14ac:dyDescent="0.2"/>
  <cols>
    <col min="1" max="3" width="1.7109375" style="1550" customWidth="1"/>
    <col min="4" max="4" width="30.7109375" style="1550" customWidth="1"/>
    <col min="5" max="5" width="7.28515625" style="1550" customWidth="1"/>
    <col min="6" max="6" width="12.7109375" style="1550" customWidth="1"/>
    <col min="7" max="7" width="9.140625" style="1550" customWidth="1"/>
    <col min="8" max="8" width="30.7109375" style="1550" customWidth="1"/>
    <col min="9" max="9" width="7.28515625" style="1550" customWidth="1"/>
    <col min="10" max="10" width="12.7109375" style="1550" customWidth="1"/>
    <col min="11" max="12" width="1.7109375" style="1550" customWidth="1"/>
    <col min="13" max="14" width="9.140625" style="1550" customWidth="1"/>
    <col min="15" max="26" width="8.7109375" style="1550" customWidth="1"/>
    <col min="27" max="16384" width="14.42578125" style="1550"/>
  </cols>
  <sheetData>
    <row r="1" spans="1:26" ht="6.75" customHeight="1" thickBot="1" x14ac:dyDescent="0.25">
      <c r="B1" s="1549"/>
      <c r="C1" s="1549"/>
      <c r="D1" s="1558"/>
      <c r="E1" s="1549"/>
      <c r="F1" s="1549"/>
      <c r="G1" s="1549"/>
      <c r="H1" s="1549"/>
      <c r="I1" s="1549"/>
      <c r="J1" s="1549"/>
      <c r="K1" s="1549"/>
      <c r="L1" s="1549"/>
      <c r="M1" s="1549"/>
      <c r="N1" s="1549"/>
      <c r="O1" s="1549"/>
      <c r="P1" s="1549"/>
      <c r="Q1" s="1549"/>
      <c r="R1" s="1549"/>
      <c r="S1" s="1549"/>
      <c r="T1" s="1549"/>
      <c r="U1" s="1549"/>
      <c r="V1" s="1549"/>
      <c r="W1" s="1549"/>
      <c r="X1" s="1549"/>
      <c r="Y1" s="1549"/>
      <c r="Z1" s="1549"/>
    </row>
    <row r="2" spans="1:26" ht="21" customHeight="1" thickBot="1" x14ac:dyDescent="0.3">
      <c r="A2" s="1549"/>
      <c r="B2" s="2675" t="s">
        <v>3627</v>
      </c>
      <c r="C2" s="2674"/>
      <c r="D2" s="2674"/>
      <c r="E2" s="2674"/>
      <c r="F2" s="2674"/>
      <c r="G2" s="2674"/>
      <c r="H2" s="2674"/>
      <c r="I2" s="2674"/>
      <c r="J2" s="2674"/>
      <c r="K2" s="2674"/>
      <c r="L2" s="2647"/>
      <c r="M2" s="1559"/>
      <c r="N2" s="1559"/>
      <c r="O2" s="1549"/>
      <c r="P2" s="1549"/>
      <c r="Q2" s="1549"/>
      <c r="R2" s="1549"/>
      <c r="S2" s="1549"/>
      <c r="T2" s="1549"/>
      <c r="U2" s="1549"/>
      <c r="V2" s="1549"/>
      <c r="W2" s="1549"/>
      <c r="X2" s="1549"/>
      <c r="Y2" s="1549"/>
      <c r="Z2" s="1549"/>
    </row>
    <row r="3" spans="1:26" ht="12.75" customHeight="1" x14ac:dyDescent="0.2">
      <c r="A3" s="1549"/>
      <c r="B3" s="1553"/>
      <c r="C3" s="1560"/>
      <c r="D3" s="1561"/>
      <c r="E3" s="1562"/>
      <c r="F3" s="1562"/>
      <c r="G3" s="1562"/>
      <c r="H3" s="1562"/>
      <c r="I3" s="1562"/>
      <c r="J3" s="1562"/>
      <c r="K3" s="1563"/>
      <c r="L3" s="1554"/>
      <c r="M3" s="1549"/>
      <c r="N3" s="1549"/>
      <c r="O3" s="1549"/>
      <c r="P3" s="1549"/>
      <c r="Q3" s="1549"/>
      <c r="R3" s="1549"/>
      <c r="S3" s="1549"/>
      <c r="T3" s="1549"/>
      <c r="U3" s="1549"/>
      <c r="V3" s="1549"/>
      <c r="W3" s="1549"/>
      <c r="X3" s="1549"/>
      <c r="Y3" s="1549"/>
      <c r="Z3" s="1549"/>
    </row>
    <row r="4" spans="1:26" ht="12.75" customHeight="1" x14ac:dyDescent="0.2">
      <c r="A4" s="1549"/>
      <c r="B4" s="1553"/>
      <c r="C4" s="1553"/>
      <c r="D4" s="1558"/>
      <c r="E4" s="1549"/>
      <c r="F4" s="1549"/>
      <c r="G4" s="1549"/>
      <c r="H4" s="1549"/>
      <c r="I4" s="1549"/>
      <c r="J4" s="1549"/>
      <c r="K4" s="1554"/>
      <c r="L4" s="1554"/>
      <c r="M4" s="1549"/>
      <c r="N4" s="1549"/>
      <c r="O4" s="1549"/>
      <c r="P4" s="1549"/>
      <c r="Q4" s="1549"/>
      <c r="R4" s="1549"/>
      <c r="S4" s="1549"/>
      <c r="T4" s="1549"/>
      <c r="U4" s="1549"/>
      <c r="V4" s="1549"/>
      <c r="W4" s="1549"/>
      <c r="X4" s="1549"/>
      <c r="Y4" s="1549"/>
      <c r="Z4" s="1549"/>
    </row>
    <row r="5" spans="1:26" ht="12.75" customHeight="1" x14ac:dyDescent="0.2">
      <c r="A5" s="1549"/>
      <c r="B5" s="1553"/>
      <c r="C5" s="1553"/>
      <c r="D5" s="1558"/>
      <c r="E5" s="1549"/>
      <c r="F5" s="1549"/>
      <c r="G5" s="1549"/>
      <c r="H5" s="1549"/>
      <c r="I5" s="1549"/>
      <c r="J5" s="1549"/>
      <c r="K5" s="1554"/>
      <c r="L5" s="1554"/>
      <c r="M5" s="1549"/>
      <c r="N5" s="1549"/>
      <c r="O5" s="1549"/>
      <c r="P5" s="1549"/>
      <c r="Q5" s="1549"/>
      <c r="R5" s="1549"/>
      <c r="S5" s="1549"/>
      <c r="T5" s="1549"/>
      <c r="U5" s="1549"/>
      <c r="V5" s="1549"/>
      <c r="W5" s="1549"/>
      <c r="X5" s="1549"/>
      <c r="Y5" s="1549"/>
      <c r="Z5" s="1549"/>
    </row>
    <row r="6" spans="1:26" ht="12.75" customHeight="1" x14ac:dyDescent="0.2">
      <c r="A6" s="1549"/>
      <c r="B6" s="1553"/>
      <c r="C6" s="1553"/>
      <c r="D6" s="1558"/>
      <c r="E6" s="1549"/>
      <c r="F6" s="1549"/>
      <c r="G6" s="1549"/>
      <c r="H6" s="1549"/>
      <c r="I6" s="1549"/>
      <c r="J6" s="1549"/>
      <c r="K6" s="1554"/>
      <c r="L6" s="1554"/>
      <c r="M6" s="1549"/>
      <c r="N6" s="1549"/>
      <c r="O6" s="1549"/>
      <c r="P6" s="1549"/>
      <c r="Q6" s="1549"/>
      <c r="R6" s="1549"/>
      <c r="S6" s="1549"/>
      <c r="T6" s="1549"/>
      <c r="U6" s="1549"/>
      <c r="V6" s="1549"/>
      <c r="W6" s="1549"/>
      <c r="X6" s="1549"/>
      <c r="Y6" s="1549"/>
      <c r="Z6" s="1549"/>
    </row>
    <row r="7" spans="1:26" ht="12.75" customHeight="1" x14ac:dyDescent="0.2">
      <c r="A7" s="1549"/>
      <c r="B7" s="1553"/>
      <c r="C7" s="1553"/>
      <c r="D7" s="1558"/>
      <c r="E7" s="1549"/>
      <c r="F7" s="1549"/>
      <c r="G7" s="1549"/>
      <c r="H7" s="1549"/>
      <c r="I7" s="1549"/>
      <c r="J7" s="1549"/>
      <c r="K7" s="1554"/>
      <c r="L7" s="1554"/>
      <c r="M7" s="1549"/>
      <c r="N7" s="1549"/>
      <c r="O7" s="1549"/>
      <c r="P7" s="1549"/>
      <c r="Q7" s="1549"/>
      <c r="R7" s="1549"/>
      <c r="S7" s="1549"/>
      <c r="T7" s="1549"/>
      <c r="U7" s="1549"/>
      <c r="V7" s="1549"/>
      <c r="W7" s="1549"/>
      <c r="X7" s="1549"/>
      <c r="Y7" s="1549"/>
      <c r="Z7" s="1549"/>
    </row>
    <row r="8" spans="1:26" ht="12.75" customHeight="1" x14ac:dyDescent="0.2">
      <c r="A8" s="1549"/>
      <c r="B8" s="1553"/>
      <c r="C8" s="1553"/>
      <c r="D8" s="1558"/>
      <c r="E8" s="1549"/>
      <c r="F8" s="1549"/>
      <c r="G8" s="1549"/>
      <c r="H8" s="1549"/>
      <c r="I8" s="1549"/>
      <c r="J8" s="1549"/>
      <c r="K8" s="1554"/>
      <c r="L8" s="1554"/>
      <c r="M8" s="1549"/>
      <c r="N8" s="1549"/>
      <c r="O8" s="1549"/>
      <c r="P8" s="1549"/>
      <c r="Q8" s="1549"/>
      <c r="R8" s="1549"/>
      <c r="S8" s="1549"/>
      <c r="T8" s="1549"/>
      <c r="U8" s="1549"/>
      <c r="V8" s="1549"/>
      <c r="W8" s="1549"/>
      <c r="X8" s="1549"/>
      <c r="Y8" s="1549"/>
      <c r="Z8" s="1549"/>
    </row>
    <row r="9" spans="1:26" ht="12.75" customHeight="1" x14ac:dyDescent="0.2">
      <c r="A9" s="1549"/>
      <c r="B9" s="1553"/>
      <c r="C9" s="1553"/>
      <c r="D9" s="1558"/>
      <c r="E9" s="1549"/>
      <c r="F9" s="1549"/>
      <c r="G9" s="1549"/>
      <c r="H9" s="1549"/>
      <c r="I9" s="1549"/>
      <c r="J9" s="1549"/>
      <c r="K9" s="1554"/>
      <c r="L9" s="1554"/>
      <c r="M9" s="1549"/>
      <c r="N9" s="1549"/>
      <c r="O9" s="1549"/>
      <c r="P9" s="1549"/>
      <c r="Q9" s="1549"/>
      <c r="R9" s="1549"/>
      <c r="S9" s="1549"/>
      <c r="T9" s="1549"/>
      <c r="U9" s="1549"/>
      <c r="V9" s="1549"/>
      <c r="W9" s="1549"/>
      <c r="X9" s="1549"/>
      <c r="Y9" s="1549"/>
      <c r="Z9" s="1549"/>
    </row>
    <row r="10" spans="1:26" ht="12.75" customHeight="1" x14ac:dyDescent="0.2">
      <c r="A10" s="1549"/>
      <c r="B10" s="1553"/>
      <c r="C10" s="1553"/>
      <c r="D10" s="1558"/>
      <c r="E10" s="1549"/>
      <c r="F10" s="1549"/>
      <c r="G10" s="1549"/>
      <c r="H10" s="1549"/>
      <c r="I10" s="1549"/>
      <c r="J10" s="1549"/>
      <c r="K10" s="1554"/>
      <c r="L10" s="1554"/>
      <c r="M10" s="1549"/>
      <c r="N10" s="1549"/>
      <c r="O10" s="1549"/>
      <c r="P10" s="1549"/>
      <c r="Q10" s="1549"/>
      <c r="R10" s="1549"/>
      <c r="S10" s="1549"/>
      <c r="T10" s="1549"/>
      <c r="U10" s="1549"/>
      <c r="V10" s="1549"/>
      <c r="W10" s="1549"/>
      <c r="X10" s="1549"/>
      <c r="Y10" s="1549"/>
      <c r="Z10" s="1549"/>
    </row>
    <row r="11" spans="1:26" ht="12.75" customHeight="1" x14ac:dyDescent="0.2">
      <c r="A11" s="1549"/>
      <c r="B11" s="1553"/>
      <c r="C11" s="1553"/>
      <c r="D11" s="1558"/>
      <c r="E11" s="1549"/>
      <c r="F11" s="1549"/>
      <c r="G11" s="1549"/>
      <c r="H11" s="1549"/>
      <c r="I11" s="1549"/>
      <c r="J11" s="1549"/>
      <c r="K11" s="1554"/>
      <c r="L11" s="1554"/>
      <c r="M11" s="1549"/>
      <c r="N11" s="1549"/>
      <c r="O11" s="1549"/>
      <c r="P11" s="1549"/>
      <c r="Q11" s="1549"/>
      <c r="R11" s="1549"/>
      <c r="S11" s="1549"/>
      <c r="T11" s="1549"/>
      <c r="U11" s="1549"/>
      <c r="V11" s="1549"/>
      <c r="W11" s="1549"/>
      <c r="X11" s="1549"/>
      <c r="Y11" s="1549"/>
      <c r="Z11" s="1549"/>
    </row>
    <row r="12" spans="1:26" ht="12.75" customHeight="1" x14ac:dyDescent="0.2">
      <c r="A12" s="1549"/>
      <c r="B12" s="1553"/>
      <c r="C12" s="1553"/>
      <c r="D12" s="1558"/>
      <c r="E12" s="1549"/>
      <c r="F12" s="1549"/>
      <c r="G12" s="1549"/>
      <c r="H12" s="1549"/>
      <c r="I12" s="1549"/>
      <c r="J12" s="1549"/>
      <c r="K12" s="1554"/>
      <c r="L12" s="1554"/>
      <c r="M12" s="1549"/>
      <c r="N12" s="1549"/>
      <c r="O12" s="1549"/>
      <c r="P12" s="1549"/>
      <c r="Q12" s="1549"/>
      <c r="R12" s="1549"/>
      <c r="S12" s="1549"/>
      <c r="T12" s="1549"/>
      <c r="U12" s="1549"/>
      <c r="V12" s="1549"/>
      <c r="W12" s="1549"/>
      <c r="X12" s="1549"/>
      <c r="Y12" s="1549"/>
      <c r="Z12" s="1549"/>
    </row>
    <row r="13" spans="1:26" ht="12.75" customHeight="1" x14ac:dyDescent="0.2">
      <c r="A13" s="1549"/>
      <c r="B13" s="1553"/>
      <c r="C13" s="1553"/>
      <c r="D13" s="1558"/>
      <c r="E13" s="1549"/>
      <c r="F13" s="1549"/>
      <c r="G13" s="1549"/>
      <c r="H13" s="1549"/>
      <c r="I13" s="1549"/>
      <c r="J13" s="1549"/>
      <c r="K13" s="1554"/>
      <c r="L13" s="1554"/>
      <c r="M13" s="1549"/>
      <c r="N13" s="1549"/>
      <c r="O13" s="1549"/>
      <c r="P13" s="1549"/>
      <c r="Q13" s="1549"/>
      <c r="R13" s="1549"/>
      <c r="S13" s="1549"/>
      <c r="T13" s="1549"/>
      <c r="U13" s="1549"/>
      <c r="V13" s="1549"/>
      <c r="W13" s="1549"/>
      <c r="X13" s="1549"/>
      <c r="Y13" s="1549"/>
      <c r="Z13" s="1549"/>
    </row>
    <row r="14" spans="1:26" ht="12.75" customHeight="1" x14ac:dyDescent="0.2">
      <c r="A14" s="1549"/>
      <c r="B14" s="1553"/>
      <c r="C14" s="1553"/>
      <c r="D14" s="1558"/>
      <c r="E14" s="1549"/>
      <c r="F14" s="1549"/>
      <c r="G14" s="1549"/>
      <c r="H14" s="1549"/>
      <c r="I14" s="1549"/>
      <c r="J14" s="1549"/>
      <c r="K14" s="1554"/>
      <c r="L14" s="1554"/>
      <c r="M14" s="1549"/>
      <c r="N14" s="1549"/>
      <c r="O14" s="1549"/>
      <c r="P14" s="1549"/>
      <c r="Q14" s="1549"/>
      <c r="R14" s="1549"/>
      <c r="S14" s="1549"/>
      <c r="T14" s="1549"/>
      <c r="U14" s="1549"/>
      <c r="V14" s="1549"/>
      <c r="W14" s="1549"/>
      <c r="X14" s="1549"/>
      <c r="Y14" s="1549"/>
      <c r="Z14" s="1549"/>
    </row>
    <row r="15" spans="1:26" ht="12.75" customHeight="1" x14ac:dyDescent="0.2">
      <c r="A15" s="1549"/>
      <c r="B15" s="1553"/>
      <c r="C15" s="1553"/>
      <c r="D15" s="1558"/>
      <c r="E15" s="1549"/>
      <c r="F15" s="1549"/>
      <c r="G15" s="1549"/>
      <c r="H15" s="1549"/>
      <c r="I15" s="1549"/>
      <c r="J15" s="1549"/>
      <c r="K15" s="1554"/>
      <c r="L15" s="1554"/>
      <c r="M15" s="1549"/>
      <c r="N15" s="1549"/>
      <c r="O15" s="1549"/>
      <c r="P15" s="1549"/>
      <c r="Q15" s="1549"/>
      <c r="R15" s="1549"/>
      <c r="S15" s="1549"/>
      <c r="T15" s="1549"/>
      <c r="U15" s="1549"/>
      <c r="V15" s="1549"/>
      <c r="W15" s="1549"/>
      <c r="X15" s="1549"/>
      <c r="Y15" s="1549"/>
      <c r="Z15" s="1549"/>
    </row>
    <row r="16" spans="1:26" ht="12.75" customHeight="1" x14ac:dyDescent="0.2">
      <c r="A16" s="1549"/>
      <c r="B16" s="1553"/>
      <c r="C16" s="1553"/>
      <c r="D16" s="1558"/>
      <c r="E16" s="1549"/>
      <c r="F16" s="1549"/>
      <c r="G16" s="1549"/>
      <c r="H16" s="1549"/>
      <c r="I16" s="1549"/>
      <c r="J16" s="1549"/>
      <c r="K16" s="1554"/>
      <c r="L16" s="1554"/>
      <c r="M16" s="1549"/>
      <c r="N16" s="1549"/>
      <c r="O16" s="1549"/>
      <c r="P16" s="1549"/>
      <c r="Q16" s="1549"/>
      <c r="R16" s="1549"/>
      <c r="S16" s="1549"/>
      <c r="T16" s="1549"/>
      <c r="U16" s="1549"/>
      <c r="V16" s="1549"/>
      <c r="W16" s="1549"/>
      <c r="X16" s="1549"/>
      <c r="Y16" s="1549"/>
      <c r="Z16" s="1549"/>
    </row>
    <row r="17" spans="1:26" ht="12.75" customHeight="1" x14ac:dyDescent="0.2">
      <c r="A17" s="1549"/>
      <c r="B17" s="1553"/>
      <c r="C17" s="1553"/>
      <c r="D17" s="1558"/>
      <c r="E17" s="1549"/>
      <c r="F17" s="1549"/>
      <c r="G17" s="1549"/>
      <c r="H17" s="1549"/>
      <c r="I17" s="1549"/>
      <c r="J17" s="1549"/>
      <c r="K17" s="1554"/>
      <c r="L17" s="1554"/>
      <c r="M17" s="1549"/>
      <c r="N17" s="1549"/>
      <c r="O17" s="1549"/>
      <c r="P17" s="1549"/>
      <c r="Q17" s="1549"/>
      <c r="R17" s="1549"/>
      <c r="S17" s="1549"/>
      <c r="T17" s="1549"/>
      <c r="U17" s="1549"/>
      <c r="V17" s="1549"/>
      <c r="W17" s="1549"/>
      <c r="X17" s="1549"/>
      <c r="Y17" s="1549"/>
      <c r="Z17" s="1549"/>
    </row>
    <row r="18" spans="1:26" ht="12.75" customHeight="1" x14ac:dyDescent="0.2">
      <c r="A18" s="1549"/>
      <c r="B18" s="1553"/>
      <c r="C18" s="1553"/>
      <c r="D18" s="1558"/>
      <c r="E18" s="1549"/>
      <c r="F18" s="1549"/>
      <c r="G18" s="1549"/>
      <c r="H18" s="1549"/>
      <c r="I18" s="1549"/>
      <c r="J18" s="1549"/>
      <c r="K18" s="1554"/>
      <c r="L18" s="1554"/>
      <c r="M18" s="1549"/>
      <c r="N18" s="1549"/>
      <c r="O18" s="1549"/>
      <c r="P18" s="1549"/>
      <c r="Q18" s="1549"/>
      <c r="R18" s="1549"/>
      <c r="S18" s="1549"/>
      <c r="T18" s="1549"/>
      <c r="U18" s="1549"/>
      <c r="V18" s="1549"/>
      <c r="W18" s="1549"/>
      <c r="X18" s="1549"/>
      <c r="Y18" s="1549"/>
      <c r="Z18" s="1549"/>
    </row>
    <row r="19" spans="1:26" ht="12.75" customHeight="1" thickBot="1" x14ac:dyDescent="0.25">
      <c r="A19" s="1549"/>
      <c r="B19" s="1553"/>
      <c r="C19" s="1553"/>
      <c r="D19" s="1558"/>
      <c r="E19" s="1549"/>
      <c r="F19" s="1549"/>
      <c r="G19" s="1549"/>
      <c r="H19" s="1549"/>
      <c r="I19" s="1549"/>
      <c r="J19" s="1549"/>
      <c r="K19" s="1554"/>
      <c r="L19" s="1554"/>
      <c r="M19" s="1549"/>
      <c r="N19" s="1549"/>
      <c r="O19" s="1549"/>
      <c r="P19" s="1549"/>
      <c r="Q19" s="1549"/>
      <c r="R19" s="1549"/>
      <c r="S19" s="1549"/>
      <c r="T19" s="1549"/>
      <c r="U19" s="1549"/>
      <c r="V19" s="1549"/>
      <c r="W19" s="1549"/>
      <c r="X19" s="1549"/>
      <c r="Y19" s="1549"/>
      <c r="Z19" s="1549"/>
    </row>
    <row r="20" spans="1:26" ht="12.75" customHeight="1" x14ac:dyDescent="0.2">
      <c r="A20" s="1549"/>
      <c r="B20" s="1553"/>
      <c r="C20" s="1553"/>
      <c r="D20" s="2676" t="s">
        <v>3628</v>
      </c>
      <c r="E20" s="2677"/>
      <c r="F20" s="2678"/>
      <c r="G20" s="1564"/>
      <c r="H20" s="2676" t="s">
        <v>3629</v>
      </c>
      <c r="I20" s="2677"/>
      <c r="J20" s="2678"/>
      <c r="K20" s="1554"/>
      <c r="L20" s="1554"/>
      <c r="M20" s="1549"/>
      <c r="N20" s="1549"/>
      <c r="O20" s="1549"/>
      <c r="P20" s="1549"/>
      <c r="Q20" s="1549"/>
      <c r="R20" s="1549"/>
      <c r="S20" s="1549"/>
      <c r="T20" s="1549"/>
      <c r="U20" s="1549"/>
      <c r="V20" s="1549"/>
      <c r="W20" s="1549"/>
      <c r="X20" s="1549"/>
      <c r="Y20" s="1549"/>
      <c r="Z20" s="1549"/>
    </row>
    <row r="21" spans="1:26" ht="12.75" customHeight="1" thickBot="1" x14ac:dyDescent="0.25">
      <c r="A21" s="1549"/>
      <c r="B21" s="1553"/>
      <c r="C21" s="1553"/>
      <c r="D21" s="1565" t="s">
        <v>2040</v>
      </c>
      <c r="E21" s="1566" t="s">
        <v>3617</v>
      </c>
      <c r="F21" s="1567" t="s">
        <v>1706</v>
      </c>
      <c r="G21" s="1564"/>
      <c r="H21" s="1565" t="s">
        <v>2040</v>
      </c>
      <c r="I21" s="1566" t="s">
        <v>3617</v>
      </c>
      <c r="J21" s="1567" t="s">
        <v>1706</v>
      </c>
      <c r="K21" s="1554"/>
      <c r="L21" s="1554"/>
      <c r="M21" s="1549"/>
      <c r="N21" s="1549"/>
      <c r="O21" s="1549"/>
      <c r="P21" s="1549"/>
      <c r="Q21" s="1549"/>
      <c r="R21" s="1549"/>
      <c r="S21" s="1549"/>
      <c r="T21" s="1549"/>
      <c r="U21" s="1549"/>
      <c r="V21" s="1549"/>
      <c r="W21" s="1549"/>
      <c r="X21" s="1549"/>
      <c r="Y21" s="1549"/>
      <c r="Z21" s="1549"/>
    </row>
    <row r="22" spans="1:26" ht="12.75" customHeight="1" thickBot="1" x14ac:dyDescent="0.25">
      <c r="A22" s="1549"/>
      <c r="B22" s="1553"/>
      <c r="C22" s="1553"/>
      <c r="D22" s="2679" t="s">
        <v>3630</v>
      </c>
      <c r="E22" s="2674"/>
      <c r="F22" s="2674"/>
      <c r="G22" s="2674"/>
      <c r="H22" s="2674"/>
      <c r="I22" s="2674"/>
      <c r="J22" s="2647"/>
      <c r="K22" s="1554"/>
      <c r="L22" s="1554"/>
      <c r="M22" s="1549"/>
      <c r="N22" s="1549"/>
      <c r="O22" s="1549"/>
      <c r="P22" s="1549"/>
      <c r="Q22" s="1549"/>
      <c r="R22" s="1549"/>
      <c r="S22" s="1549"/>
      <c r="T22" s="1549"/>
      <c r="U22" s="1549"/>
      <c r="V22" s="1549"/>
      <c r="W22" s="1549"/>
      <c r="X22" s="1549"/>
      <c r="Y22" s="1549"/>
      <c r="Z22" s="1549"/>
    </row>
    <row r="23" spans="1:26" ht="12.75" customHeight="1" x14ac:dyDescent="0.2">
      <c r="A23" s="1568"/>
      <c r="B23" s="1551"/>
      <c r="C23" s="1551"/>
      <c r="D23" s="1569" t="s">
        <v>3615</v>
      </c>
      <c r="E23" s="1570"/>
      <c r="F23" s="1571">
        <v>-20195768.890000001</v>
      </c>
      <c r="G23" s="1572"/>
      <c r="H23" s="1573" t="s">
        <v>3621</v>
      </c>
      <c r="I23" s="1574">
        <v>1010</v>
      </c>
      <c r="J23" s="1575">
        <v>77835335.299999997</v>
      </c>
      <c r="K23" s="1576"/>
      <c r="L23" s="1554"/>
      <c r="M23" s="1549"/>
      <c r="N23" s="1549"/>
      <c r="O23" s="1549"/>
      <c r="P23" s="1549"/>
      <c r="Q23" s="1549"/>
      <c r="R23" s="1549"/>
      <c r="S23" s="1549"/>
      <c r="T23" s="1549"/>
      <c r="U23" s="1549"/>
      <c r="V23" s="1549"/>
      <c r="W23" s="1549"/>
      <c r="X23" s="1549"/>
      <c r="Y23" s="1549"/>
      <c r="Z23" s="1549"/>
    </row>
    <row r="24" spans="1:26" ht="12.75" customHeight="1" x14ac:dyDescent="0.2">
      <c r="A24" s="1568"/>
      <c r="B24" s="1551"/>
      <c r="C24" s="1551"/>
      <c r="D24" s="1577" t="s">
        <v>3623</v>
      </c>
      <c r="E24" s="1578">
        <v>101</v>
      </c>
      <c r="F24" s="1579">
        <v>87393891.280000001</v>
      </c>
      <c r="G24" s="1572"/>
      <c r="H24" s="1577" t="s">
        <v>3618</v>
      </c>
      <c r="I24" s="1578">
        <v>49</v>
      </c>
      <c r="J24" s="1579">
        <v>52344103.57</v>
      </c>
      <c r="K24" s="1576"/>
      <c r="L24" s="1554"/>
      <c r="M24" s="1549"/>
      <c r="N24" s="1549"/>
      <c r="O24" s="1549"/>
      <c r="P24" s="1549"/>
      <c r="Q24" s="1549"/>
      <c r="R24" s="1549"/>
      <c r="S24" s="1549"/>
      <c r="T24" s="1549"/>
      <c r="U24" s="1549"/>
      <c r="V24" s="1549"/>
      <c r="W24" s="1549"/>
      <c r="X24" s="1549"/>
      <c r="Y24" s="1549"/>
      <c r="Z24" s="1549"/>
    </row>
    <row r="25" spans="1:26" ht="12.75" customHeight="1" x14ac:dyDescent="0.2">
      <c r="A25" s="1568"/>
      <c r="B25" s="1551"/>
      <c r="C25" s="1551"/>
      <c r="D25" s="1577" t="s">
        <v>3622</v>
      </c>
      <c r="E25" s="1578">
        <v>24</v>
      </c>
      <c r="F25" s="1579">
        <v>20869538.940000001</v>
      </c>
      <c r="G25" s="1572"/>
      <c r="H25" s="1577" t="s">
        <v>3619</v>
      </c>
      <c r="I25" s="1578">
        <v>2</v>
      </c>
      <c r="J25" s="1579">
        <v>20300000</v>
      </c>
      <c r="K25" s="1576"/>
      <c r="L25" s="1554"/>
      <c r="M25" s="1549"/>
      <c r="N25" s="1549"/>
      <c r="O25" s="1549"/>
      <c r="P25" s="1549"/>
      <c r="Q25" s="1549"/>
      <c r="R25" s="1549"/>
      <c r="S25" s="1549"/>
      <c r="T25" s="1549"/>
      <c r="U25" s="1549"/>
      <c r="V25" s="1549"/>
      <c r="W25" s="1549"/>
      <c r="X25" s="1549"/>
      <c r="Y25" s="1549"/>
      <c r="Z25" s="1549"/>
    </row>
    <row r="26" spans="1:26" ht="12.75" customHeight="1" x14ac:dyDescent="0.2">
      <c r="A26" s="1568"/>
      <c r="B26" s="1551"/>
      <c r="C26" s="1551"/>
      <c r="D26" s="1577" t="s">
        <v>3618</v>
      </c>
      <c r="E26" s="1578">
        <v>2</v>
      </c>
      <c r="F26" s="1579">
        <v>19150000</v>
      </c>
      <c r="G26" s="1572"/>
      <c r="H26" s="1577" t="s">
        <v>3620</v>
      </c>
      <c r="I26" s="1578">
        <v>77</v>
      </c>
      <c r="J26" s="1579">
        <v>12336839.34</v>
      </c>
      <c r="K26" s="1576"/>
      <c r="L26" s="1554"/>
      <c r="M26" s="1549"/>
      <c r="N26" s="1549"/>
      <c r="O26" s="1549"/>
      <c r="P26" s="1549"/>
      <c r="Q26" s="1549"/>
      <c r="R26" s="1549"/>
      <c r="S26" s="1549"/>
      <c r="T26" s="1549"/>
      <c r="U26" s="1549"/>
      <c r="V26" s="1549"/>
      <c r="W26" s="1549"/>
      <c r="X26" s="1549"/>
      <c r="Y26" s="1549"/>
      <c r="Z26" s="1549"/>
    </row>
    <row r="27" spans="1:26" ht="12.75" customHeight="1" x14ac:dyDescent="0.2">
      <c r="A27" s="1568"/>
      <c r="B27" s="1551"/>
      <c r="C27" s="1551"/>
      <c r="D27" s="1577" t="s">
        <v>3624</v>
      </c>
      <c r="E27" s="1578">
        <v>39</v>
      </c>
      <c r="F27" s="1579">
        <v>15030395.710000001</v>
      </c>
      <c r="G27" s="1572"/>
      <c r="H27" s="1577" t="s">
        <v>3625</v>
      </c>
      <c r="I27" s="1578">
        <v>15</v>
      </c>
      <c r="J27" s="1579">
        <v>2737854</v>
      </c>
      <c r="K27" s="1576"/>
      <c r="L27" s="1554"/>
      <c r="M27" s="1549"/>
      <c r="N27" s="1549"/>
      <c r="O27" s="1549"/>
      <c r="P27" s="1549"/>
      <c r="Q27" s="1549"/>
      <c r="R27" s="1549"/>
      <c r="S27" s="1549"/>
      <c r="T27" s="1549"/>
      <c r="U27" s="1549"/>
      <c r="V27" s="1549"/>
      <c r="W27" s="1549"/>
      <c r="X27" s="1549"/>
      <c r="Y27" s="1549"/>
      <c r="Z27" s="1549"/>
    </row>
    <row r="28" spans="1:26" ht="12.75" customHeight="1" x14ac:dyDescent="0.2">
      <c r="A28" s="1568"/>
      <c r="B28" s="1551"/>
      <c r="C28" s="1551"/>
      <c r="D28" s="1577" t="s">
        <v>3620</v>
      </c>
      <c r="E28" s="1578">
        <v>8</v>
      </c>
      <c r="F28" s="1579">
        <v>14296445.35</v>
      </c>
      <c r="G28" s="1572"/>
      <c r="H28" s="1577" t="s">
        <v>3626</v>
      </c>
      <c r="I28" s="1578">
        <v>9</v>
      </c>
      <c r="J28" s="1579">
        <v>2062887</v>
      </c>
      <c r="K28" s="1576"/>
      <c r="L28" s="1554"/>
      <c r="M28" s="1549"/>
      <c r="N28" s="1549"/>
      <c r="O28" s="1549"/>
      <c r="P28" s="1549"/>
      <c r="Q28" s="1549"/>
      <c r="R28" s="1549"/>
      <c r="S28" s="1549"/>
      <c r="T28" s="1549"/>
      <c r="U28" s="1549"/>
      <c r="V28" s="1549"/>
      <c r="W28" s="1549"/>
      <c r="X28" s="1549"/>
      <c r="Y28" s="1549"/>
      <c r="Z28" s="1549"/>
    </row>
    <row r="29" spans="1:26" ht="12.75" customHeight="1" x14ac:dyDescent="0.2">
      <c r="A29" s="1568"/>
      <c r="B29" s="1551"/>
      <c r="C29" s="1551"/>
      <c r="D29" s="1577" t="s">
        <v>3619</v>
      </c>
      <c r="E29" s="1578">
        <v>21</v>
      </c>
      <c r="F29" s="1579">
        <v>7409098.4199999999</v>
      </c>
      <c r="G29" s="1572"/>
      <c r="H29" s="1577" t="s">
        <v>3631</v>
      </c>
      <c r="I29" s="1578">
        <v>2</v>
      </c>
      <c r="J29" s="1579">
        <v>1874917</v>
      </c>
      <c r="K29" s="1576"/>
      <c r="L29" s="1554"/>
      <c r="M29" s="1549"/>
      <c r="N29" s="1549"/>
      <c r="O29" s="1549"/>
      <c r="P29" s="1549"/>
      <c r="Q29" s="1549"/>
      <c r="R29" s="1549"/>
      <c r="S29" s="1549"/>
      <c r="T29" s="1549"/>
      <c r="U29" s="1549"/>
      <c r="V29" s="1549"/>
      <c r="W29" s="1549"/>
      <c r="X29" s="1549"/>
      <c r="Y29" s="1549"/>
      <c r="Z29" s="1549"/>
    </row>
    <row r="30" spans="1:26" ht="12.75" customHeight="1" x14ac:dyDescent="0.2">
      <c r="A30" s="1568"/>
      <c r="B30" s="1551"/>
      <c r="C30" s="1551"/>
      <c r="D30" s="1577" t="s">
        <v>3621</v>
      </c>
      <c r="E30" s="1578">
        <v>4</v>
      </c>
      <c r="F30" s="1579">
        <v>454640</v>
      </c>
      <c r="G30" s="1572"/>
      <c r="H30" s="1577" t="s">
        <v>3632</v>
      </c>
      <c r="I30" s="1578">
        <v>17</v>
      </c>
      <c r="J30" s="1579">
        <v>1268250</v>
      </c>
      <c r="K30" s="1576"/>
      <c r="L30" s="1554"/>
      <c r="M30" s="1549"/>
      <c r="N30" s="1549"/>
      <c r="O30" s="1549"/>
      <c r="P30" s="1549"/>
      <c r="Q30" s="1549"/>
      <c r="R30" s="1549"/>
      <c r="S30" s="1549"/>
      <c r="T30" s="1549"/>
      <c r="U30" s="1549"/>
      <c r="V30" s="1549"/>
      <c r="W30" s="1549"/>
      <c r="X30" s="1549"/>
      <c r="Y30" s="1549"/>
      <c r="Z30" s="1549"/>
    </row>
    <row r="31" spans="1:26" ht="12.75" customHeight="1" x14ac:dyDescent="0.2">
      <c r="A31" s="1568"/>
      <c r="B31" s="1551"/>
      <c r="C31" s="1551"/>
      <c r="D31" s="1577" t="s">
        <v>3626</v>
      </c>
      <c r="E31" s="1578">
        <v>4</v>
      </c>
      <c r="F31" s="1579">
        <v>265909</v>
      </c>
      <c r="G31" s="1572"/>
      <c r="H31" s="1577" t="s">
        <v>3633</v>
      </c>
      <c r="I31" s="1578">
        <v>21</v>
      </c>
      <c r="J31" s="1579">
        <v>1193162</v>
      </c>
      <c r="K31" s="1576"/>
      <c r="L31" s="1554"/>
      <c r="M31" s="1549"/>
      <c r="N31" s="1549"/>
      <c r="O31" s="1549"/>
      <c r="P31" s="1549"/>
      <c r="Q31" s="1549"/>
      <c r="R31" s="1549"/>
      <c r="S31" s="1549"/>
      <c r="T31" s="1549"/>
      <c r="U31" s="1549"/>
      <c r="V31" s="1549"/>
      <c r="W31" s="1549"/>
      <c r="X31" s="1549"/>
      <c r="Y31" s="1549"/>
      <c r="Z31" s="1549"/>
    </row>
    <row r="32" spans="1:26" ht="12.75" customHeight="1" x14ac:dyDescent="0.2">
      <c r="A32" s="1568"/>
      <c r="B32" s="1551"/>
      <c r="C32" s="1551"/>
      <c r="D32" s="1577" t="s">
        <v>3634</v>
      </c>
      <c r="E32" s="1578">
        <v>1</v>
      </c>
      <c r="F32" s="1579">
        <v>32</v>
      </c>
      <c r="G32" s="1572"/>
      <c r="H32" s="1577" t="s">
        <v>3635</v>
      </c>
      <c r="I32" s="1578">
        <v>104</v>
      </c>
      <c r="J32" s="1579">
        <v>854023</v>
      </c>
      <c r="K32" s="1576"/>
      <c r="L32" s="1554"/>
      <c r="M32" s="1549"/>
      <c r="N32" s="1549"/>
      <c r="O32" s="1549"/>
      <c r="P32" s="1549"/>
      <c r="Q32" s="1549"/>
      <c r="R32" s="1549"/>
      <c r="S32" s="1549"/>
      <c r="T32" s="1549"/>
      <c r="U32" s="1549"/>
      <c r="V32" s="1549"/>
      <c r="W32" s="1549"/>
      <c r="X32" s="1549"/>
      <c r="Y32" s="1549"/>
      <c r="Z32" s="1549"/>
    </row>
    <row r="33" spans="1:26" ht="12.75" customHeight="1" x14ac:dyDescent="0.2">
      <c r="A33" s="1568"/>
      <c r="B33" s="1551"/>
      <c r="C33" s="1551"/>
      <c r="D33" s="1580"/>
      <c r="E33" s="1578"/>
      <c r="F33" s="1579"/>
      <c r="G33" s="1572"/>
      <c r="H33" s="1577" t="s">
        <v>3636</v>
      </c>
      <c r="I33" s="1578">
        <v>2</v>
      </c>
      <c r="J33" s="1579">
        <v>834795</v>
      </c>
      <c r="K33" s="1576"/>
      <c r="L33" s="1554"/>
      <c r="M33" s="1549"/>
      <c r="N33" s="1549"/>
      <c r="O33" s="1549"/>
      <c r="P33" s="1549"/>
      <c r="Q33" s="1549"/>
      <c r="R33" s="1549"/>
      <c r="S33" s="1549"/>
      <c r="T33" s="1549"/>
      <c r="U33" s="1549"/>
      <c r="V33" s="1549"/>
      <c r="W33" s="1549"/>
      <c r="X33" s="1549"/>
      <c r="Y33" s="1549"/>
      <c r="Z33" s="1549"/>
    </row>
    <row r="34" spans="1:26" ht="12.75" customHeight="1" x14ac:dyDescent="0.2">
      <c r="A34" s="1568"/>
      <c r="B34" s="1551"/>
      <c r="C34" s="1551"/>
      <c r="D34" s="1580"/>
      <c r="E34" s="1578"/>
      <c r="F34" s="1579"/>
      <c r="G34" s="1572"/>
      <c r="H34" s="1577" t="s">
        <v>3637</v>
      </c>
      <c r="I34" s="1578">
        <v>4</v>
      </c>
      <c r="J34" s="1579">
        <v>651339</v>
      </c>
      <c r="K34" s="1576"/>
      <c r="L34" s="1554"/>
      <c r="M34" s="1549"/>
      <c r="N34" s="1549"/>
      <c r="O34" s="1549"/>
      <c r="P34" s="1549"/>
      <c r="Q34" s="1549"/>
      <c r="R34" s="1549"/>
      <c r="S34" s="1549"/>
      <c r="T34" s="1549"/>
      <c r="U34" s="1549"/>
      <c r="V34" s="1549"/>
      <c r="W34" s="1549"/>
      <c r="X34" s="1549"/>
      <c r="Y34" s="1549"/>
      <c r="Z34" s="1549"/>
    </row>
    <row r="35" spans="1:26" ht="12.75" customHeight="1" x14ac:dyDescent="0.2">
      <c r="A35" s="1568"/>
      <c r="B35" s="1551"/>
      <c r="C35" s="1551"/>
      <c r="D35" s="1580"/>
      <c r="E35" s="1578"/>
      <c r="F35" s="1579"/>
      <c r="G35" s="1572"/>
      <c r="H35" s="1577" t="s">
        <v>3622</v>
      </c>
      <c r="I35" s="1578">
        <v>41</v>
      </c>
      <c r="J35" s="1579">
        <v>399567.07</v>
      </c>
      <c r="K35" s="1576"/>
      <c r="L35" s="1554"/>
      <c r="M35" s="1549"/>
      <c r="N35" s="1549"/>
      <c r="O35" s="1549"/>
      <c r="P35" s="1549"/>
      <c r="Q35" s="1549"/>
      <c r="R35" s="1549"/>
      <c r="S35" s="1549"/>
      <c r="T35" s="1549"/>
      <c r="U35" s="1549"/>
      <c r="V35" s="1549"/>
      <c r="W35" s="1549"/>
      <c r="X35" s="1549"/>
      <c r="Y35" s="1549"/>
      <c r="Z35" s="1549"/>
    </row>
    <row r="36" spans="1:26" ht="12.75" customHeight="1" x14ac:dyDescent="0.2">
      <c r="A36" s="1568"/>
      <c r="B36" s="1551"/>
      <c r="C36" s="1551"/>
      <c r="D36" s="1580"/>
      <c r="E36" s="1578"/>
      <c r="F36" s="1579"/>
      <c r="G36" s="1572"/>
      <c r="H36" s="1577" t="s">
        <v>3638</v>
      </c>
      <c r="I36" s="1578">
        <v>5</v>
      </c>
      <c r="J36" s="1579">
        <v>241655.79</v>
      </c>
      <c r="K36" s="1576"/>
      <c r="L36" s="1554"/>
      <c r="M36" s="1549"/>
      <c r="N36" s="1549"/>
      <c r="O36" s="1549"/>
      <c r="P36" s="1549"/>
      <c r="Q36" s="1549"/>
      <c r="R36" s="1549"/>
      <c r="S36" s="1549"/>
      <c r="T36" s="1549"/>
      <c r="U36" s="1549"/>
      <c r="V36" s="1549"/>
      <c r="W36" s="1549"/>
      <c r="X36" s="1549"/>
      <c r="Y36" s="1549"/>
      <c r="Z36" s="1549"/>
    </row>
    <row r="37" spans="1:26" ht="12.75" customHeight="1" x14ac:dyDescent="0.2">
      <c r="A37" s="1568"/>
      <c r="B37" s="1551"/>
      <c r="C37" s="1551"/>
      <c r="D37" s="1580"/>
      <c r="E37" s="1578"/>
      <c r="F37" s="1579"/>
      <c r="G37" s="1572"/>
      <c r="H37" s="1577" t="s">
        <v>3639</v>
      </c>
      <c r="I37" s="1578">
        <v>1</v>
      </c>
      <c r="J37" s="1579">
        <v>153313</v>
      </c>
      <c r="K37" s="1576"/>
      <c r="L37" s="1554"/>
      <c r="M37" s="1549"/>
      <c r="N37" s="1549"/>
      <c r="O37" s="1549"/>
      <c r="P37" s="1549"/>
      <c r="Q37" s="1549"/>
      <c r="R37" s="1549"/>
      <c r="S37" s="1549"/>
      <c r="T37" s="1549"/>
      <c r="U37" s="1549"/>
      <c r="V37" s="1549"/>
      <c r="W37" s="1549"/>
      <c r="X37" s="1549"/>
      <c r="Y37" s="1549"/>
      <c r="Z37" s="1549"/>
    </row>
    <row r="38" spans="1:26" ht="12.75" customHeight="1" x14ac:dyDescent="0.2">
      <c r="A38" s="1568"/>
      <c r="B38" s="1551"/>
      <c r="C38" s="1551"/>
      <c r="D38" s="1580"/>
      <c r="E38" s="1578"/>
      <c r="F38" s="1579"/>
      <c r="G38" s="1572"/>
      <c r="H38" s="1577" t="s">
        <v>3640</v>
      </c>
      <c r="I38" s="1578">
        <v>10</v>
      </c>
      <c r="J38" s="1579">
        <v>34690.33</v>
      </c>
      <c r="K38" s="1576"/>
      <c r="L38" s="1554"/>
      <c r="M38" s="1549"/>
      <c r="N38" s="1549"/>
      <c r="O38" s="1549"/>
      <c r="P38" s="1549"/>
      <c r="Q38" s="1549"/>
      <c r="R38" s="1549"/>
      <c r="S38" s="1549"/>
      <c r="T38" s="1549"/>
      <c r="U38" s="1549"/>
      <c r="V38" s="1549"/>
      <c r="W38" s="1549"/>
      <c r="X38" s="1549"/>
      <c r="Y38" s="1549"/>
      <c r="Z38" s="1549"/>
    </row>
    <row r="39" spans="1:26" ht="12.75" customHeight="1" x14ac:dyDescent="0.2">
      <c r="A39" s="1568"/>
      <c r="B39" s="1551"/>
      <c r="C39" s="1551"/>
      <c r="D39" s="1580"/>
      <c r="E39" s="1578"/>
      <c r="F39" s="1579"/>
      <c r="G39" s="1572"/>
      <c r="H39" s="1577" t="s">
        <v>3641</v>
      </c>
      <c r="I39" s="1578">
        <v>36</v>
      </c>
      <c r="J39" s="1579">
        <v>24967.73</v>
      </c>
      <c r="K39" s="1576"/>
      <c r="L39" s="1554"/>
      <c r="M39" s="1549"/>
      <c r="N39" s="1549"/>
      <c r="O39" s="1549"/>
      <c r="P39" s="1549"/>
      <c r="Q39" s="1549"/>
      <c r="R39" s="1549"/>
      <c r="S39" s="1549"/>
      <c r="T39" s="1549"/>
      <c r="U39" s="1549"/>
      <c r="V39" s="1549"/>
      <c r="W39" s="1549"/>
      <c r="X39" s="1549"/>
      <c r="Y39" s="1549"/>
      <c r="Z39" s="1549"/>
    </row>
    <row r="40" spans="1:26" ht="12.75" customHeight="1" x14ac:dyDescent="0.2">
      <c r="A40" s="1568"/>
      <c r="B40" s="1551"/>
      <c r="C40" s="1551"/>
      <c r="D40" s="1580"/>
      <c r="E40" s="1578"/>
      <c r="F40" s="1579"/>
      <c r="G40" s="1572"/>
      <c r="H40" s="1577" t="s">
        <v>3634</v>
      </c>
      <c r="I40" s="1578">
        <v>1</v>
      </c>
      <c r="J40" s="1579">
        <v>32</v>
      </c>
      <c r="K40" s="1576"/>
      <c r="L40" s="1554"/>
      <c r="M40" s="1549"/>
      <c r="N40" s="1549"/>
      <c r="O40" s="1549"/>
      <c r="P40" s="1549"/>
      <c r="Q40" s="1549"/>
      <c r="R40" s="1549"/>
      <c r="S40" s="1549"/>
      <c r="T40" s="1549"/>
      <c r="U40" s="1549"/>
      <c r="V40" s="1549"/>
      <c r="W40" s="1549"/>
      <c r="X40" s="1549"/>
      <c r="Y40" s="1549"/>
      <c r="Z40" s="1549"/>
    </row>
    <row r="41" spans="1:26" ht="12.75" customHeight="1" x14ac:dyDescent="0.2">
      <c r="A41" s="1568"/>
      <c r="B41" s="1551"/>
      <c r="C41" s="1551"/>
      <c r="D41" s="1580"/>
      <c r="E41" s="1578"/>
      <c r="F41" s="1579"/>
      <c r="G41" s="1572"/>
      <c r="H41" s="1581" t="s">
        <v>3616</v>
      </c>
      <c r="I41" s="1582"/>
      <c r="J41" s="1583">
        <v>-30473549.32</v>
      </c>
      <c r="K41" s="1576"/>
      <c r="L41" s="1554"/>
      <c r="M41" s="1549"/>
      <c r="N41" s="1549"/>
      <c r="O41" s="1549"/>
      <c r="P41" s="1549"/>
      <c r="Q41" s="1549"/>
      <c r="R41" s="1549"/>
      <c r="S41" s="1549"/>
      <c r="T41" s="1549"/>
      <c r="U41" s="1549"/>
      <c r="V41" s="1549"/>
      <c r="W41" s="1549"/>
      <c r="X41" s="1549"/>
      <c r="Y41" s="1549"/>
      <c r="Z41" s="1549"/>
    </row>
    <row r="42" spans="1:26" ht="12.75" customHeight="1" thickBot="1" x14ac:dyDescent="0.25">
      <c r="A42" s="1568"/>
      <c r="B42" s="1551"/>
      <c r="C42" s="1551"/>
      <c r="D42" s="1584" t="s">
        <v>26</v>
      </c>
      <c r="E42" s="1585">
        <v>204</v>
      </c>
      <c r="F42" s="1586">
        <v>144674181.81</v>
      </c>
      <c r="G42" s="1587"/>
      <c r="H42" s="1584" t="s">
        <v>26</v>
      </c>
      <c r="I42" s="1585">
        <v>1406</v>
      </c>
      <c r="J42" s="1586">
        <v>144674181.81</v>
      </c>
      <c r="K42" s="1576"/>
      <c r="L42" s="1554"/>
      <c r="M42" s="1549"/>
      <c r="N42" s="1549"/>
      <c r="O42" s="1549"/>
      <c r="P42" s="1549"/>
      <c r="Q42" s="1549"/>
      <c r="R42" s="1549"/>
      <c r="S42" s="1549"/>
      <c r="T42" s="1549"/>
      <c r="U42" s="1549"/>
      <c r="V42" s="1549"/>
      <c r="W42" s="1549"/>
      <c r="X42" s="1549"/>
      <c r="Y42" s="1549"/>
      <c r="Z42" s="1549"/>
    </row>
    <row r="43" spans="1:26" ht="12.75" customHeight="1" thickBot="1" x14ac:dyDescent="0.25">
      <c r="A43" s="1549"/>
      <c r="B43" s="1553"/>
      <c r="C43" s="1588"/>
      <c r="D43" s="1589"/>
      <c r="E43" s="1590"/>
      <c r="F43" s="1590"/>
      <c r="G43" s="1556"/>
      <c r="H43" s="1589"/>
      <c r="I43" s="1590"/>
      <c r="J43" s="1590"/>
      <c r="K43" s="1557"/>
      <c r="L43" s="1554"/>
      <c r="M43" s="1549"/>
      <c r="N43" s="1549"/>
      <c r="O43" s="1549"/>
      <c r="P43" s="1549"/>
      <c r="Q43" s="1549"/>
      <c r="R43" s="1549"/>
      <c r="S43" s="1549"/>
      <c r="T43" s="1549"/>
      <c r="U43" s="1549"/>
      <c r="V43" s="1549"/>
      <c r="W43" s="1549"/>
      <c r="X43" s="1549"/>
      <c r="Y43" s="1549"/>
      <c r="Z43" s="1549"/>
    </row>
    <row r="44" spans="1:26" ht="12.75" customHeight="1" thickBot="1" x14ac:dyDescent="0.25">
      <c r="A44" s="1549"/>
      <c r="B44" s="1553"/>
      <c r="C44" s="1549"/>
      <c r="E44" s="1564"/>
      <c r="F44" s="1564"/>
      <c r="G44" s="1564"/>
      <c r="I44" s="1564"/>
      <c r="J44" s="1564"/>
      <c r="K44" s="1549"/>
      <c r="L44" s="1554"/>
      <c r="M44" s="1549"/>
      <c r="N44" s="1549"/>
      <c r="O44" s="1549"/>
      <c r="P44" s="1549"/>
      <c r="Q44" s="1549"/>
      <c r="R44" s="1549"/>
      <c r="S44" s="1549"/>
      <c r="T44" s="1549"/>
      <c r="U44" s="1549"/>
      <c r="V44" s="1549"/>
      <c r="W44" s="1549"/>
      <c r="X44" s="1549"/>
      <c r="Y44" s="1549"/>
      <c r="Z44" s="1549"/>
    </row>
    <row r="45" spans="1:26" ht="12.75" customHeight="1" thickBot="1" x14ac:dyDescent="0.25">
      <c r="A45" s="1549"/>
      <c r="B45" s="1553"/>
      <c r="C45" s="1549"/>
      <c r="D45" s="2673">
        <v>42979</v>
      </c>
      <c r="E45" s="2674"/>
      <c r="F45" s="2674"/>
      <c r="G45" s="2674"/>
      <c r="H45" s="2674"/>
      <c r="I45" s="2674"/>
      <c r="J45" s="2647"/>
      <c r="K45" s="1555"/>
      <c r="L45" s="1554"/>
      <c r="M45" s="1549"/>
      <c r="N45" s="1549"/>
      <c r="O45" s="1549"/>
      <c r="P45" s="1549"/>
      <c r="Q45" s="1549"/>
      <c r="R45" s="1549"/>
      <c r="S45" s="1549"/>
      <c r="T45" s="1549"/>
      <c r="U45" s="1549"/>
      <c r="V45" s="1549"/>
      <c r="W45" s="1549"/>
      <c r="X45" s="1549"/>
      <c r="Y45" s="1549"/>
      <c r="Z45" s="1549"/>
    </row>
    <row r="46" spans="1:26" ht="12.75" customHeight="1" x14ac:dyDescent="0.2">
      <c r="A46" s="1568"/>
      <c r="B46" s="1551"/>
      <c r="C46" s="1568"/>
      <c r="D46" s="1569" t="s">
        <v>3615</v>
      </c>
      <c r="E46" s="1570"/>
      <c r="F46" s="1591">
        <v>-20195768.890000001</v>
      </c>
      <c r="G46" s="1592"/>
      <c r="H46" s="1573" t="s">
        <v>3637</v>
      </c>
      <c r="I46" s="1574">
        <v>4</v>
      </c>
      <c r="J46" s="1593">
        <v>651339</v>
      </c>
      <c r="K46" s="1594"/>
      <c r="L46" s="1554"/>
      <c r="M46" s="1549"/>
      <c r="N46" s="1549"/>
      <c r="O46" s="1549"/>
      <c r="P46" s="1549"/>
      <c r="Q46" s="1549"/>
      <c r="R46" s="1549"/>
      <c r="S46" s="1549"/>
      <c r="T46" s="1549"/>
      <c r="U46" s="1549"/>
      <c r="V46" s="1549"/>
      <c r="W46" s="1549"/>
      <c r="X46" s="1549"/>
      <c r="Y46" s="1549"/>
      <c r="Z46" s="1549"/>
    </row>
    <row r="47" spans="1:26" ht="12.75" customHeight="1" x14ac:dyDescent="0.2">
      <c r="A47" s="1568"/>
      <c r="B47" s="1551"/>
      <c r="C47" s="1568"/>
      <c r="D47" s="1577" t="s">
        <v>3624</v>
      </c>
      <c r="E47" s="1578">
        <v>4</v>
      </c>
      <c r="F47" s="1595">
        <v>1805998.71</v>
      </c>
      <c r="G47" s="1592"/>
      <c r="H47" s="1577" t="s">
        <v>3618</v>
      </c>
      <c r="I47" s="1578">
        <v>10</v>
      </c>
      <c r="J47" s="1595">
        <v>6969319.71</v>
      </c>
      <c r="K47" s="1594"/>
      <c r="L47" s="1554"/>
      <c r="M47" s="1549"/>
      <c r="N47" s="1549"/>
      <c r="O47" s="1549"/>
      <c r="P47" s="1549"/>
      <c r="Q47" s="1549"/>
      <c r="R47" s="1549"/>
      <c r="S47" s="1549"/>
      <c r="T47" s="1549"/>
      <c r="U47" s="1549"/>
      <c r="V47" s="1549"/>
      <c r="W47" s="1549"/>
      <c r="X47" s="1549"/>
      <c r="Y47" s="1549"/>
      <c r="Z47" s="1549"/>
    </row>
    <row r="48" spans="1:26" ht="12.75" customHeight="1" x14ac:dyDescent="0.2">
      <c r="A48" s="1568"/>
      <c r="B48" s="1551"/>
      <c r="C48" s="1568"/>
      <c r="D48" s="1577" t="s">
        <v>3621</v>
      </c>
      <c r="E48" s="1578">
        <v>1</v>
      </c>
      <c r="F48" s="1595">
        <v>55240</v>
      </c>
      <c r="G48" s="1592"/>
      <c r="H48" s="1577" t="s">
        <v>3625</v>
      </c>
      <c r="I48" s="1578">
        <v>1</v>
      </c>
      <c r="J48" s="1595">
        <v>50000</v>
      </c>
      <c r="K48" s="1594"/>
      <c r="L48" s="1554"/>
      <c r="M48" s="1549"/>
      <c r="N48" s="1549"/>
      <c r="O48" s="1549"/>
      <c r="P48" s="1549"/>
      <c r="Q48" s="1549"/>
      <c r="R48" s="1549"/>
      <c r="S48" s="1549"/>
      <c r="T48" s="1549"/>
      <c r="U48" s="1549"/>
      <c r="V48" s="1549"/>
      <c r="W48" s="1549"/>
      <c r="X48" s="1549"/>
      <c r="Y48" s="1549"/>
      <c r="Z48" s="1549"/>
    </row>
    <row r="49" spans="1:26" ht="12.75" customHeight="1" x14ac:dyDescent="0.2">
      <c r="A49" s="1568"/>
      <c r="B49" s="1551"/>
      <c r="C49" s="1568"/>
      <c r="D49" s="1577" t="s">
        <v>3620</v>
      </c>
      <c r="E49" s="1578">
        <v>3</v>
      </c>
      <c r="F49" s="1595">
        <v>4100005.35</v>
      </c>
      <c r="G49" s="1592"/>
      <c r="H49" s="1577" t="s">
        <v>3621</v>
      </c>
      <c r="I49" s="1578">
        <v>144</v>
      </c>
      <c r="J49" s="1595">
        <v>8200973.2699999996</v>
      </c>
      <c r="K49" s="1594"/>
      <c r="L49" s="1554"/>
      <c r="M49" s="1549"/>
      <c r="N49" s="1549"/>
      <c r="O49" s="1549"/>
      <c r="P49" s="1549"/>
      <c r="Q49" s="1549"/>
      <c r="R49" s="1549"/>
      <c r="S49" s="1549"/>
      <c r="T49" s="1549"/>
      <c r="U49" s="1549"/>
      <c r="V49" s="1549"/>
      <c r="W49" s="1549"/>
      <c r="X49" s="1549"/>
      <c r="Y49" s="1549"/>
      <c r="Z49" s="1549"/>
    </row>
    <row r="50" spans="1:26" ht="12.75" customHeight="1" x14ac:dyDescent="0.2">
      <c r="A50" s="1568"/>
      <c r="B50" s="1551"/>
      <c r="C50" s="1568"/>
      <c r="D50" s="1577" t="s">
        <v>3619</v>
      </c>
      <c r="E50" s="1578">
        <v>3</v>
      </c>
      <c r="F50" s="1595">
        <v>1443859</v>
      </c>
      <c r="G50" s="1592"/>
      <c r="H50" s="1577" t="s">
        <v>3620</v>
      </c>
      <c r="I50" s="1578">
        <v>12</v>
      </c>
      <c r="J50" s="1595">
        <v>1245123.67</v>
      </c>
      <c r="K50" s="1594"/>
      <c r="L50" s="1554"/>
      <c r="M50" s="1549"/>
      <c r="N50" s="1549"/>
      <c r="O50" s="1549"/>
      <c r="P50" s="1549"/>
      <c r="Q50" s="1549"/>
      <c r="R50" s="1549"/>
      <c r="S50" s="1549"/>
      <c r="T50" s="1549"/>
      <c r="U50" s="1549"/>
      <c r="V50" s="1549"/>
      <c r="W50" s="1549"/>
      <c r="X50" s="1549"/>
      <c r="Y50" s="1549"/>
      <c r="Z50" s="1549"/>
    </row>
    <row r="51" spans="1:26" ht="12.75" customHeight="1" x14ac:dyDescent="0.2">
      <c r="A51" s="1568"/>
      <c r="B51" s="1551"/>
      <c r="C51" s="1568"/>
      <c r="D51" s="1577" t="s">
        <v>3623</v>
      </c>
      <c r="E51" s="1578">
        <v>12</v>
      </c>
      <c r="F51" s="1595">
        <v>10597320.23</v>
      </c>
      <c r="G51" s="1592"/>
      <c r="H51" s="1577" t="s">
        <v>3641</v>
      </c>
      <c r="I51" s="1578">
        <v>4</v>
      </c>
      <c r="J51" s="1595">
        <v>5503.52</v>
      </c>
      <c r="K51" s="1594"/>
      <c r="L51" s="1554"/>
      <c r="M51" s="1549"/>
      <c r="N51" s="1549"/>
      <c r="O51" s="1549"/>
      <c r="P51" s="1549"/>
      <c r="Q51" s="1549"/>
      <c r="R51" s="1549"/>
      <c r="S51" s="1549"/>
      <c r="T51" s="1549"/>
      <c r="U51" s="1549"/>
      <c r="V51" s="1549"/>
      <c r="W51" s="1549"/>
      <c r="X51" s="1549"/>
      <c r="Y51" s="1549"/>
      <c r="Z51" s="1549"/>
    </row>
    <row r="52" spans="1:26" ht="12.75" customHeight="1" x14ac:dyDescent="0.2">
      <c r="A52" s="1568"/>
      <c r="B52" s="1551"/>
      <c r="C52" s="1568"/>
      <c r="D52" s="1577" t="s">
        <v>3622</v>
      </c>
      <c r="E52" s="1578">
        <v>5</v>
      </c>
      <c r="F52" s="1595">
        <v>2882146.62</v>
      </c>
      <c r="G52" s="1592"/>
      <c r="H52" s="1577" t="s">
        <v>3633</v>
      </c>
      <c r="I52" s="1578">
        <v>3</v>
      </c>
      <c r="J52" s="1595">
        <v>161766</v>
      </c>
      <c r="K52" s="1594"/>
      <c r="L52" s="1554"/>
      <c r="M52" s="1549"/>
      <c r="N52" s="1549"/>
      <c r="O52" s="1549"/>
      <c r="P52" s="1549"/>
      <c r="Q52" s="1549"/>
      <c r="R52" s="1549"/>
      <c r="S52" s="1549"/>
      <c r="T52" s="1549"/>
      <c r="U52" s="1549"/>
      <c r="V52" s="1549"/>
      <c r="W52" s="1549"/>
      <c r="X52" s="1549"/>
      <c r="Y52" s="1549"/>
      <c r="Z52" s="1549"/>
    </row>
    <row r="53" spans="1:26" ht="12.75" customHeight="1" x14ac:dyDescent="0.2">
      <c r="A53" s="1568"/>
      <c r="B53" s="1551"/>
      <c r="C53" s="1568"/>
      <c r="D53" s="1580"/>
      <c r="E53" s="1578"/>
      <c r="F53" s="1595"/>
      <c r="G53" s="1592"/>
      <c r="H53" s="1577" t="s">
        <v>3640</v>
      </c>
      <c r="I53" s="1578">
        <v>2</v>
      </c>
      <c r="J53" s="1595">
        <v>7119</v>
      </c>
      <c r="K53" s="1594"/>
      <c r="L53" s="1554"/>
      <c r="M53" s="1549"/>
      <c r="N53" s="1549"/>
      <c r="O53" s="1549"/>
      <c r="P53" s="1549"/>
      <c r="Q53" s="1549"/>
      <c r="R53" s="1549"/>
      <c r="S53" s="1549"/>
      <c r="T53" s="1549"/>
      <c r="U53" s="1549"/>
      <c r="V53" s="1549"/>
      <c r="W53" s="1549"/>
      <c r="X53" s="1549"/>
      <c r="Y53" s="1549"/>
      <c r="Z53" s="1549"/>
    </row>
    <row r="54" spans="1:26" ht="12.75" customHeight="1" x14ac:dyDescent="0.2">
      <c r="A54" s="1568"/>
      <c r="B54" s="1551"/>
      <c r="C54" s="1568"/>
      <c r="D54" s="1580"/>
      <c r="E54" s="1578"/>
      <c r="F54" s="1595"/>
      <c r="G54" s="1592"/>
      <c r="H54" s="1577" t="s">
        <v>3622</v>
      </c>
      <c r="I54" s="1578">
        <v>8</v>
      </c>
      <c r="J54" s="1595">
        <v>10679</v>
      </c>
      <c r="K54" s="1594"/>
      <c r="L54" s="1554"/>
      <c r="M54" s="1549"/>
      <c r="N54" s="1549"/>
      <c r="O54" s="1549"/>
      <c r="P54" s="1549"/>
      <c r="Q54" s="1549"/>
      <c r="R54" s="1549"/>
      <c r="S54" s="1549"/>
      <c r="T54" s="1549"/>
      <c r="U54" s="1549"/>
      <c r="V54" s="1549"/>
      <c r="W54" s="1549"/>
      <c r="X54" s="1549"/>
      <c r="Y54" s="1549"/>
      <c r="Z54" s="1549"/>
    </row>
    <row r="55" spans="1:26" ht="12.75" customHeight="1" x14ac:dyDescent="0.2">
      <c r="A55" s="1568"/>
      <c r="B55" s="1551"/>
      <c r="C55" s="1568"/>
      <c r="D55" s="1580"/>
      <c r="E55" s="1578"/>
      <c r="F55" s="1595"/>
      <c r="G55" s="1592"/>
      <c r="H55" s="1577" t="s">
        <v>3626</v>
      </c>
      <c r="I55" s="1578">
        <v>1</v>
      </c>
      <c r="J55" s="1595">
        <v>35340</v>
      </c>
      <c r="K55" s="1594"/>
      <c r="L55" s="1554"/>
      <c r="M55" s="1549"/>
      <c r="N55" s="1549"/>
      <c r="O55" s="1549"/>
      <c r="P55" s="1549"/>
      <c r="Q55" s="1549"/>
      <c r="R55" s="1549"/>
      <c r="S55" s="1549"/>
      <c r="T55" s="1549"/>
      <c r="U55" s="1549"/>
      <c r="V55" s="1549"/>
      <c r="W55" s="1549"/>
      <c r="X55" s="1549"/>
      <c r="Y55" s="1549"/>
      <c r="Z55" s="1549"/>
    </row>
    <row r="56" spans="1:26" ht="12.75" customHeight="1" x14ac:dyDescent="0.2">
      <c r="A56" s="1568"/>
      <c r="B56" s="1551"/>
      <c r="C56" s="1568"/>
      <c r="D56" s="1580"/>
      <c r="E56" s="1578"/>
      <c r="F56" s="1595"/>
      <c r="G56" s="1592"/>
      <c r="H56" s="1577" t="s">
        <v>3632</v>
      </c>
      <c r="I56" s="1578">
        <v>2</v>
      </c>
      <c r="J56" s="1595">
        <v>373047</v>
      </c>
      <c r="K56" s="1594"/>
      <c r="L56" s="1554"/>
      <c r="M56" s="1549"/>
      <c r="N56" s="1549"/>
      <c r="O56" s="1549"/>
      <c r="P56" s="1549"/>
      <c r="Q56" s="1549"/>
      <c r="R56" s="1549"/>
      <c r="S56" s="1549"/>
      <c r="T56" s="1549"/>
      <c r="U56" s="1549"/>
      <c r="V56" s="1549"/>
      <c r="W56" s="1549"/>
      <c r="X56" s="1549"/>
      <c r="Y56" s="1549"/>
      <c r="Z56" s="1549"/>
    </row>
    <row r="57" spans="1:26" ht="12.75" customHeight="1" x14ac:dyDescent="0.2">
      <c r="A57" s="1568"/>
      <c r="B57" s="1551"/>
      <c r="C57" s="1568"/>
      <c r="D57" s="1580"/>
      <c r="E57" s="1578"/>
      <c r="F57" s="1595"/>
      <c r="G57" s="1592"/>
      <c r="H57" s="1581" t="s">
        <v>3616</v>
      </c>
      <c r="I57" s="1582"/>
      <c r="J57" s="1596">
        <v>-17021409.149999999</v>
      </c>
      <c r="K57" s="1594"/>
      <c r="L57" s="1554"/>
      <c r="M57" s="1549"/>
      <c r="N57" s="1549"/>
      <c r="O57" s="1549"/>
      <c r="P57" s="1549"/>
      <c r="Q57" s="1549"/>
      <c r="R57" s="1549"/>
      <c r="S57" s="1549"/>
      <c r="T57" s="1549"/>
      <c r="U57" s="1549"/>
      <c r="V57" s="1549"/>
      <c r="W57" s="1549"/>
      <c r="X57" s="1549"/>
      <c r="Y57" s="1549"/>
      <c r="Z57" s="1549"/>
    </row>
    <row r="58" spans="1:26" ht="12.75" customHeight="1" thickBot="1" x14ac:dyDescent="0.25">
      <c r="A58" s="1568"/>
      <c r="B58" s="1551"/>
      <c r="C58" s="1568"/>
      <c r="D58" s="1584" t="s">
        <v>26</v>
      </c>
      <c r="E58" s="1585">
        <v>28</v>
      </c>
      <c r="F58" s="1597">
        <v>688801.02</v>
      </c>
      <c r="G58" s="1598"/>
      <c r="H58" s="1584" t="s">
        <v>26</v>
      </c>
      <c r="I58" s="1585">
        <v>191</v>
      </c>
      <c r="J58" s="1597">
        <v>688801.02</v>
      </c>
      <c r="K58" s="1594"/>
      <c r="L58" s="1554"/>
      <c r="M58" s="1549"/>
      <c r="N58" s="1549"/>
      <c r="O58" s="1549"/>
      <c r="P58" s="1549"/>
      <c r="Q58" s="1549"/>
      <c r="R58" s="1549"/>
      <c r="S58" s="1549"/>
      <c r="T58" s="1549"/>
      <c r="U58" s="1549"/>
      <c r="V58" s="1549"/>
      <c r="W58" s="1549"/>
      <c r="X58" s="1549"/>
      <c r="Y58" s="1549"/>
      <c r="Z58" s="1549"/>
    </row>
    <row r="59" spans="1:26" ht="12.75" customHeight="1" thickBot="1" x14ac:dyDescent="0.25">
      <c r="A59" s="1549"/>
      <c r="B59" s="1553"/>
      <c r="C59" s="1549"/>
      <c r="D59" s="1599"/>
      <c r="E59" s="1600"/>
      <c r="F59" s="1601"/>
      <c r="G59" s="1555"/>
      <c r="H59" s="1599"/>
      <c r="I59" s="1600"/>
      <c r="J59" s="1601"/>
      <c r="K59" s="1555"/>
      <c r="L59" s="1554"/>
      <c r="M59" s="1549"/>
      <c r="N59" s="1549"/>
      <c r="O59" s="1549"/>
      <c r="P59" s="1549"/>
      <c r="Q59" s="1549"/>
      <c r="R59" s="1549"/>
      <c r="S59" s="1549"/>
      <c r="T59" s="1549"/>
      <c r="U59" s="1549"/>
      <c r="V59" s="1549"/>
      <c r="W59" s="1549"/>
      <c r="X59" s="1549"/>
      <c r="Y59" s="1549"/>
      <c r="Z59" s="1549"/>
    </row>
    <row r="60" spans="1:26" ht="12.75" customHeight="1" thickBot="1" x14ac:dyDescent="0.25">
      <c r="A60" s="1549"/>
      <c r="B60" s="1553"/>
      <c r="C60" s="1549"/>
      <c r="D60" s="2673">
        <v>43009</v>
      </c>
      <c r="E60" s="2674"/>
      <c r="F60" s="2674"/>
      <c r="G60" s="2674"/>
      <c r="H60" s="2674"/>
      <c r="I60" s="2674"/>
      <c r="J60" s="2647"/>
      <c r="K60" s="1555"/>
      <c r="L60" s="1554"/>
      <c r="M60" s="1549"/>
      <c r="N60" s="1549"/>
      <c r="O60" s="1549"/>
      <c r="P60" s="1549"/>
      <c r="Q60" s="1549"/>
      <c r="R60" s="1549"/>
      <c r="S60" s="1549"/>
      <c r="T60" s="1549"/>
      <c r="U60" s="1549"/>
      <c r="V60" s="1549"/>
      <c r="W60" s="1549"/>
      <c r="X60" s="1549"/>
      <c r="Y60" s="1549"/>
      <c r="Z60" s="1549"/>
    </row>
    <row r="61" spans="1:26" ht="12.75" customHeight="1" x14ac:dyDescent="0.2">
      <c r="A61" s="1568"/>
      <c r="B61" s="1551"/>
      <c r="C61" s="1568"/>
      <c r="D61" s="1569" t="s">
        <v>3615</v>
      </c>
      <c r="E61" s="1570"/>
      <c r="F61" s="1591">
        <v>-17021409.149999999</v>
      </c>
      <c r="G61" s="1592"/>
      <c r="H61" s="1573" t="s">
        <v>3618</v>
      </c>
      <c r="I61" s="1574">
        <v>8</v>
      </c>
      <c r="J61" s="1593">
        <v>4523201.67</v>
      </c>
      <c r="K61" s="1594"/>
      <c r="L61" s="1554"/>
      <c r="M61" s="1549"/>
      <c r="N61" s="1549"/>
      <c r="O61" s="1549"/>
      <c r="P61" s="1549"/>
      <c r="Q61" s="1549"/>
      <c r="R61" s="1549"/>
      <c r="S61" s="1549"/>
      <c r="T61" s="1549"/>
      <c r="U61" s="1549"/>
      <c r="V61" s="1549"/>
      <c r="W61" s="1549"/>
      <c r="X61" s="1549"/>
      <c r="Y61" s="1549"/>
      <c r="Z61" s="1549"/>
    </row>
    <row r="62" spans="1:26" ht="12.75" customHeight="1" x14ac:dyDescent="0.2">
      <c r="A62" s="1568"/>
      <c r="B62" s="1551"/>
      <c r="C62" s="1568"/>
      <c r="D62" s="1577" t="s">
        <v>3624</v>
      </c>
      <c r="E62" s="1578">
        <v>13</v>
      </c>
      <c r="F62" s="1595">
        <v>3898874</v>
      </c>
      <c r="G62" s="1592"/>
      <c r="H62" s="1577" t="s">
        <v>3625</v>
      </c>
      <c r="I62" s="1578">
        <v>2</v>
      </c>
      <c r="J62" s="1595">
        <v>600000</v>
      </c>
      <c r="K62" s="1594"/>
      <c r="L62" s="1554"/>
      <c r="M62" s="1549"/>
      <c r="N62" s="1549"/>
      <c r="O62" s="1549"/>
      <c r="P62" s="1549"/>
      <c r="Q62" s="1549"/>
      <c r="R62" s="1549"/>
      <c r="S62" s="1549"/>
      <c r="T62" s="1549"/>
      <c r="U62" s="1549"/>
      <c r="V62" s="1549"/>
      <c r="W62" s="1549"/>
      <c r="X62" s="1549"/>
      <c r="Y62" s="1549"/>
      <c r="Z62" s="1549"/>
    </row>
    <row r="63" spans="1:26" ht="12.75" customHeight="1" x14ac:dyDescent="0.2">
      <c r="A63" s="1568"/>
      <c r="B63" s="1551"/>
      <c r="C63" s="1568"/>
      <c r="D63" s="1577" t="s">
        <v>3621</v>
      </c>
      <c r="E63" s="1578">
        <v>2</v>
      </c>
      <c r="F63" s="1595">
        <v>394400</v>
      </c>
      <c r="G63" s="1592"/>
      <c r="H63" s="1577" t="s">
        <v>3621</v>
      </c>
      <c r="I63" s="1578">
        <v>196</v>
      </c>
      <c r="J63" s="1595">
        <v>10989653.550000001</v>
      </c>
      <c r="K63" s="1594"/>
      <c r="L63" s="1554"/>
      <c r="M63" s="1549"/>
      <c r="N63" s="1549"/>
      <c r="O63" s="1549"/>
      <c r="P63" s="1549"/>
      <c r="Q63" s="1549"/>
      <c r="R63" s="1549"/>
      <c r="S63" s="1549"/>
      <c r="T63" s="1549"/>
      <c r="U63" s="1549"/>
      <c r="V63" s="1549"/>
      <c r="W63" s="1549"/>
      <c r="X63" s="1549"/>
      <c r="Y63" s="1549"/>
      <c r="Z63" s="1549"/>
    </row>
    <row r="64" spans="1:26" ht="12.75" customHeight="1" x14ac:dyDescent="0.2">
      <c r="A64" s="1568"/>
      <c r="B64" s="1551"/>
      <c r="C64" s="1568"/>
      <c r="D64" s="1577" t="s">
        <v>3619</v>
      </c>
      <c r="E64" s="1578">
        <v>3</v>
      </c>
      <c r="F64" s="1595">
        <v>1062715</v>
      </c>
      <c r="G64" s="1592"/>
      <c r="H64" s="1577" t="s">
        <v>3620</v>
      </c>
      <c r="I64" s="1578">
        <v>14</v>
      </c>
      <c r="J64" s="1595">
        <v>1900453</v>
      </c>
      <c r="K64" s="1594"/>
      <c r="L64" s="1554"/>
      <c r="M64" s="1549"/>
      <c r="N64" s="1549"/>
      <c r="O64" s="1549"/>
      <c r="P64" s="1549"/>
      <c r="Q64" s="1549"/>
      <c r="R64" s="1549"/>
      <c r="S64" s="1549"/>
      <c r="T64" s="1549"/>
      <c r="U64" s="1549"/>
      <c r="V64" s="1549"/>
      <c r="W64" s="1549"/>
      <c r="X64" s="1549"/>
      <c r="Y64" s="1549"/>
      <c r="Z64" s="1549"/>
    </row>
    <row r="65" spans="1:26" ht="12.75" customHeight="1" x14ac:dyDescent="0.2">
      <c r="A65" s="1568"/>
      <c r="B65" s="1551"/>
      <c r="C65" s="1568"/>
      <c r="D65" s="1577" t="s">
        <v>3623</v>
      </c>
      <c r="E65" s="1578">
        <v>15</v>
      </c>
      <c r="F65" s="1579">
        <v>10101031.869999999</v>
      </c>
      <c r="G65" s="1572"/>
      <c r="H65" s="1577" t="s">
        <v>3641</v>
      </c>
      <c r="I65" s="1578">
        <v>4</v>
      </c>
      <c r="J65" s="1579">
        <v>2034.55</v>
      </c>
      <c r="K65" s="1552"/>
      <c r="L65" s="1554"/>
      <c r="M65" s="1549"/>
      <c r="N65" s="1549"/>
      <c r="O65" s="1549"/>
      <c r="P65" s="1549"/>
      <c r="Q65" s="1549"/>
      <c r="R65" s="1549"/>
      <c r="S65" s="1549"/>
      <c r="T65" s="1549"/>
      <c r="U65" s="1549"/>
      <c r="V65" s="1549"/>
      <c r="W65" s="1549"/>
      <c r="X65" s="1549"/>
      <c r="Y65" s="1549"/>
      <c r="Z65" s="1549"/>
    </row>
    <row r="66" spans="1:26" ht="12.75" customHeight="1" x14ac:dyDescent="0.2">
      <c r="A66" s="1568"/>
      <c r="B66" s="1551"/>
      <c r="C66" s="1568"/>
      <c r="D66" s="1577" t="s">
        <v>3622</v>
      </c>
      <c r="E66" s="1578">
        <v>6</v>
      </c>
      <c r="F66" s="1579">
        <v>4086042.2</v>
      </c>
      <c r="G66" s="1572"/>
      <c r="H66" s="1577" t="s">
        <v>3635</v>
      </c>
      <c r="I66" s="1578">
        <v>13</v>
      </c>
      <c r="J66" s="1579">
        <v>158194</v>
      </c>
      <c r="K66" s="1552"/>
      <c r="L66" s="1554"/>
      <c r="M66" s="1549"/>
      <c r="N66" s="1549"/>
      <c r="O66" s="1549"/>
      <c r="P66" s="1549"/>
      <c r="Q66" s="1549"/>
      <c r="R66" s="1549"/>
      <c r="S66" s="1549"/>
      <c r="T66" s="1549"/>
      <c r="U66" s="1549"/>
      <c r="V66" s="1549"/>
      <c r="W66" s="1549"/>
      <c r="X66" s="1549"/>
      <c r="Y66" s="1549"/>
      <c r="Z66" s="1549"/>
    </row>
    <row r="67" spans="1:26" ht="12.75" customHeight="1" x14ac:dyDescent="0.2">
      <c r="A67" s="1568"/>
      <c r="B67" s="1551"/>
      <c r="C67" s="1568"/>
      <c r="D67" s="1580"/>
      <c r="E67" s="1578"/>
      <c r="F67" s="1579"/>
      <c r="G67" s="1572"/>
      <c r="H67" s="1577" t="s">
        <v>3633</v>
      </c>
      <c r="I67" s="1578">
        <v>3</v>
      </c>
      <c r="J67" s="1579">
        <v>167896</v>
      </c>
      <c r="K67" s="1552"/>
      <c r="L67" s="1554"/>
      <c r="M67" s="1549"/>
      <c r="N67" s="1549"/>
      <c r="O67" s="1549"/>
      <c r="P67" s="1549"/>
      <c r="Q67" s="1549"/>
      <c r="R67" s="1549"/>
      <c r="S67" s="1549"/>
      <c r="T67" s="1549"/>
      <c r="U67" s="1549"/>
      <c r="V67" s="1549"/>
      <c r="W67" s="1549"/>
      <c r="X67" s="1549"/>
      <c r="Y67" s="1549"/>
      <c r="Z67" s="1549"/>
    </row>
    <row r="68" spans="1:26" ht="12.75" customHeight="1" x14ac:dyDescent="0.2">
      <c r="A68" s="1568"/>
      <c r="B68" s="1551"/>
      <c r="C68" s="1568"/>
      <c r="D68" s="1580"/>
      <c r="E68" s="1578"/>
      <c r="F68" s="1579"/>
      <c r="G68" s="1572"/>
      <c r="H68" s="1577" t="s">
        <v>3619</v>
      </c>
      <c r="I68" s="1578">
        <v>1</v>
      </c>
      <c r="J68" s="1579">
        <v>300000</v>
      </c>
      <c r="K68" s="1552"/>
      <c r="L68" s="1554"/>
      <c r="M68" s="1549"/>
      <c r="N68" s="1549"/>
      <c r="O68" s="1549"/>
      <c r="P68" s="1549"/>
      <c r="Q68" s="1549"/>
      <c r="R68" s="1549"/>
      <c r="S68" s="1549"/>
      <c r="T68" s="1549"/>
      <c r="U68" s="1549"/>
      <c r="V68" s="1549"/>
      <c r="W68" s="1549"/>
      <c r="X68" s="1549"/>
      <c r="Y68" s="1549"/>
      <c r="Z68" s="1549"/>
    </row>
    <row r="69" spans="1:26" ht="12.75" customHeight="1" x14ac:dyDescent="0.2">
      <c r="A69" s="1568"/>
      <c r="B69" s="1551"/>
      <c r="C69" s="1568"/>
      <c r="D69" s="1580"/>
      <c r="E69" s="1578"/>
      <c r="F69" s="1579"/>
      <c r="G69" s="1572"/>
      <c r="H69" s="1577" t="s">
        <v>3640</v>
      </c>
      <c r="I69" s="1578">
        <v>1</v>
      </c>
      <c r="J69" s="1579">
        <v>584</v>
      </c>
      <c r="K69" s="1552"/>
      <c r="L69" s="1554"/>
      <c r="M69" s="1549"/>
      <c r="N69" s="1549"/>
      <c r="O69" s="1549"/>
      <c r="P69" s="1549"/>
      <c r="Q69" s="1549"/>
      <c r="R69" s="1549"/>
      <c r="S69" s="1549"/>
      <c r="T69" s="1549"/>
      <c r="U69" s="1549"/>
      <c r="V69" s="1549"/>
      <c r="W69" s="1549"/>
      <c r="X69" s="1549"/>
      <c r="Y69" s="1549"/>
      <c r="Z69" s="1549"/>
    </row>
    <row r="70" spans="1:26" ht="12.75" customHeight="1" x14ac:dyDescent="0.2">
      <c r="A70" s="1568"/>
      <c r="B70" s="1551"/>
      <c r="C70" s="1568"/>
      <c r="D70" s="1580"/>
      <c r="E70" s="1578"/>
      <c r="F70" s="1579"/>
      <c r="G70" s="1572"/>
      <c r="H70" s="1577" t="s">
        <v>3622</v>
      </c>
      <c r="I70" s="1578">
        <v>5</v>
      </c>
      <c r="J70" s="1579">
        <v>6536.36</v>
      </c>
      <c r="K70" s="1552"/>
      <c r="L70" s="1554"/>
      <c r="M70" s="1549"/>
      <c r="N70" s="1549"/>
      <c r="O70" s="1549"/>
      <c r="P70" s="1549"/>
      <c r="Q70" s="1549"/>
      <c r="R70" s="1549"/>
      <c r="S70" s="1549"/>
      <c r="T70" s="1549"/>
      <c r="U70" s="1549"/>
      <c r="V70" s="1549"/>
      <c r="W70" s="1549"/>
      <c r="X70" s="1549"/>
      <c r="Y70" s="1549"/>
      <c r="Z70" s="1549"/>
    </row>
    <row r="71" spans="1:26" ht="12.75" customHeight="1" x14ac:dyDescent="0.2">
      <c r="A71" s="1568"/>
      <c r="B71" s="1551"/>
      <c r="C71" s="1568"/>
      <c r="D71" s="1580"/>
      <c r="E71" s="1578"/>
      <c r="F71" s="1579"/>
      <c r="G71" s="1572"/>
      <c r="H71" s="1577" t="s">
        <v>3632</v>
      </c>
      <c r="I71" s="1578">
        <v>4</v>
      </c>
      <c r="J71" s="1579">
        <v>156400</v>
      </c>
      <c r="K71" s="1552"/>
      <c r="L71" s="1554"/>
      <c r="M71" s="1549"/>
      <c r="N71" s="1549"/>
      <c r="O71" s="1549"/>
      <c r="P71" s="1549"/>
      <c r="Q71" s="1549"/>
      <c r="R71" s="1549"/>
      <c r="S71" s="1549"/>
      <c r="T71" s="1549"/>
      <c r="U71" s="1549"/>
      <c r="V71" s="1549"/>
      <c r="W71" s="1549"/>
      <c r="X71" s="1549"/>
      <c r="Y71" s="1549"/>
      <c r="Z71" s="1549"/>
    </row>
    <row r="72" spans="1:26" ht="12.75" customHeight="1" x14ac:dyDescent="0.2">
      <c r="A72" s="1568"/>
      <c r="B72" s="1551"/>
      <c r="C72" s="1568"/>
      <c r="D72" s="1580"/>
      <c r="E72" s="1578"/>
      <c r="F72" s="1579"/>
      <c r="G72" s="1572"/>
      <c r="H72" s="1577" t="s">
        <v>3639</v>
      </c>
      <c r="I72" s="1578">
        <v>1</v>
      </c>
      <c r="J72" s="1579">
        <v>153313</v>
      </c>
      <c r="K72" s="1552"/>
      <c r="L72" s="1554"/>
      <c r="M72" s="1549"/>
      <c r="N72" s="1549"/>
      <c r="O72" s="1549"/>
      <c r="P72" s="1549"/>
      <c r="Q72" s="1549"/>
      <c r="R72" s="1549"/>
      <c r="S72" s="1549"/>
      <c r="T72" s="1549"/>
      <c r="U72" s="1549"/>
      <c r="V72" s="1549"/>
      <c r="W72" s="1549"/>
      <c r="X72" s="1549"/>
      <c r="Y72" s="1549"/>
      <c r="Z72" s="1549"/>
    </row>
    <row r="73" spans="1:26" ht="12.75" customHeight="1" x14ac:dyDescent="0.2">
      <c r="A73" s="1568"/>
      <c r="B73" s="1551"/>
      <c r="C73" s="1568"/>
      <c r="D73" s="1580"/>
      <c r="E73" s="1578"/>
      <c r="F73" s="1579"/>
      <c r="G73" s="1572"/>
      <c r="H73" s="1577" t="s">
        <v>3638</v>
      </c>
      <c r="I73" s="1578">
        <v>1</v>
      </c>
      <c r="J73" s="1579">
        <v>25000</v>
      </c>
      <c r="K73" s="1552"/>
      <c r="L73" s="1554"/>
      <c r="M73" s="1549"/>
      <c r="N73" s="1549"/>
      <c r="O73" s="1549"/>
      <c r="P73" s="1549"/>
      <c r="Q73" s="1549"/>
      <c r="R73" s="1549"/>
      <c r="S73" s="1549"/>
      <c r="T73" s="1549"/>
      <c r="U73" s="1549"/>
      <c r="V73" s="1549"/>
      <c r="W73" s="1549"/>
      <c r="X73" s="1549"/>
      <c r="Y73" s="1549"/>
      <c r="Z73" s="1549"/>
    </row>
    <row r="74" spans="1:26" ht="12.75" customHeight="1" x14ac:dyDescent="0.2">
      <c r="A74" s="1568"/>
      <c r="B74" s="1551"/>
      <c r="C74" s="1568"/>
      <c r="D74" s="1580"/>
      <c r="E74" s="1578"/>
      <c r="F74" s="1579"/>
      <c r="G74" s="1572"/>
      <c r="H74" s="1581" t="s">
        <v>3616</v>
      </c>
      <c r="I74" s="1582"/>
      <c r="J74" s="1583">
        <v>-16461612.210000001</v>
      </c>
      <c r="K74" s="1552"/>
      <c r="L74" s="1554"/>
      <c r="M74" s="1549"/>
      <c r="N74" s="1549"/>
      <c r="O74" s="1549"/>
      <c r="P74" s="1549"/>
      <c r="Q74" s="1549"/>
      <c r="R74" s="1549"/>
      <c r="S74" s="1549"/>
      <c r="T74" s="1549"/>
      <c r="U74" s="1549"/>
      <c r="V74" s="1549"/>
      <c r="W74" s="1549"/>
      <c r="X74" s="1549"/>
      <c r="Y74" s="1549"/>
      <c r="Z74" s="1549"/>
    </row>
    <row r="75" spans="1:26" ht="12.75" customHeight="1" thickBot="1" x14ac:dyDescent="0.25">
      <c r="A75" s="1568"/>
      <c r="B75" s="1551"/>
      <c r="C75" s="1568"/>
      <c r="D75" s="1584" t="s">
        <v>26</v>
      </c>
      <c r="E75" s="1585">
        <v>39</v>
      </c>
      <c r="F75" s="1586">
        <v>2521653.92</v>
      </c>
      <c r="G75" s="1587"/>
      <c r="H75" s="1584" t="s">
        <v>26</v>
      </c>
      <c r="I75" s="1585">
        <v>253</v>
      </c>
      <c r="J75" s="1586">
        <v>2521653.92</v>
      </c>
      <c r="K75" s="1552"/>
      <c r="L75" s="1554"/>
      <c r="M75" s="1549"/>
      <c r="N75" s="1549"/>
      <c r="O75" s="1549"/>
      <c r="P75" s="1549"/>
      <c r="Q75" s="1549"/>
      <c r="R75" s="1549"/>
      <c r="S75" s="1549"/>
      <c r="T75" s="1549"/>
      <c r="U75" s="1549"/>
      <c r="V75" s="1549"/>
      <c r="W75" s="1549"/>
      <c r="X75" s="1549"/>
      <c r="Y75" s="1549"/>
      <c r="Z75" s="1549"/>
    </row>
    <row r="76" spans="1:26" ht="12.75" customHeight="1" thickBot="1" x14ac:dyDescent="0.25">
      <c r="A76" s="1549"/>
      <c r="B76" s="1553"/>
      <c r="C76" s="1549"/>
      <c r="D76" s="1599"/>
      <c r="E76" s="1600"/>
      <c r="F76" s="1600"/>
      <c r="G76" s="1549"/>
      <c r="H76" s="1599"/>
      <c r="I76" s="1600"/>
      <c r="J76" s="1600"/>
      <c r="K76" s="1549"/>
      <c r="L76" s="1554"/>
      <c r="M76" s="1549"/>
      <c r="N76" s="1549"/>
      <c r="O76" s="1549"/>
      <c r="P76" s="1549"/>
      <c r="Q76" s="1549"/>
      <c r="R76" s="1549"/>
      <c r="S76" s="1549"/>
      <c r="T76" s="1549"/>
      <c r="U76" s="1549"/>
      <c r="V76" s="1549"/>
      <c r="W76" s="1549"/>
      <c r="X76" s="1549"/>
      <c r="Y76" s="1549"/>
      <c r="Z76" s="1549"/>
    </row>
    <row r="77" spans="1:26" ht="12.75" customHeight="1" thickBot="1" x14ac:dyDescent="0.25">
      <c r="A77" s="1549"/>
      <c r="B77" s="1553"/>
      <c r="C77" s="1549"/>
      <c r="D77" s="2673">
        <v>43040</v>
      </c>
      <c r="E77" s="2674"/>
      <c r="F77" s="2674"/>
      <c r="G77" s="2674"/>
      <c r="H77" s="2674"/>
      <c r="I77" s="2674"/>
      <c r="J77" s="2647"/>
      <c r="K77" s="1549"/>
      <c r="L77" s="1554"/>
      <c r="M77" s="1549"/>
      <c r="N77" s="1549"/>
      <c r="O77" s="1549"/>
      <c r="P77" s="1549"/>
      <c r="Q77" s="1549"/>
      <c r="R77" s="1549"/>
      <c r="S77" s="1549"/>
      <c r="T77" s="1549"/>
      <c r="U77" s="1549"/>
      <c r="V77" s="1549"/>
      <c r="W77" s="1549"/>
      <c r="X77" s="1549"/>
      <c r="Y77" s="1549"/>
      <c r="Z77" s="1549"/>
    </row>
    <row r="78" spans="1:26" ht="12.75" customHeight="1" x14ac:dyDescent="0.2">
      <c r="A78" s="1568"/>
      <c r="B78" s="1551"/>
      <c r="C78" s="1568"/>
      <c r="D78" s="1569" t="s">
        <v>3615</v>
      </c>
      <c r="E78" s="1570"/>
      <c r="F78" s="1571">
        <v>-16461612.210000001</v>
      </c>
      <c r="G78" s="1572"/>
      <c r="H78" s="1573" t="s">
        <v>3618</v>
      </c>
      <c r="I78" s="1574">
        <v>6</v>
      </c>
      <c r="J78" s="1575">
        <v>5634692</v>
      </c>
      <c r="K78" s="1552"/>
      <c r="L78" s="1554"/>
      <c r="M78" s="1549"/>
      <c r="N78" s="1549"/>
      <c r="O78" s="1549"/>
      <c r="P78" s="1549"/>
      <c r="Q78" s="1549"/>
      <c r="R78" s="1549"/>
      <c r="S78" s="1549"/>
      <c r="T78" s="1549"/>
      <c r="U78" s="1549"/>
      <c r="V78" s="1549"/>
      <c r="W78" s="1549"/>
      <c r="X78" s="1549"/>
      <c r="Y78" s="1549"/>
      <c r="Z78" s="1549"/>
    </row>
    <row r="79" spans="1:26" ht="12.75" customHeight="1" x14ac:dyDescent="0.2">
      <c r="A79" s="1568"/>
      <c r="B79" s="1551"/>
      <c r="C79" s="1568"/>
      <c r="D79" s="1577" t="s">
        <v>3619</v>
      </c>
      <c r="E79" s="1578">
        <v>4</v>
      </c>
      <c r="F79" s="1579">
        <v>1235226</v>
      </c>
      <c r="G79" s="1572"/>
      <c r="H79" s="1577" t="s">
        <v>3625</v>
      </c>
      <c r="I79" s="1578">
        <v>2</v>
      </c>
      <c r="J79" s="1579">
        <v>481165</v>
      </c>
      <c r="K79" s="1552"/>
      <c r="L79" s="1554"/>
      <c r="M79" s="1549"/>
      <c r="N79" s="1549"/>
      <c r="O79" s="1549"/>
      <c r="P79" s="1549"/>
      <c r="Q79" s="1549"/>
      <c r="R79" s="1549"/>
      <c r="S79" s="1549"/>
      <c r="T79" s="1549"/>
      <c r="U79" s="1549"/>
      <c r="V79" s="1549"/>
      <c r="W79" s="1549"/>
      <c r="X79" s="1549"/>
      <c r="Y79" s="1549"/>
      <c r="Z79" s="1549"/>
    </row>
    <row r="80" spans="1:26" ht="12.75" customHeight="1" x14ac:dyDescent="0.2">
      <c r="A80" s="1568"/>
      <c r="B80" s="1551"/>
      <c r="C80" s="1568"/>
      <c r="D80" s="1577" t="s">
        <v>3623</v>
      </c>
      <c r="E80" s="1578">
        <v>10</v>
      </c>
      <c r="F80" s="1579">
        <v>10799638.029999999</v>
      </c>
      <c r="G80" s="1572"/>
      <c r="H80" s="1577" t="s">
        <v>3621</v>
      </c>
      <c r="I80" s="1578">
        <v>112</v>
      </c>
      <c r="J80" s="1579">
        <v>6594432.5700000003</v>
      </c>
      <c r="K80" s="1552"/>
      <c r="L80" s="1554"/>
      <c r="M80" s="1549"/>
      <c r="N80" s="1549"/>
      <c r="O80" s="1549"/>
      <c r="P80" s="1549"/>
      <c r="Q80" s="1549"/>
      <c r="R80" s="1549"/>
      <c r="S80" s="1549"/>
      <c r="T80" s="1549"/>
      <c r="U80" s="1549"/>
      <c r="V80" s="1549"/>
      <c r="W80" s="1549"/>
      <c r="X80" s="1549"/>
      <c r="Y80" s="1549"/>
      <c r="Z80" s="1549"/>
    </row>
    <row r="81" spans="1:26" ht="12.75" customHeight="1" x14ac:dyDescent="0.2">
      <c r="A81" s="1568"/>
      <c r="B81" s="1551"/>
      <c r="C81" s="1568"/>
      <c r="D81" s="1577" t="s">
        <v>3622</v>
      </c>
      <c r="E81" s="1578">
        <v>3</v>
      </c>
      <c r="F81" s="1579">
        <v>3182665.95</v>
      </c>
      <c r="G81" s="1572"/>
      <c r="H81" s="1577" t="s">
        <v>3620</v>
      </c>
      <c r="I81" s="1578">
        <v>8</v>
      </c>
      <c r="J81" s="1579">
        <v>252602</v>
      </c>
      <c r="K81" s="1552"/>
      <c r="L81" s="1554"/>
      <c r="M81" s="1549"/>
      <c r="N81" s="1549"/>
      <c r="O81" s="1549"/>
      <c r="P81" s="1549"/>
      <c r="Q81" s="1549"/>
      <c r="R81" s="1549"/>
      <c r="S81" s="1549"/>
      <c r="T81" s="1549"/>
      <c r="U81" s="1549"/>
      <c r="V81" s="1549"/>
      <c r="W81" s="1549"/>
      <c r="X81" s="1549"/>
      <c r="Y81" s="1549"/>
      <c r="Z81" s="1549"/>
    </row>
    <row r="82" spans="1:26" ht="12.75" customHeight="1" x14ac:dyDescent="0.2">
      <c r="A82" s="1568"/>
      <c r="B82" s="1551"/>
      <c r="C82" s="1568"/>
      <c r="D82" s="1577" t="s">
        <v>3626</v>
      </c>
      <c r="E82" s="1578">
        <v>1</v>
      </c>
      <c r="F82" s="1579">
        <v>50594</v>
      </c>
      <c r="G82" s="1572"/>
      <c r="H82" s="1577" t="s">
        <v>3641</v>
      </c>
      <c r="I82" s="1578">
        <v>2</v>
      </c>
      <c r="J82" s="1579">
        <v>315.06</v>
      </c>
      <c r="K82" s="1552"/>
      <c r="L82" s="1554"/>
      <c r="M82" s="1549"/>
      <c r="N82" s="1549"/>
      <c r="O82" s="1549"/>
      <c r="P82" s="1549"/>
      <c r="Q82" s="1549"/>
      <c r="R82" s="1549"/>
      <c r="S82" s="1549"/>
      <c r="T82" s="1549"/>
      <c r="U82" s="1549"/>
      <c r="V82" s="1549"/>
      <c r="W82" s="1549"/>
      <c r="X82" s="1549"/>
      <c r="Y82" s="1549"/>
      <c r="Z82" s="1549"/>
    </row>
    <row r="83" spans="1:26" ht="12.75" customHeight="1" x14ac:dyDescent="0.2">
      <c r="A83" s="1568"/>
      <c r="B83" s="1551"/>
      <c r="C83" s="1568"/>
      <c r="D83" s="1580"/>
      <c r="E83" s="1578"/>
      <c r="F83" s="1579"/>
      <c r="G83" s="1572"/>
      <c r="H83" s="1577" t="s">
        <v>3635</v>
      </c>
      <c r="I83" s="1578">
        <v>11</v>
      </c>
      <c r="J83" s="1579">
        <v>117001</v>
      </c>
      <c r="K83" s="1552"/>
      <c r="L83" s="1554"/>
      <c r="M83" s="1549"/>
      <c r="N83" s="1549"/>
      <c r="O83" s="1549"/>
      <c r="P83" s="1549"/>
      <c r="Q83" s="1549"/>
      <c r="R83" s="1549"/>
      <c r="S83" s="1549"/>
      <c r="T83" s="1549"/>
      <c r="U83" s="1549"/>
      <c r="V83" s="1549"/>
      <c r="W83" s="1549"/>
      <c r="X83" s="1549"/>
      <c r="Y83" s="1549"/>
      <c r="Z83" s="1549"/>
    </row>
    <row r="84" spans="1:26" ht="12.75" customHeight="1" x14ac:dyDescent="0.2">
      <c r="A84" s="1568"/>
      <c r="B84" s="1551"/>
      <c r="C84" s="1568"/>
      <c r="D84" s="1580"/>
      <c r="E84" s="1578"/>
      <c r="F84" s="1579"/>
      <c r="G84" s="1572"/>
      <c r="H84" s="1577" t="s">
        <v>3633</v>
      </c>
      <c r="I84" s="1578">
        <v>3</v>
      </c>
      <c r="J84" s="1579">
        <v>176386</v>
      </c>
      <c r="K84" s="1552"/>
      <c r="L84" s="1554"/>
      <c r="M84" s="1549"/>
      <c r="N84" s="1549"/>
      <c r="O84" s="1549"/>
      <c r="P84" s="1549"/>
      <c r="Q84" s="1549"/>
      <c r="R84" s="1549"/>
      <c r="S84" s="1549"/>
      <c r="T84" s="1549"/>
      <c r="U84" s="1549"/>
      <c r="V84" s="1549"/>
      <c r="W84" s="1549"/>
      <c r="X84" s="1549"/>
      <c r="Y84" s="1549"/>
      <c r="Z84" s="1549"/>
    </row>
    <row r="85" spans="1:26" ht="12.75" customHeight="1" x14ac:dyDescent="0.2">
      <c r="A85" s="1568"/>
      <c r="B85" s="1551"/>
      <c r="C85" s="1568"/>
      <c r="D85" s="1580"/>
      <c r="E85" s="1578"/>
      <c r="F85" s="1579"/>
      <c r="G85" s="1572"/>
      <c r="H85" s="1577" t="s">
        <v>3622</v>
      </c>
      <c r="I85" s="1578">
        <v>3</v>
      </c>
      <c r="J85" s="1579">
        <v>4425</v>
      </c>
      <c r="K85" s="1552"/>
      <c r="L85" s="1554"/>
      <c r="M85" s="1549"/>
      <c r="N85" s="1549"/>
      <c r="O85" s="1549"/>
      <c r="P85" s="1549"/>
      <c r="Q85" s="1549"/>
      <c r="R85" s="1549"/>
      <c r="S85" s="1549"/>
      <c r="T85" s="1549"/>
      <c r="U85" s="1549"/>
      <c r="V85" s="1549"/>
      <c r="W85" s="1549"/>
      <c r="X85" s="1549"/>
      <c r="Y85" s="1549"/>
      <c r="Z85" s="1549"/>
    </row>
    <row r="86" spans="1:26" ht="12.75" customHeight="1" x14ac:dyDescent="0.2">
      <c r="A86" s="1568"/>
      <c r="B86" s="1551"/>
      <c r="C86" s="1568"/>
      <c r="D86" s="1580"/>
      <c r="E86" s="1578"/>
      <c r="F86" s="1579"/>
      <c r="G86" s="1572"/>
      <c r="H86" s="1577" t="s">
        <v>3632</v>
      </c>
      <c r="I86" s="1578">
        <v>1</v>
      </c>
      <c r="J86" s="1579">
        <v>11800</v>
      </c>
      <c r="K86" s="1552"/>
      <c r="L86" s="1554"/>
      <c r="M86" s="1549"/>
      <c r="N86" s="1549"/>
      <c r="O86" s="1549"/>
      <c r="P86" s="1549"/>
      <c r="Q86" s="1549"/>
      <c r="R86" s="1549"/>
      <c r="S86" s="1549"/>
      <c r="T86" s="1549"/>
      <c r="U86" s="1549"/>
      <c r="V86" s="1549"/>
      <c r="W86" s="1549"/>
      <c r="X86" s="1549"/>
      <c r="Y86" s="1549"/>
      <c r="Z86" s="1549"/>
    </row>
    <row r="87" spans="1:26" ht="12.75" customHeight="1" x14ac:dyDescent="0.2">
      <c r="A87" s="1568"/>
      <c r="B87" s="1551"/>
      <c r="C87" s="1568"/>
      <c r="D87" s="1580"/>
      <c r="E87" s="1578"/>
      <c r="F87" s="1579"/>
      <c r="G87" s="1572"/>
      <c r="H87" s="1581" t="s">
        <v>3616</v>
      </c>
      <c r="I87" s="1582"/>
      <c r="J87" s="1583">
        <v>-14466306.859999999</v>
      </c>
      <c r="K87" s="1552"/>
      <c r="L87" s="1554"/>
      <c r="M87" s="1549"/>
      <c r="N87" s="1549"/>
      <c r="O87" s="1549"/>
      <c r="P87" s="1549"/>
      <c r="Q87" s="1549"/>
      <c r="R87" s="1549"/>
      <c r="S87" s="1549"/>
      <c r="T87" s="1549"/>
      <c r="U87" s="1549"/>
      <c r="V87" s="1549"/>
      <c r="W87" s="1549"/>
      <c r="X87" s="1549"/>
      <c r="Y87" s="1549"/>
      <c r="Z87" s="1549"/>
    </row>
    <row r="88" spans="1:26" ht="12.75" customHeight="1" thickBot="1" x14ac:dyDescent="0.25">
      <c r="A88" s="1568"/>
      <c r="B88" s="1551"/>
      <c r="C88" s="1568"/>
      <c r="D88" s="1584" t="s">
        <v>26</v>
      </c>
      <c r="E88" s="1585">
        <v>18</v>
      </c>
      <c r="F88" s="1586">
        <v>-1193488.23</v>
      </c>
      <c r="G88" s="1587"/>
      <c r="H88" s="1584" t="s">
        <v>26</v>
      </c>
      <c r="I88" s="1585">
        <v>148</v>
      </c>
      <c r="J88" s="1586">
        <v>-1193488.23</v>
      </c>
      <c r="K88" s="1552"/>
      <c r="L88" s="1554"/>
      <c r="M88" s="1549"/>
      <c r="N88" s="1549"/>
      <c r="O88" s="1549"/>
      <c r="P88" s="1549"/>
      <c r="Q88" s="1549"/>
      <c r="R88" s="1549"/>
      <c r="S88" s="1549"/>
      <c r="T88" s="1549"/>
      <c r="U88" s="1549"/>
      <c r="V88" s="1549"/>
      <c r="W88" s="1549"/>
      <c r="X88" s="1549"/>
      <c r="Y88" s="1549"/>
      <c r="Z88" s="1549"/>
    </row>
    <row r="89" spans="1:26" ht="12.75" customHeight="1" thickBot="1" x14ac:dyDescent="0.25">
      <c r="A89" s="1549"/>
      <c r="B89" s="1553"/>
      <c r="C89" s="1549"/>
      <c r="D89" s="1599"/>
      <c r="E89" s="1600"/>
      <c r="F89" s="1601"/>
      <c r="G89" s="1555"/>
      <c r="H89" s="1599"/>
      <c r="I89" s="1600"/>
      <c r="J89" s="1601"/>
      <c r="K89" s="1555"/>
      <c r="L89" s="1554"/>
      <c r="M89" s="1549"/>
      <c r="N89" s="1549"/>
      <c r="O89" s="1549"/>
      <c r="P89" s="1549"/>
      <c r="Q89" s="1549"/>
      <c r="R89" s="1549"/>
      <c r="S89" s="1549"/>
      <c r="T89" s="1549"/>
      <c r="U89" s="1549"/>
      <c r="V89" s="1549"/>
      <c r="W89" s="1549"/>
      <c r="X89" s="1549"/>
      <c r="Y89" s="1549"/>
      <c r="Z89" s="1549"/>
    </row>
    <row r="90" spans="1:26" ht="12.75" customHeight="1" thickBot="1" x14ac:dyDescent="0.25">
      <c r="A90" s="1549"/>
      <c r="B90" s="1553"/>
      <c r="C90" s="1549"/>
      <c r="D90" s="2673">
        <v>43070</v>
      </c>
      <c r="E90" s="2674"/>
      <c r="F90" s="2674"/>
      <c r="G90" s="2674"/>
      <c r="H90" s="2674"/>
      <c r="I90" s="2674"/>
      <c r="J90" s="2647"/>
      <c r="K90" s="1555"/>
      <c r="L90" s="1554"/>
      <c r="M90" s="1549"/>
      <c r="N90" s="1549"/>
      <c r="O90" s="1549"/>
      <c r="P90" s="1549"/>
      <c r="Q90" s="1549"/>
      <c r="R90" s="1549"/>
      <c r="S90" s="1549"/>
      <c r="T90" s="1549"/>
      <c r="U90" s="1549"/>
      <c r="V90" s="1549"/>
      <c r="W90" s="1549"/>
      <c r="X90" s="1549"/>
      <c r="Y90" s="1549"/>
      <c r="Z90" s="1549"/>
    </row>
    <row r="91" spans="1:26" ht="12.75" customHeight="1" x14ac:dyDescent="0.2">
      <c r="A91" s="1568"/>
      <c r="B91" s="1551"/>
      <c r="C91" s="1568"/>
      <c r="D91" s="1569" t="s">
        <v>3615</v>
      </c>
      <c r="E91" s="1570"/>
      <c r="F91" s="1591">
        <v>-14466306.859999999</v>
      </c>
      <c r="G91" s="1592"/>
      <c r="H91" s="1573" t="s">
        <v>3618</v>
      </c>
      <c r="I91" s="1574">
        <v>9</v>
      </c>
      <c r="J91" s="1593">
        <v>23272762.550000001</v>
      </c>
      <c r="K91" s="1594"/>
      <c r="L91" s="1554"/>
      <c r="M91" s="1549"/>
      <c r="N91" s="1549"/>
      <c r="O91" s="1549"/>
      <c r="P91" s="1549"/>
      <c r="Q91" s="1549"/>
      <c r="R91" s="1549"/>
      <c r="S91" s="1549"/>
      <c r="T91" s="1549"/>
      <c r="U91" s="1549"/>
      <c r="V91" s="1549"/>
      <c r="W91" s="1549"/>
      <c r="X91" s="1549"/>
      <c r="Y91" s="1549"/>
      <c r="Z91" s="1549"/>
    </row>
    <row r="92" spans="1:26" ht="12.75" customHeight="1" x14ac:dyDescent="0.2">
      <c r="A92" s="1568"/>
      <c r="B92" s="1551"/>
      <c r="C92" s="1568"/>
      <c r="D92" s="1577" t="s">
        <v>3624</v>
      </c>
      <c r="E92" s="1578">
        <v>7</v>
      </c>
      <c r="F92" s="1595">
        <v>5120632</v>
      </c>
      <c r="G92" s="1592"/>
      <c r="H92" s="1577" t="s">
        <v>3625</v>
      </c>
      <c r="I92" s="1578">
        <v>1</v>
      </c>
      <c r="J92" s="1595">
        <v>500000</v>
      </c>
      <c r="K92" s="1594"/>
      <c r="L92" s="1554"/>
      <c r="M92" s="1549"/>
      <c r="N92" s="1549"/>
      <c r="O92" s="1549"/>
      <c r="P92" s="1549"/>
      <c r="Q92" s="1549"/>
      <c r="R92" s="1549"/>
      <c r="S92" s="1549"/>
      <c r="T92" s="1549"/>
      <c r="U92" s="1549"/>
      <c r="V92" s="1549"/>
      <c r="W92" s="1549"/>
      <c r="X92" s="1549"/>
      <c r="Y92" s="1549"/>
      <c r="Z92" s="1549"/>
    </row>
    <row r="93" spans="1:26" ht="12.75" customHeight="1" x14ac:dyDescent="0.2">
      <c r="A93" s="1568"/>
      <c r="B93" s="1551"/>
      <c r="C93" s="1568"/>
      <c r="D93" s="1577" t="s">
        <v>3621</v>
      </c>
      <c r="E93" s="1578">
        <v>1</v>
      </c>
      <c r="F93" s="1595">
        <v>5000</v>
      </c>
      <c r="G93" s="1592"/>
      <c r="H93" s="1577" t="s">
        <v>3621</v>
      </c>
      <c r="I93" s="1578">
        <v>133</v>
      </c>
      <c r="J93" s="1595">
        <v>13256660.68</v>
      </c>
      <c r="K93" s="1594"/>
      <c r="L93" s="1554"/>
      <c r="M93" s="1549"/>
      <c r="N93" s="1549"/>
      <c r="O93" s="1549"/>
      <c r="P93" s="1549"/>
      <c r="Q93" s="1549"/>
      <c r="R93" s="1549"/>
      <c r="S93" s="1549"/>
      <c r="T93" s="1549"/>
      <c r="U93" s="1549"/>
      <c r="V93" s="1549"/>
      <c r="W93" s="1549"/>
      <c r="X93" s="1549"/>
      <c r="Y93" s="1549"/>
      <c r="Z93" s="1549"/>
    </row>
    <row r="94" spans="1:26" ht="12.75" customHeight="1" x14ac:dyDescent="0.2">
      <c r="A94" s="1568"/>
      <c r="B94" s="1551"/>
      <c r="C94" s="1568"/>
      <c r="D94" s="1577" t="s">
        <v>3620</v>
      </c>
      <c r="E94" s="1578">
        <v>1</v>
      </c>
      <c r="F94" s="1595">
        <v>47035</v>
      </c>
      <c r="G94" s="1592"/>
      <c r="H94" s="1577" t="s">
        <v>3620</v>
      </c>
      <c r="I94" s="1578">
        <v>3</v>
      </c>
      <c r="J94" s="1595">
        <v>1514935</v>
      </c>
      <c r="K94" s="1594"/>
      <c r="L94" s="1554"/>
      <c r="M94" s="1549"/>
      <c r="N94" s="1549"/>
      <c r="O94" s="1549"/>
      <c r="P94" s="1549"/>
      <c r="Q94" s="1549"/>
      <c r="R94" s="1549"/>
      <c r="S94" s="1549"/>
      <c r="T94" s="1549"/>
      <c r="U94" s="1549"/>
      <c r="V94" s="1549"/>
      <c r="W94" s="1549"/>
      <c r="X94" s="1549"/>
      <c r="Y94" s="1549"/>
      <c r="Z94" s="1549"/>
    </row>
    <row r="95" spans="1:26" ht="12.75" customHeight="1" x14ac:dyDescent="0.2">
      <c r="A95" s="1568"/>
      <c r="B95" s="1551"/>
      <c r="C95" s="1568"/>
      <c r="D95" s="1577" t="s">
        <v>3619</v>
      </c>
      <c r="E95" s="1578">
        <v>1</v>
      </c>
      <c r="F95" s="1595">
        <v>451277</v>
      </c>
      <c r="G95" s="1592"/>
      <c r="H95" s="1577" t="s">
        <v>3641</v>
      </c>
      <c r="I95" s="1578">
        <v>10</v>
      </c>
      <c r="J95" s="1595">
        <v>5163.16</v>
      </c>
      <c r="K95" s="1594"/>
      <c r="L95" s="1554"/>
      <c r="M95" s="1549"/>
      <c r="N95" s="1549"/>
      <c r="O95" s="1549"/>
      <c r="P95" s="1549"/>
      <c r="Q95" s="1549"/>
      <c r="R95" s="1549"/>
      <c r="S95" s="1549"/>
      <c r="T95" s="1549"/>
      <c r="U95" s="1549"/>
      <c r="V95" s="1549"/>
      <c r="W95" s="1549"/>
      <c r="X95" s="1549"/>
      <c r="Y95" s="1549"/>
      <c r="Z95" s="1549"/>
    </row>
    <row r="96" spans="1:26" ht="12.75" customHeight="1" x14ac:dyDescent="0.2">
      <c r="A96" s="1568"/>
      <c r="B96" s="1551"/>
      <c r="C96" s="1568"/>
      <c r="D96" s="1577" t="s">
        <v>3623</v>
      </c>
      <c r="E96" s="1578">
        <v>13</v>
      </c>
      <c r="F96" s="1595">
        <v>16467927.050000001</v>
      </c>
      <c r="G96" s="1592"/>
      <c r="H96" s="1577" t="s">
        <v>3635</v>
      </c>
      <c r="I96" s="1578">
        <v>18</v>
      </c>
      <c r="J96" s="1595">
        <v>110584</v>
      </c>
      <c r="K96" s="1594"/>
      <c r="L96" s="1554"/>
      <c r="M96" s="1549"/>
      <c r="N96" s="1549"/>
      <c r="O96" s="1549"/>
      <c r="P96" s="1549"/>
      <c r="Q96" s="1549"/>
      <c r="R96" s="1549"/>
      <c r="S96" s="1549"/>
      <c r="T96" s="1549"/>
      <c r="U96" s="1549"/>
      <c r="V96" s="1549"/>
      <c r="W96" s="1549"/>
      <c r="X96" s="1549"/>
      <c r="Y96" s="1549"/>
      <c r="Z96" s="1549"/>
    </row>
    <row r="97" spans="1:26" ht="12.75" customHeight="1" x14ac:dyDescent="0.2">
      <c r="A97" s="1568"/>
      <c r="B97" s="1551"/>
      <c r="C97" s="1568"/>
      <c r="D97" s="1577" t="s">
        <v>3622</v>
      </c>
      <c r="E97" s="1578">
        <v>4</v>
      </c>
      <c r="F97" s="1595">
        <v>4872330.78</v>
      </c>
      <c r="G97" s="1592"/>
      <c r="H97" s="1577" t="s">
        <v>3633</v>
      </c>
      <c r="I97" s="1578">
        <v>3</v>
      </c>
      <c r="J97" s="1595">
        <v>174181</v>
      </c>
      <c r="K97" s="1594"/>
      <c r="L97" s="1554"/>
      <c r="M97" s="1549"/>
      <c r="N97" s="1549"/>
      <c r="O97" s="1549"/>
      <c r="P97" s="1549"/>
      <c r="Q97" s="1549"/>
      <c r="R97" s="1549"/>
      <c r="S97" s="1549"/>
      <c r="T97" s="1549"/>
      <c r="U97" s="1549"/>
      <c r="V97" s="1549"/>
      <c r="W97" s="1549"/>
      <c r="X97" s="1549"/>
      <c r="Y97" s="1549"/>
      <c r="Z97" s="1549"/>
    </row>
    <row r="98" spans="1:26" ht="12.75" customHeight="1" x14ac:dyDescent="0.2">
      <c r="A98" s="1568"/>
      <c r="B98" s="1551"/>
      <c r="C98" s="1568"/>
      <c r="D98" s="1577" t="s">
        <v>3626</v>
      </c>
      <c r="E98" s="1578">
        <v>3</v>
      </c>
      <c r="F98" s="1595">
        <v>215315</v>
      </c>
      <c r="G98" s="1592"/>
      <c r="H98" s="1577" t="s">
        <v>3640</v>
      </c>
      <c r="I98" s="1578">
        <v>2</v>
      </c>
      <c r="J98" s="1595">
        <v>7246</v>
      </c>
      <c r="K98" s="1594"/>
      <c r="L98" s="1554"/>
      <c r="M98" s="1549"/>
      <c r="N98" s="1549"/>
      <c r="O98" s="1549"/>
      <c r="P98" s="1549"/>
      <c r="Q98" s="1549"/>
      <c r="R98" s="1549"/>
      <c r="S98" s="1549"/>
      <c r="T98" s="1549"/>
      <c r="U98" s="1549"/>
      <c r="V98" s="1549"/>
      <c r="W98" s="1549"/>
      <c r="X98" s="1549"/>
      <c r="Y98" s="1549"/>
      <c r="Z98" s="1549"/>
    </row>
    <row r="99" spans="1:26" ht="12.75" customHeight="1" x14ac:dyDescent="0.2">
      <c r="A99" s="1568"/>
      <c r="B99" s="1551"/>
      <c r="C99" s="1568"/>
      <c r="D99" s="1580"/>
      <c r="E99" s="1578"/>
      <c r="F99" s="1595"/>
      <c r="G99" s="1592"/>
      <c r="H99" s="1577" t="s">
        <v>3631</v>
      </c>
      <c r="I99" s="1578">
        <v>2</v>
      </c>
      <c r="J99" s="1595">
        <v>1874917</v>
      </c>
      <c r="K99" s="1594"/>
      <c r="L99" s="1554"/>
      <c r="M99" s="1549"/>
      <c r="N99" s="1549"/>
      <c r="O99" s="1549"/>
      <c r="P99" s="1549"/>
      <c r="Q99" s="1549"/>
      <c r="R99" s="1549"/>
      <c r="S99" s="1549"/>
      <c r="T99" s="1549"/>
      <c r="U99" s="1549"/>
      <c r="V99" s="1549"/>
      <c r="W99" s="1549"/>
      <c r="X99" s="1549"/>
      <c r="Y99" s="1549"/>
      <c r="Z99" s="1549"/>
    </row>
    <row r="100" spans="1:26" ht="12.75" customHeight="1" x14ac:dyDescent="0.2">
      <c r="A100" s="1568"/>
      <c r="B100" s="1551"/>
      <c r="C100" s="1568"/>
      <c r="D100" s="1580"/>
      <c r="E100" s="1578"/>
      <c r="F100" s="1595"/>
      <c r="G100" s="1592"/>
      <c r="H100" s="1577" t="s">
        <v>3622</v>
      </c>
      <c r="I100" s="1578">
        <v>3</v>
      </c>
      <c r="J100" s="1595">
        <v>4425</v>
      </c>
      <c r="K100" s="1594"/>
      <c r="L100" s="1554"/>
      <c r="M100" s="1549"/>
      <c r="N100" s="1549"/>
      <c r="O100" s="1549"/>
      <c r="P100" s="1549"/>
      <c r="Q100" s="1549"/>
      <c r="R100" s="1549"/>
      <c r="S100" s="1549"/>
      <c r="T100" s="1549"/>
      <c r="U100" s="1549"/>
      <c r="V100" s="1549"/>
      <c r="W100" s="1549"/>
      <c r="X100" s="1549"/>
      <c r="Y100" s="1549"/>
      <c r="Z100" s="1549"/>
    </row>
    <row r="101" spans="1:26" ht="12.75" customHeight="1" x14ac:dyDescent="0.2">
      <c r="A101" s="1568"/>
      <c r="B101" s="1551"/>
      <c r="C101" s="1568"/>
      <c r="D101" s="1580"/>
      <c r="E101" s="1578"/>
      <c r="F101" s="1595"/>
      <c r="G101" s="1592"/>
      <c r="H101" s="1577" t="s">
        <v>3626</v>
      </c>
      <c r="I101" s="1578">
        <v>5</v>
      </c>
      <c r="J101" s="1595">
        <v>108662</v>
      </c>
      <c r="K101" s="1594"/>
      <c r="L101" s="1554"/>
      <c r="M101" s="1549"/>
      <c r="N101" s="1549"/>
      <c r="O101" s="1549"/>
      <c r="P101" s="1549"/>
      <c r="Q101" s="1549"/>
      <c r="R101" s="1549"/>
      <c r="S101" s="1549"/>
      <c r="T101" s="1549"/>
      <c r="U101" s="1549"/>
      <c r="V101" s="1549"/>
      <c r="W101" s="1549"/>
      <c r="X101" s="1549"/>
      <c r="Y101" s="1549"/>
      <c r="Z101" s="1549"/>
    </row>
    <row r="102" spans="1:26" ht="12.75" customHeight="1" x14ac:dyDescent="0.2">
      <c r="A102" s="1568"/>
      <c r="B102" s="1551"/>
      <c r="C102" s="1568"/>
      <c r="D102" s="1580"/>
      <c r="E102" s="1578"/>
      <c r="F102" s="1579"/>
      <c r="G102" s="1572"/>
      <c r="H102" s="1577" t="s">
        <v>3632</v>
      </c>
      <c r="I102" s="1578">
        <v>2</v>
      </c>
      <c r="J102" s="1579">
        <v>45600</v>
      </c>
      <c r="K102" s="1552"/>
      <c r="L102" s="1554"/>
      <c r="M102" s="1549"/>
      <c r="N102" s="1549"/>
      <c r="O102" s="1549"/>
      <c r="P102" s="1549"/>
      <c r="Q102" s="1549"/>
      <c r="R102" s="1549"/>
      <c r="S102" s="1549"/>
      <c r="T102" s="1549"/>
      <c r="U102" s="1549"/>
      <c r="V102" s="1549"/>
      <c r="W102" s="1549"/>
      <c r="X102" s="1549"/>
      <c r="Y102" s="1549"/>
      <c r="Z102" s="1549"/>
    </row>
    <row r="103" spans="1:26" ht="12.75" customHeight="1" x14ac:dyDescent="0.2">
      <c r="A103" s="1568"/>
      <c r="B103" s="1551"/>
      <c r="C103" s="1568"/>
      <c r="D103" s="1580"/>
      <c r="E103" s="1578"/>
      <c r="F103" s="1579"/>
      <c r="G103" s="1572"/>
      <c r="H103" s="1581" t="s">
        <v>3616</v>
      </c>
      <c r="I103" s="1582"/>
      <c r="J103" s="1583">
        <v>-28161926.420000002</v>
      </c>
      <c r="K103" s="1552"/>
      <c r="L103" s="1554"/>
      <c r="M103" s="1549"/>
      <c r="N103" s="1549"/>
      <c r="O103" s="1549"/>
      <c r="P103" s="1549"/>
      <c r="Q103" s="1549"/>
      <c r="R103" s="1549"/>
      <c r="S103" s="1549"/>
      <c r="T103" s="1549"/>
      <c r="U103" s="1549"/>
      <c r="V103" s="1549"/>
      <c r="W103" s="1549"/>
      <c r="X103" s="1549"/>
      <c r="Y103" s="1549"/>
      <c r="Z103" s="1549"/>
    </row>
    <row r="104" spans="1:26" ht="12.75" customHeight="1" thickBot="1" x14ac:dyDescent="0.25">
      <c r="A104" s="1568"/>
      <c r="B104" s="1551"/>
      <c r="C104" s="1568"/>
      <c r="D104" s="1584" t="s">
        <v>26</v>
      </c>
      <c r="E104" s="1585">
        <v>30</v>
      </c>
      <c r="F104" s="1586">
        <v>12713209.970000001</v>
      </c>
      <c r="G104" s="1587"/>
      <c r="H104" s="1584" t="s">
        <v>26</v>
      </c>
      <c r="I104" s="1585">
        <v>191</v>
      </c>
      <c r="J104" s="1586">
        <v>12713209.970000001</v>
      </c>
      <c r="K104" s="1552"/>
      <c r="L104" s="1554"/>
      <c r="M104" s="1549"/>
      <c r="N104" s="1549"/>
      <c r="O104" s="1549"/>
      <c r="P104" s="1549"/>
      <c r="Q104" s="1549"/>
      <c r="R104" s="1549"/>
      <c r="S104" s="1549"/>
      <c r="T104" s="1549"/>
      <c r="U104" s="1549"/>
      <c r="V104" s="1549"/>
      <c r="W104" s="1549"/>
      <c r="X104" s="1549"/>
      <c r="Y104" s="1549"/>
      <c r="Z104" s="1549"/>
    </row>
    <row r="105" spans="1:26" ht="12.75" customHeight="1" thickBot="1" x14ac:dyDescent="0.25">
      <c r="A105" s="1549"/>
      <c r="B105" s="1553"/>
      <c r="C105" s="1549"/>
      <c r="D105" s="1599"/>
      <c r="E105" s="1600"/>
      <c r="F105" s="1600"/>
      <c r="G105" s="1549"/>
      <c r="H105" s="1599"/>
      <c r="I105" s="1600"/>
      <c r="J105" s="1600"/>
      <c r="K105" s="1549"/>
      <c r="L105" s="1554"/>
      <c r="M105" s="1549"/>
      <c r="N105" s="1549"/>
      <c r="O105" s="1549"/>
      <c r="P105" s="1549"/>
      <c r="Q105" s="1549"/>
      <c r="R105" s="1549"/>
      <c r="S105" s="1549"/>
      <c r="T105" s="1549"/>
      <c r="U105" s="1549"/>
      <c r="V105" s="1549"/>
      <c r="W105" s="1549"/>
      <c r="X105" s="1549"/>
      <c r="Y105" s="1549"/>
      <c r="Z105" s="1549"/>
    </row>
    <row r="106" spans="1:26" ht="12.75" customHeight="1" thickBot="1" x14ac:dyDescent="0.25">
      <c r="A106" s="1549"/>
      <c r="B106" s="1553"/>
      <c r="C106" s="1549"/>
      <c r="D106" s="2673">
        <v>43101</v>
      </c>
      <c r="E106" s="2674"/>
      <c r="F106" s="2674"/>
      <c r="G106" s="2674"/>
      <c r="H106" s="2674"/>
      <c r="I106" s="2674"/>
      <c r="J106" s="2647"/>
      <c r="K106" s="1549"/>
      <c r="L106" s="1554"/>
      <c r="M106" s="1549"/>
      <c r="N106" s="1549"/>
      <c r="O106" s="1549"/>
      <c r="P106" s="1549"/>
      <c r="Q106" s="1549"/>
      <c r="R106" s="1549"/>
      <c r="S106" s="1549"/>
      <c r="T106" s="1549"/>
      <c r="U106" s="1549"/>
      <c r="V106" s="1549"/>
      <c r="W106" s="1549"/>
      <c r="X106" s="1549"/>
      <c r="Y106" s="1549"/>
      <c r="Z106" s="1549"/>
    </row>
    <row r="107" spans="1:26" ht="12.75" customHeight="1" x14ac:dyDescent="0.2">
      <c r="A107" s="1568"/>
      <c r="B107" s="1551"/>
      <c r="C107" s="1568"/>
      <c r="D107" s="1569" t="s">
        <v>3615</v>
      </c>
      <c r="E107" s="1570"/>
      <c r="F107" s="1571">
        <v>-28161926.420000002</v>
      </c>
      <c r="G107" s="1572"/>
      <c r="H107" s="1573" t="s">
        <v>3618</v>
      </c>
      <c r="I107" s="1574">
        <v>4</v>
      </c>
      <c r="J107" s="1575">
        <v>2530909.11</v>
      </c>
      <c r="K107" s="1552"/>
      <c r="L107" s="1554"/>
      <c r="M107" s="1549"/>
      <c r="N107" s="1549"/>
      <c r="O107" s="1549"/>
      <c r="P107" s="1549"/>
      <c r="Q107" s="1549"/>
      <c r="R107" s="1549"/>
      <c r="S107" s="1549"/>
      <c r="T107" s="1549"/>
      <c r="U107" s="1549"/>
      <c r="V107" s="1549"/>
      <c r="W107" s="1549"/>
      <c r="X107" s="1549"/>
      <c r="Y107" s="1549"/>
      <c r="Z107" s="1549"/>
    </row>
    <row r="108" spans="1:26" ht="12.75" customHeight="1" x14ac:dyDescent="0.2">
      <c r="A108" s="1568"/>
      <c r="B108" s="1551"/>
      <c r="C108" s="1568"/>
      <c r="D108" s="1577" t="s">
        <v>3624</v>
      </c>
      <c r="E108" s="1578">
        <v>11</v>
      </c>
      <c r="F108" s="1579">
        <v>3510543</v>
      </c>
      <c r="G108" s="1572"/>
      <c r="H108" s="1577" t="s">
        <v>3625</v>
      </c>
      <c r="I108" s="1578">
        <v>3</v>
      </c>
      <c r="J108" s="1579">
        <v>400000</v>
      </c>
      <c r="K108" s="1552"/>
      <c r="L108" s="1554"/>
      <c r="M108" s="1549"/>
      <c r="N108" s="1549"/>
      <c r="O108" s="1549"/>
      <c r="P108" s="1549"/>
      <c r="Q108" s="1549"/>
      <c r="R108" s="1549"/>
      <c r="S108" s="1549"/>
      <c r="T108" s="1549"/>
      <c r="U108" s="1549"/>
      <c r="V108" s="1549"/>
      <c r="W108" s="1549"/>
      <c r="X108" s="1549"/>
      <c r="Y108" s="1549"/>
      <c r="Z108" s="1549"/>
    </row>
    <row r="109" spans="1:26" ht="12.75" customHeight="1" x14ac:dyDescent="0.2">
      <c r="A109" s="1568"/>
      <c r="B109" s="1551"/>
      <c r="C109" s="1568"/>
      <c r="D109" s="1577" t="s">
        <v>3618</v>
      </c>
      <c r="E109" s="1578">
        <v>1</v>
      </c>
      <c r="F109" s="1579">
        <v>19000000</v>
      </c>
      <c r="G109" s="1572"/>
      <c r="H109" s="1577" t="s">
        <v>3621</v>
      </c>
      <c r="I109" s="1578">
        <v>130</v>
      </c>
      <c r="J109" s="1579">
        <v>8605774.5600000005</v>
      </c>
      <c r="K109" s="1552"/>
      <c r="L109" s="1554"/>
      <c r="M109" s="1549"/>
      <c r="N109" s="1549"/>
      <c r="O109" s="1549"/>
      <c r="P109" s="1549"/>
      <c r="Q109" s="1549"/>
      <c r="R109" s="1549"/>
      <c r="S109" s="1549"/>
      <c r="T109" s="1549"/>
      <c r="U109" s="1549"/>
      <c r="V109" s="1549"/>
      <c r="W109" s="1549"/>
      <c r="X109" s="1549"/>
      <c r="Y109" s="1549"/>
      <c r="Z109" s="1549"/>
    </row>
    <row r="110" spans="1:26" ht="12.75" customHeight="1" x14ac:dyDescent="0.2">
      <c r="A110" s="1568"/>
      <c r="B110" s="1551"/>
      <c r="C110" s="1568"/>
      <c r="D110" s="1577" t="s">
        <v>3620</v>
      </c>
      <c r="E110" s="1578">
        <v>2</v>
      </c>
      <c r="F110" s="1579">
        <v>104044</v>
      </c>
      <c r="G110" s="1572"/>
      <c r="H110" s="1577" t="s">
        <v>3620</v>
      </c>
      <c r="I110" s="1578">
        <v>15</v>
      </c>
      <c r="J110" s="1579">
        <v>3520460</v>
      </c>
      <c r="K110" s="1552"/>
      <c r="L110" s="1554"/>
      <c r="M110" s="1549"/>
      <c r="N110" s="1549"/>
      <c r="O110" s="1549"/>
      <c r="P110" s="1549"/>
      <c r="Q110" s="1549"/>
      <c r="R110" s="1549"/>
      <c r="S110" s="1549"/>
      <c r="T110" s="1549"/>
      <c r="U110" s="1549"/>
      <c r="V110" s="1549"/>
      <c r="W110" s="1549"/>
      <c r="X110" s="1549"/>
      <c r="Y110" s="1549"/>
      <c r="Z110" s="1549"/>
    </row>
    <row r="111" spans="1:26" ht="12.75" customHeight="1" x14ac:dyDescent="0.2">
      <c r="A111" s="1568"/>
      <c r="B111" s="1551"/>
      <c r="C111" s="1568"/>
      <c r="D111" s="1577" t="s">
        <v>3619</v>
      </c>
      <c r="E111" s="1578">
        <v>2</v>
      </c>
      <c r="F111" s="1579">
        <v>598230.64</v>
      </c>
      <c r="G111" s="1572"/>
      <c r="H111" s="1577" t="s">
        <v>3641</v>
      </c>
      <c r="I111" s="1578">
        <v>9</v>
      </c>
      <c r="J111" s="1579">
        <v>7498.5</v>
      </c>
      <c r="K111" s="1552"/>
      <c r="L111" s="1554"/>
      <c r="M111" s="1549"/>
      <c r="N111" s="1549"/>
      <c r="O111" s="1549"/>
      <c r="P111" s="1549"/>
      <c r="Q111" s="1549"/>
      <c r="R111" s="1549"/>
      <c r="S111" s="1549"/>
      <c r="T111" s="1549"/>
      <c r="U111" s="1549"/>
      <c r="V111" s="1549"/>
      <c r="W111" s="1549"/>
      <c r="X111" s="1549"/>
      <c r="Y111" s="1549"/>
      <c r="Z111" s="1549"/>
    </row>
    <row r="112" spans="1:26" ht="12.75" customHeight="1" x14ac:dyDescent="0.2">
      <c r="A112" s="1568"/>
      <c r="B112" s="1551"/>
      <c r="C112" s="1568"/>
      <c r="D112" s="1577" t="s">
        <v>3623</v>
      </c>
      <c r="E112" s="1578">
        <v>15</v>
      </c>
      <c r="F112" s="1579">
        <v>11886408.02</v>
      </c>
      <c r="G112" s="1572"/>
      <c r="H112" s="1577" t="s">
        <v>3635</v>
      </c>
      <c r="I112" s="1578">
        <v>24</v>
      </c>
      <c r="J112" s="1579">
        <v>77493</v>
      </c>
      <c r="K112" s="1552"/>
      <c r="L112" s="1554"/>
      <c r="M112" s="1549"/>
      <c r="N112" s="1549"/>
      <c r="O112" s="1549"/>
      <c r="P112" s="1549"/>
      <c r="Q112" s="1549"/>
      <c r="R112" s="1549"/>
      <c r="S112" s="1549"/>
      <c r="T112" s="1549"/>
      <c r="U112" s="1549"/>
      <c r="V112" s="1549"/>
      <c r="W112" s="1549"/>
      <c r="X112" s="1549"/>
      <c r="Y112" s="1549"/>
      <c r="Z112" s="1549"/>
    </row>
    <row r="113" spans="1:26" ht="12.75" customHeight="1" x14ac:dyDescent="0.2">
      <c r="A113" s="1568"/>
      <c r="B113" s="1551"/>
      <c r="C113" s="1568"/>
      <c r="D113" s="1577" t="s">
        <v>3622</v>
      </c>
      <c r="E113" s="1578">
        <v>3</v>
      </c>
      <c r="F113" s="1579">
        <v>5603829.0800000001</v>
      </c>
      <c r="G113" s="1572"/>
      <c r="H113" s="1577" t="s">
        <v>3633</v>
      </c>
      <c r="I113" s="1578">
        <v>3</v>
      </c>
      <c r="J113" s="1579">
        <v>174081</v>
      </c>
      <c r="K113" s="1552"/>
      <c r="L113" s="1554"/>
      <c r="M113" s="1549"/>
      <c r="N113" s="1549"/>
      <c r="O113" s="1549"/>
      <c r="P113" s="1549"/>
      <c r="Q113" s="1549"/>
      <c r="R113" s="1549"/>
      <c r="S113" s="1549"/>
      <c r="T113" s="1549"/>
      <c r="U113" s="1549"/>
      <c r="V113" s="1549"/>
      <c r="W113" s="1549"/>
      <c r="X113" s="1549"/>
      <c r="Y113" s="1549"/>
      <c r="Z113" s="1549"/>
    </row>
    <row r="114" spans="1:26" ht="12.75" customHeight="1" x14ac:dyDescent="0.2">
      <c r="A114" s="1568"/>
      <c r="B114" s="1551"/>
      <c r="C114" s="1568"/>
      <c r="D114" s="1580"/>
      <c r="E114" s="1578"/>
      <c r="F114" s="1579"/>
      <c r="G114" s="1572"/>
      <c r="H114" s="1577" t="s">
        <v>3640</v>
      </c>
      <c r="I114" s="1578">
        <v>3</v>
      </c>
      <c r="J114" s="1579">
        <v>12651.33</v>
      </c>
      <c r="K114" s="1552"/>
      <c r="L114" s="1554"/>
      <c r="M114" s="1549"/>
      <c r="N114" s="1549"/>
      <c r="O114" s="1549"/>
      <c r="P114" s="1549"/>
      <c r="Q114" s="1549"/>
      <c r="R114" s="1549"/>
      <c r="S114" s="1549"/>
      <c r="T114" s="1549"/>
      <c r="U114" s="1549"/>
      <c r="V114" s="1549"/>
      <c r="W114" s="1549"/>
      <c r="X114" s="1549"/>
      <c r="Y114" s="1549"/>
      <c r="Z114" s="1549"/>
    </row>
    <row r="115" spans="1:26" ht="12.75" customHeight="1" x14ac:dyDescent="0.2">
      <c r="A115" s="1568"/>
      <c r="B115" s="1551"/>
      <c r="C115" s="1568"/>
      <c r="D115" s="1580"/>
      <c r="E115" s="1578"/>
      <c r="F115" s="1579"/>
      <c r="G115" s="1572"/>
      <c r="H115" s="1577" t="s">
        <v>3622</v>
      </c>
      <c r="I115" s="1578">
        <v>5</v>
      </c>
      <c r="J115" s="1579">
        <v>11800</v>
      </c>
      <c r="K115" s="1552"/>
      <c r="L115" s="1554"/>
      <c r="M115" s="1549"/>
      <c r="N115" s="1549"/>
      <c r="O115" s="1549"/>
      <c r="P115" s="1549"/>
      <c r="Q115" s="1549"/>
      <c r="R115" s="1549"/>
      <c r="S115" s="1549"/>
      <c r="T115" s="1549"/>
      <c r="U115" s="1549"/>
      <c r="V115" s="1549"/>
      <c r="W115" s="1549"/>
      <c r="X115" s="1549"/>
      <c r="Y115" s="1549"/>
      <c r="Z115" s="1549"/>
    </row>
    <row r="116" spans="1:26" ht="12.75" customHeight="1" x14ac:dyDescent="0.2">
      <c r="A116" s="1568"/>
      <c r="B116" s="1551"/>
      <c r="C116" s="1568"/>
      <c r="D116" s="1580"/>
      <c r="E116" s="1578"/>
      <c r="F116" s="1579"/>
      <c r="G116" s="1572"/>
      <c r="H116" s="1577" t="s">
        <v>3626</v>
      </c>
      <c r="I116" s="1578">
        <v>1</v>
      </c>
      <c r="J116" s="1579">
        <v>200448</v>
      </c>
      <c r="K116" s="1552"/>
      <c r="L116" s="1554"/>
      <c r="M116" s="1549"/>
      <c r="N116" s="1549"/>
      <c r="O116" s="1549"/>
      <c r="P116" s="1549"/>
      <c r="Q116" s="1549"/>
      <c r="R116" s="1549"/>
      <c r="S116" s="1549"/>
      <c r="T116" s="1549"/>
      <c r="U116" s="1549"/>
      <c r="V116" s="1549"/>
      <c r="W116" s="1549"/>
      <c r="X116" s="1549"/>
      <c r="Y116" s="1549"/>
      <c r="Z116" s="1549"/>
    </row>
    <row r="117" spans="1:26" ht="12.75" customHeight="1" x14ac:dyDescent="0.2">
      <c r="A117" s="1568"/>
      <c r="B117" s="1551"/>
      <c r="C117" s="1568"/>
      <c r="D117" s="1580"/>
      <c r="E117" s="1578"/>
      <c r="F117" s="1579"/>
      <c r="G117" s="1572"/>
      <c r="H117" s="1577" t="s">
        <v>3632</v>
      </c>
      <c r="I117" s="1578">
        <v>2</v>
      </c>
      <c r="J117" s="1579">
        <v>484716</v>
      </c>
      <c r="K117" s="1552"/>
      <c r="L117" s="1554"/>
      <c r="M117" s="1549"/>
      <c r="N117" s="1549"/>
      <c r="O117" s="1549"/>
      <c r="P117" s="1549"/>
      <c r="Q117" s="1549"/>
      <c r="R117" s="1549"/>
      <c r="S117" s="1549"/>
      <c r="T117" s="1549"/>
      <c r="U117" s="1549"/>
      <c r="V117" s="1549"/>
      <c r="W117" s="1549"/>
      <c r="X117" s="1549"/>
      <c r="Y117" s="1549"/>
      <c r="Z117" s="1549"/>
    </row>
    <row r="118" spans="1:26" ht="12.75" customHeight="1" x14ac:dyDescent="0.2">
      <c r="A118" s="1568"/>
      <c r="B118" s="1551"/>
      <c r="C118" s="1568"/>
      <c r="D118" s="1580"/>
      <c r="E118" s="1578"/>
      <c r="F118" s="1579"/>
      <c r="G118" s="1572"/>
      <c r="H118" s="1577" t="s">
        <v>3638</v>
      </c>
      <c r="I118" s="1578">
        <v>3</v>
      </c>
      <c r="J118" s="1579">
        <v>100241.38</v>
      </c>
      <c r="K118" s="1552"/>
      <c r="L118" s="1554"/>
      <c r="M118" s="1549"/>
      <c r="N118" s="1549"/>
      <c r="O118" s="1549"/>
      <c r="P118" s="1549"/>
      <c r="Q118" s="1549"/>
      <c r="R118" s="1549"/>
      <c r="S118" s="1549"/>
      <c r="T118" s="1549"/>
      <c r="U118" s="1549"/>
      <c r="V118" s="1549"/>
      <c r="W118" s="1549"/>
      <c r="X118" s="1549"/>
      <c r="Y118" s="1549"/>
      <c r="Z118" s="1549"/>
    </row>
    <row r="119" spans="1:26" ht="12.75" customHeight="1" x14ac:dyDescent="0.2">
      <c r="A119" s="1568"/>
      <c r="B119" s="1551"/>
      <c r="C119" s="1568"/>
      <c r="D119" s="1580"/>
      <c r="E119" s="1578"/>
      <c r="F119" s="1595"/>
      <c r="G119" s="1592"/>
      <c r="H119" s="1581" t="s">
        <v>3616</v>
      </c>
      <c r="I119" s="1582"/>
      <c r="J119" s="1596">
        <v>-3584944.56</v>
      </c>
      <c r="K119" s="1594"/>
      <c r="L119" s="1554"/>
      <c r="M119" s="1549"/>
      <c r="N119" s="1549"/>
      <c r="O119" s="1549"/>
      <c r="P119" s="1549"/>
      <c r="Q119" s="1549"/>
      <c r="R119" s="1549"/>
      <c r="S119" s="1549"/>
      <c r="T119" s="1549"/>
      <c r="U119" s="1549"/>
      <c r="V119" s="1549"/>
      <c r="W119" s="1549"/>
      <c r="X119" s="1549"/>
      <c r="Y119" s="1549"/>
      <c r="Z119" s="1549"/>
    </row>
    <row r="120" spans="1:26" ht="12.75" customHeight="1" thickBot="1" x14ac:dyDescent="0.25">
      <c r="A120" s="1568"/>
      <c r="B120" s="1551"/>
      <c r="C120" s="1568"/>
      <c r="D120" s="1584" t="s">
        <v>26</v>
      </c>
      <c r="E120" s="1585">
        <v>34</v>
      </c>
      <c r="F120" s="1597">
        <v>12541128.32</v>
      </c>
      <c r="G120" s="1598"/>
      <c r="H120" s="1584" t="s">
        <v>26</v>
      </c>
      <c r="I120" s="1585">
        <v>202</v>
      </c>
      <c r="J120" s="1597">
        <v>12541128.32</v>
      </c>
      <c r="K120" s="1594"/>
      <c r="L120" s="1554"/>
      <c r="M120" s="1549"/>
      <c r="N120" s="1549"/>
      <c r="O120" s="1549"/>
      <c r="P120" s="1549"/>
      <c r="Q120" s="1549"/>
      <c r="R120" s="1549"/>
      <c r="S120" s="1549"/>
      <c r="T120" s="1549"/>
      <c r="U120" s="1549"/>
      <c r="V120" s="1549"/>
      <c r="W120" s="1549"/>
      <c r="X120" s="1549"/>
      <c r="Y120" s="1549"/>
      <c r="Z120" s="1549"/>
    </row>
    <row r="121" spans="1:26" ht="12.75" customHeight="1" thickBot="1" x14ac:dyDescent="0.25">
      <c r="A121" s="1549"/>
      <c r="B121" s="1553"/>
      <c r="C121" s="1549"/>
      <c r="D121" s="1599"/>
      <c r="E121" s="1600"/>
      <c r="F121" s="1601"/>
      <c r="G121" s="1555"/>
      <c r="H121" s="1599"/>
      <c r="I121" s="1600"/>
      <c r="J121" s="1601"/>
      <c r="K121" s="1555"/>
      <c r="L121" s="1554"/>
      <c r="M121" s="1549"/>
      <c r="N121" s="1549"/>
      <c r="O121" s="1549"/>
      <c r="P121" s="1549"/>
      <c r="Q121" s="1549"/>
      <c r="R121" s="1549"/>
      <c r="S121" s="1549"/>
      <c r="T121" s="1549"/>
      <c r="U121" s="1549"/>
      <c r="V121" s="1549"/>
      <c r="W121" s="1549"/>
      <c r="X121" s="1549"/>
      <c r="Y121" s="1549"/>
      <c r="Z121" s="1549"/>
    </row>
    <row r="122" spans="1:26" ht="12.75" customHeight="1" thickBot="1" x14ac:dyDescent="0.25">
      <c r="A122" s="1549"/>
      <c r="B122" s="1553"/>
      <c r="C122" s="1549"/>
      <c r="D122" s="2673">
        <v>43132</v>
      </c>
      <c r="E122" s="2674"/>
      <c r="F122" s="2674"/>
      <c r="G122" s="2674"/>
      <c r="H122" s="2674"/>
      <c r="I122" s="2674"/>
      <c r="J122" s="2647"/>
      <c r="K122" s="1555"/>
      <c r="L122" s="1554"/>
      <c r="M122" s="1549"/>
      <c r="N122" s="1549"/>
      <c r="O122" s="1549"/>
      <c r="P122" s="1549"/>
      <c r="Q122" s="1549"/>
      <c r="R122" s="1549"/>
      <c r="S122" s="1549"/>
      <c r="T122" s="1549"/>
      <c r="U122" s="1549"/>
      <c r="V122" s="1549"/>
      <c r="W122" s="1549"/>
      <c r="X122" s="1549"/>
      <c r="Y122" s="1549"/>
      <c r="Z122" s="1549"/>
    </row>
    <row r="123" spans="1:26" ht="12.75" customHeight="1" x14ac:dyDescent="0.2">
      <c r="A123" s="1568"/>
      <c r="B123" s="1551"/>
      <c r="C123" s="1568"/>
      <c r="D123" s="1569" t="s">
        <v>3615</v>
      </c>
      <c r="E123" s="1570"/>
      <c r="F123" s="1591">
        <v>-3584944.56</v>
      </c>
      <c r="G123" s="1592"/>
      <c r="H123" s="1573" t="s">
        <v>3618</v>
      </c>
      <c r="I123" s="1574">
        <v>4</v>
      </c>
      <c r="J123" s="1593">
        <v>2559800</v>
      </c>
      <c r="K123" s="1594"/>
      <c r="L123" s="1554"/>
      <c r="M123" s="1549"/>
      <c r="N123" s="1549"/>
      <c r="O123" s="1549"/>
      <c r="P123" s="1549"/>
      <c r="Q123" s="1549"/>
      <c r="R123" s="1549"/>
      <c r="S123" s="1549"/>
      <c r="T123" s="1549"/>
      <c r="U123" s="1549"/>
      <c r="V123" s="1549"/>
      <c r="W123" s="1549"/>
      <c r="X123" s="1549"/>
      <c r="Y123" s="1549"/>
      <c r="Z123" s="1549"/>
    </row>
    <row r="124" spans="1:26" ht="12.75" customHeight="1" x14ac:dyDescent="0.2">
      <c r="A124" s="1568"/>
      <c r="B124" s="1551"/>
      <c r="C124" s="1568"/>
      <c r="D124" s="1577" t="s">
        <v>3624</v>
      </c>
      <c r="E124" s="1578">
        <v>4</v>
      </c>
      <c r="F124" s="1595">
        <v>694348</v>
      </c>
      <c r="G124" s="1592"/>
      <c r="H124" s="1577" t="s">
        <v>3625</v>
      </c>
      <c r="I124" s="1578">
        <v>4</v>
      </c>
      <c r="J124" s="1595">
        <v>606689</v>
      </c>
      <c r="K124" s="1594"/>
      <c r="L124" s="1554"/>
      <c r="M124" s="1549"/>
      <c r="N124" s="1549"/>
      <c r="O124" s="1549"/>
      <c r="P124" s="1549"/>
      <c r="Q124" s="1549"/>
      <c r="R124" s="1549"/>
      <c r="S124" s="1549"/>
      <c r="T124" s="1549"/>
      <c r="U124" s="1549"/>
      <c r="V124" s="1549"/>
      <c r="W124" s="1549"/>
      <c r="X124" s="1549"/>
      <c r="Y124" s="1549"/>
      <c r="Z124" s="1549"/>
    </row>
    <row r="125" spans="1:26" ht="12.75" customHeight="1" x14ac:dyDescent="0.2">
      <c r="A125" s="1568"/>
      <c r="B125" s="1551"/>
      <c r="C125" s="1568"/>
      <c r="D125" s="1577" t="s">
        <v>3620</v>
      </c>
      <c r="E125" s="1578">
        <v>1</v>
      </c>
      <c r="F125" s="1595">
        <v>45361</v>
      </c>
      <c r="G125" s="1592"/>
      <c r="H125" s="1577" t="s">
        <v>3621</v>
      </c>
      <c r="I125" s="1578">
        <v>133</v>
      </c>
      <c r="J125" s="1595">
        <v>9109650.0800000001</v>
      </c>
      <c r="K125" s="1594"/>
      <c r="L125" s="1554"/>
      <c r="M125" s="1549"/>
      <c r="N125" s="1549"/>
      <c r="O125" s="1549"/>
      <c r="P125" s="1549"/>
      <c r="Q125" s="1549"/>
      <c r="R125" s="1549"/>
      <c r="S125" s="1549"/>
      <c r="T125" s="1549"/>
      <c r="U125" s="1549"/>
      <c r="V125" s="1549"/>
      <c r="W125" s="1549"/>
      <c r="X125" s="1549"/>
      <c r="Y125" s="1549"/>
      <c r="Z125" s="1549"/>
    </row>
    <row r="126" spans="1:26" ht="12.75" customHeight="1" x14ac:dyDescent="0.2">
      <c r="A126" s="1568"/>
      <c r="B126" s="1551"/>
      <c r="C126" s="1568"/>
      <c r="D126" s="1577" t="s">
        <v>3634</v>
      </c>
      <c r="E126" s="1578">
        <v>1</v>
      </c>
      <c r="F126" s="1595">
        <v>32</v>
      </c>
      <c r="G126" s="1592"/>
      <c r="H126" s="1577" t="s">
        <v>3620</v>
      </c>
      <c r="I126" s="1578">
        <v>11</v>
      </c>
      <c r="J126" s="1595">
        <v>2807387.17</v>
      </c>
      <c r="K126" s="1594"/>
      <c r="L126" s="1554"/>
      <c r="M126" s="1549"/>
      <c r="N126" s="1549"/>
      <c r="O126" s="1549"/>
      <c r="P126" s="1549"/>
      <c r="Q126" s="1549"/>
      <c r="R126" s="1549"/>
      <c r="S126" s="1549"/>
      <c r="T126" s="1549"/>
      <c r="U126" s="1549"/>
      <c r="V126" s="1549"/>
      <c r="W126" s="1549"/>
      <c r="X126" s="1549"/>
      <c r="Y126" s="1549"/>
      <c r="Z126" s="1549"/>
    </row>
    <row r="127" spans="1:26" ht="12.75" customHeight="1" x14ac:dyDescent="0.2">
      <c r="A127" s="1568"/>
      <c r="B127" s="1551"/>
      <c r="C127" s="1568"/>
      <c r="D127" s="1577" t="s">
        <v>3619</v>
      </c>
      <c r="E127" s="1578">
        <v>2</v>
      </c>
      <c r="F127" s="1595">
        <v>507817</v>
      </c>
      <c r="G127" s="1592"/>
      <c r="H127" s="1577" t="s">
        <v>3641</v>
      </c>
      <c r="I127" s="1578">
        <v>4</v>
      </c>
      <c r="J127" s="1595">
        <v>1864.02</v>
      </c>
      <c r="K127" s="1594"/>
      <c r="L127" s="1554"/>
      <c r="M127" s="1549"/>
      <c r="N127" s="1549"/>
      <c r="O127" s="1549"/>
      <c r="P127" s="1549"/>
      <c r="Q127" s="1549"/>
      <c r="R127" s="1549"/>
      <c r="S127" s="1549"/>
      <c r="T127" s="1549"/>
      <c r="U127" s="1549"/>
      <c r="V127" s="1549"/>
      <c r="W127" s="1549"/>
      <c r="X127" s="1549"/>
      <c r="Y127" s="1549"/>
      <c r="Z127" s="1549"/>
    </row>
    <row r="128" spans="1:26" ht="12.75" customHeight="1" x14ac:dyDescent="0.2">
      <c r="A128" s="1568"/>
      <c r="B128" s="1551"/>
      <c r="C128" s="1568"/>
      <c r="D128" s="1577" t="s">
        <v>3623</v>
      </c>
      <c r="E128" s="1578">
        <v>21</v>
      </c>
      <c r="F128" s="1595">
        <v>13027400.939999999</v>
      </c>
      <c r="G128" s="1592"/>
      <c r="H128" s="1577" t="s">
        <v>3634</v>
      </c>
      <c r="I128" s="1578">
        <v>1</v>
      </c>
      <c r="J128" s="1595">
        <v>32</v>
      </c>
      <c r="K128" s="1594"/>
      <c r="L128" s="1554"/>
      <c r="M128" s="1549"/>
      <c r="N128" s="1549"/>
      <c r="O128" s="1549"/>
      <c r="P128" s="1549"/>
      <c r="Q128" s="1549"/>
      <c r="R128" s="1549"/>
      <c r="S128" s="1549"/>
      <c r="T128" s="1549"/>
      <c r="U128" s="1549"/>
      <c r="V128" s="1549"/>
      <c r="W128" s="1549"/>
      <c r="X128" s="1549"/>
      <c r="Y128" s="1549"/>
      <c r="Z128" s="1549"/>
    </row>
    <row r="129" spans="1:26" ht="12.75" customHeight="1" x14ac:dyDescent="0.2">
      <c r="A129" s="1568"/>
      <c r="B129" s="1551"/>
      <c r="C129" s="1568"/>
      <c r="D129" s="1577" t="s">
        <v>3622</v>
      </c>
      <c r="E129" s="1578">
        <v>2</v>
      </c>
      <c r="F129" s="1595">
        <v>48234.73</v>
      </c>
      <c r="G129" s="1592"/>
      <c r="H129" s="1577" t="s">
        <v>3636</v>
      </c>
      <c r="I129" s="1578">
        <v>1</v>
      </c>
      <c r="J129" s="1595">
        <v>144266</v>
      </c>
      <c r="K129" s="1594"/>
      <c r="L129" s="1554"/>
      <c r="M129" s="1549"/>
      <c r="N129" s="1549"/>
      <c r="O129" s="1549"/>
      <c r="P129" s="1549"/>
      <c r="Q129" s="1549"/>
      <c r="R129" s="1549"/>
      <c r="S129" s="1549"/>
      <c r="T129" s="1549"/>
      <c r="U129" s="1549"/>
      <c r="V129" s="1549"/>
      <c r="W129" s="1549"/>
      <c r="X129" s="1549"/>
      <c r="Y129" s="1549"/>
      <c r="Z129" s="1549"/>
    </row>
    <row r="130" spans="1:26" ht="12.75" customHeight="1" x14ac:dyDescent="0.2">
      <c r="A130" s="1568"/>
      <c r="B130" s="1551"/>
      <c r="C130" s="1568"/>
      <c r="D130" s="1580"/>
      <c r="E130" s="1578"/>
      <c r="F130" s="1595"/>
      <c r="G130" s="1592"/>
      <c r="H130" s="1577" t="s">
        <v>3635</v>
      </c>
      <c r="I130" s="1578">
        <v>24</v>
      </c>
      <c r="J130" s="1595">
        <v>144161</v>
      </c>
      <c r="K130" s="1594"/>
      <c r="L130" s="1554"/>
      <c r="M130" s="1549"/>
      <c r="N130" s="1549"/>
      <c r="O130" s="1549"/>
      <c r="P130" s="1549"/>
      <c r="Q130" s="1549"/>
      <c r="R130" s="1549"/>
      <c r="S130" s="1549"/>
      <c r="T130" s="1549"/>
      <c r="U130" s="1549"/>
      <c r="V130" s="1549"/>
      <c r="W130" s="1549"/>
      <c r="X130" s="1549"/>
      <c r="Y130" s="1549"/>
      <c r="Z130" s="1549"/>
    </row>
    <row r="131" spans="1:26" ht="12.75" customHeight="1" x14ac:dyDescent="0.2">
      <c r="A131" s="1568"/>
      <c r="B131" s="1551"/>
      <c r="C131" s="1568"/>
      <c r="D131" s="1580"/>
      <c r="E131" s="1578"/>
      <c r="F131" s="1595"/>
      <c r="G131" s="1592"/>
      <c r="H131" s="1577" t="s">
        <v>3633</v>
      </c>
      <c r="I131" s="1578">
        <v>3</v>
      </c>
      <c r="J131" s="1595">
        <v>171478</v>
      </c>
      <c r="K131" s="1594"/>
      <c r="L131" s="1554"/>
      <c r="M131" s="1549"/>
      <c r="N131" s="1549"/>
      <c r="O131" s="1549"/>
      <c r="P131" s="1549"/>
      <c r="Q131" s="1549"/>
      <c r="R131" s="1549"/>
      <c r="S131" s="1549"/>
      <c r="T131" s="1549"/>
      <c r="U131" s="1549"/>
      <c r="V131" s="1549"/>
      <c r="W131" s="1549"/>
      <c r="X131" s="1549"/>
      <c r="Y131" s="1549"/>
      <c r="Z131" s="1549"/>
    </row>
    <row r="132" spans="1:26" ht="12.75" customHeight="1" x14ac:dyDescent="0.2">
      <c r="A132" s="1568"/>
      <c r="B132" s="1551"/>
      <c r="C132" s="1568"/>
      <c r="D132" s="1580"/>
      <c r="E132" s="1578"/>
      <c r="F132" s="1595"/>
      <c r="G132" s="1592"/>
      <c r="H132" s="1577" t="s">
        <v>3619</v>
      </c>
      <c r="I132" s="1578">
        <v>1</v>
      </c>
      <c r="J132" s="1595">
        <v>20000000</v>
      </c>
      <c r="K132" s="1594"/>
      <c r="L132" s="1554"/>
      <c r="M132" s="1549"/>
      <c r="N132" s="1549"/>
      <c r="O132" s="1549"/>
      <c r="P132" s="1549"/>
      <c r="Q132" s="1549"/>
      <c r="R132" s="1549"/>
      <c r="S132" s="1549"/>
      <c r="T132" s="1549"/>
      <c r="U132" s="1549"/>
      <c r="V132" s="1549"/>
      <c r="W132" s="1549"/>
      <c r="X132" s="1549"/>
      <c r="Y132" s="1549"/>
      <c r="Z132" s="1549"/>
    </row>
    <row r="133" spans="1:26" ht="12.75" customHeight="1" x14ac:dyDescent="0.2">
      <c r="A133" s="1568"/>
      <c r="B133" s="1551"/>
      <c r="C133" s="1568"/>
      <c r="D133" s="1580"/>
      <c r="E133" s="1578"/>
      <c r="F133" s="1595"/>
      <c r="G133" s="1592"/>
      <c r="H133" s="1577" t="s">
        <v>3622</v>
      </c>
      <c r="I133" s="1578">
        <v>6</v>
      </c>
      <c r="J133" s="1595">
        <v>11312.97</v>
      </c>
      <c r="K133" s="1594"/>
      <c r="L133" s="1554"/>
      <c r="M133" s="1549"/>
      <c r="N133" s="1549"/>
      <c r="O133" s="1549"/>
      <c r="P133" s="1549"/>
      <c r="Q133" s="1549"/>
      <c r="R133" s="1549"/>
      <c r="S133" s="1549"/>
      <c r="T133" s="1549"/>
      <c r="U133" s="1549"/>
      <c r="V133" s="1549"/>
      <c r="W133" s="1549"/>
      <c r="X133" s="1549"/>
      <c r="Y133" s="1549"/>
      <c r="Z133" s="1549"/>
    </row>
    <row r="134" spans="1:26" ht="12.75" customHeight="1" x14ac:dyDescent="0.2">
      <c r="A134" s="1568"/>
      <c r="B134" s="1551"/>
      <c r="C134" s="1568"/>
      <c r="D134" s="1580"/>
      <c r="E134" s="1578"/>
      <c r="F134" s="1579"/>
      <c r="G134" s="1572"/>
      <c r="H134" s="1577" t="s">
        <v>3626</v>
      </c>
      <c r="I134" s="1578">
        <v>2</v>
      </c>
      <c r="J134" s="1579">
        <v>1718437</v>
      </c>
      <c r="K134" s="1552"/>
      <c r="L134" s="1554"/>
      <c r="M134" s="1549"/>
      <c r="N134" s="1549"/>
      <c r="O134" s="1549"/>
      <c r="P134" s="1549"/>
      <c r="Q134" s="1549"/>
      <c r="R134" s="1549"/>
      <c r="S134" s="1549"/>
      <c r="T134" s="1549"/>
      <c r="U134" s="1549"/>
      <c r="V134" s="1549"/>
      <c r="W134" s="1549"/>
      <c r="X134" s="1549"/>
      <c r="Y134" s="1549"/>
      <c r="Z134" s="1549"/>
    </row>
    <row r="135" spans="1:26" ht="12.75" customHeight="1" x14ac:dyDescent="0.2">
      <c r="A135" s="1568"/>
      <c r="B135" s="1551"/>
      <c r="C135" s="1568"/>
      <c r="D135" s="1580"/>
      <c r="E135" s="1578"/>
      <c r="F135" s="1579"/>
      <c r="G135" s="1572"/>
      <c r="H135" s="1577" t="s">
        <v>3632</v>
      </c>
      <c r="I135" s="1578">
        <v>2</v>
      </c>
      <c r="J135" s="1579">
        <v>45600</v>
      </c>
      <c r="K135" s="1552"/>
      <c r="L135" s="1554"/>
      <c r="M135" s="1549"/>
      <c r="N135" s="1549"/>
      <c r="O135" s="1549"/>
      <c r="P135" s="1549"/>
      <c r="Q135" s="1549"/>
      <c r="R135" s="1549"/>
      <c r="S135" s="1549"/>
      <c r="T135" s="1549"/>
      <c r="U135" s="1549"/>
      <c r="V135" s="1549"/>
      <c r="W135" s="1549"/>
      <c r="X135" s="1549"/>
      <c r="Y135" s="1549"/>
      <c r="Z135" s="1549"/>
    </row>
    <row r="136" spans="1:26" ht="12.75" customHeight="1" x14ac:dyDescent="0.2">
      <c r="A136" s="1568"/>
      <c r="B136" s="1551"/>
      <c r="C136" s="1568"/>
      <c r="D136" s="1580"/>
      <c r="E136" s="1578"/>
      <c r="F136" s="1579"/>
      <c r="G136" s="1572"/>
      <c r="H136" s="1581" t="s">
        <v>3616</v>
      </c>
      <c r="I136" s="1582"/>
      <c r="J136" s="1583">
        <v>-26582428.129999999</v>
      </c>
      <c r="K136" s="1552"/>
      <c r="L136" s="1554"/>
      <c r="M136" s="1549"/>
      <c r="N136" s="1549"/>
      <c r="O136" s="1549"/>
      <c r="P136" s="1549"/>
      <c r="Q136" s="1549"/>
      <c r="R136" s="1549"/>
      <c r="S136" s="1549"/>
      <c r="T136" s="1549"/>
      <c r="U136" s="1549"/>
      <c r="V136" s="1549"/>
      <c r="W136" s="1549"/>
      <c r="X136" s="1549"/>
      <c r="Y136" s="1549"/>
      <c r="Z136" s="1549"/>
    </row>
    <row r="137" spans="1:26" ht="12.75" customHeight="1" thickBot="1" x14ac:dyDescent="0.25">
      <c r="A137" s="1568"/>
      <c r="B137" s="1551"/>
      <c r="C137" s="1568"/>
      <c r="D137" s="1584" t="s">
        <v>26</v>
      </c>
      <c r="E137" s="1585">
        <v>31</v>
      </c>
      <c r="F137" s="1586">
        <v>10738249.109999999</v>
      </c>
      <c r="G137" s="1587"/>
      <c r="H137" s="1584" t="s">
        <v>26</v>
      </c>
      <c r="I137" s="1585">
        <v>196</v>
      </c>
      <c r="J137" s="1586">
        <v>10738249.109999999</v>
      </c>
      <c r="K137" s="1552"/>
      <c r="L137" s="1554"/>
      <c r="M137" s="1549"/>
      <c r="N137" s="1549"/>
      <c r="O137" s="1549"/>
      <c r="P137" s="1549"/>
      <c r="Q137" s="1549"/>
      <c r="R137" s="1549"/>
      <c r="S137" s="1549"/>
      <c r="T137" s="1549"/>
      <c r="U137" s="1549"/>
      <c r="V137" s="1549"/>
      <c r="W137" s="1549"/>
      <c r="X137" s="1549"/>
      <c r="Y137" s="1549"/>
      <c r="Z137" s="1549"/>
    </row>
    <row r="138" spans="1:26" ht="12.75" customHeight="1" thickBot="1" x14ac:dyDescent="0.25">
      <c r="A138" s="1549"/>
      <c r="B138" s="1553"/>
      <c r="C138" s="1549"/>
      <c r="D138" s="1599"/>
      <c r="E138" s="1600"/>
      <c r="F138" s="1600"/>
      <c r="G138" s="1549"/>
      <c r="H138" s="1599"/>
      <c r="I138" s="1600"/>
      <c r="J138" s="1600"/>
      <c r="K138" s="1549"/>
      <c r="L138" s="1554"/>
      <c r="M138" s="1549"/>
      <c r="N138" s="1549"/>
      <c r="O138" s="1549"/>
      <c r="P138" s="1549"/>
      <c r="Q138" s="1549"/>
      <c r="R138" s="1549"/>
      <c r="S138" s="1549"/>
      <c r="T138" s="1549"/>
      <c r="U138" s="1549"/>
      <c r="V138" s="1549"/>
      <c r="W138" s="1549"/>
      <c r="X138" s="1549"/>
      <c r="Y138" s="1549"/>
      <c r="Z138" s="1549"/>
    </row>
    <row r="139" spans="1:26" ht="12.75" customHeight="1" thickBot="1" x14ac:dyDescent="0.25">
      <c r="A139" s="1549"/>
      <c r="B139" s="1553"/>
      <c r="C139" s="1549"/>
      <c r="D139" s="2673">
        <v>43160</v>
      </c>
      <c r="E139" s="2674"/>
      <c r="F139" s="2674"/>
      <c r="G139" s="2674"/>
      <c r="H139" s="2674"/>
      <c r="I139" s="2674"/>
      <c r="J139" s="2647"/>
      <c r="K139" s="1549"/>
      <c r="L139" s="1554"/>
      <c r="M139" s="1549"/>
      <c r="N139" s="1549"/>
      <c r="O139" s="1549"/>
      <c r="P139" s="1549"/>
      <c r="Q139" s="1549"/>
      <c r="R139" s="1549"/>
      <c r="S139" s="1549"/>
      <c r="T139" s="1549"/>
      <c r="U139" s="1549"/>
      <c r="V139" s="1549"/>
      <c r="W139" s="1549"/>
      <c r="X139" s="1549"/>
      <c r="Y139" s="1549"/>
      <c r="Z139" s="1549"/>
    </row>
    <row r="140" spans="1:26" ht="12.75" customHeight="1" x14ac:dyDescent="0.2">
      <c r="A140" s="1568"/>
      <c r="B140" s="1551"/>
      <c r="C140" s="1568"/>
      <c r="D140" s="1569" t="s">
        <v>3615</v>
      </c>
      <c r="E140" s="1570"/>
      <c r="F140" s="1571">
        <v>-26582428.129999999</v>
      </c>
      <c r="G140" s="1572"/>
      <c r="H140" s="1573" t="s">
        <v>3618</v>
      </c>
      <c r="I140" s="1574">
        <v>8</v>
      </c>
      <c r="J140" s="1575">
        <v>6853418.5300000003</v>
      </c>
      <c r="K140" s="1552"/>
      <c r="L140" s="1554"/>
      <c r="M140" s="1549"/>
      <c r="N140" s="1549"/>
      <c r="O140" s="1549"/>
      <c r="P140" s="1549"/>
      <c r="Q140" s="1549"/>
      <c r="R140" s="1549"/>
      <c r="S140" s="1549"/>
      <c r="T140" s="1549"/>
      <c r="U140" s="1549"/>
      <c r="V140" s="1549"/>
      <c r="W140" s="1549"/>
      <c r="X140" s="1549"/>
      <c r="Y140" s="1549"/>
      <c r="Z140" s="1549"/>
    </row>
    <row r="141" spans="1:26" ht="12.75" customHeight="1" x14ac:dyDescent="0.2">
      <c r="A141" s="1568"/>
      <c r="B141" s="1551"/>
      <c r="C141" s="1568"/>
      <c r="D141" s="1577" t="s">
        <v>3618</v>
      </c>
      <c r="E141" s="1578">
        <v>1</v>
      </c>
      <c r="F141" s="1579">
        <v>150000</v>
      </c>
      <c r="G141" s="1572"/>
      <c r="H141" s="1577" t="s">
        <v>3625</v>
      </c>
      <c r="I141" s="1578">
        <v>2</v>
      </c>
      <c r="J141" s="1579">
        <v>100000</v>
      </c>
      <c r="K141" s="1552"/>
      <c r="L141" s="1554"/>
      <c r="M141" s="1549"/>
      <c r="N141" s="1549"/>
      <c r="O141" s="1549"/>
      <c r="P141" s="1549"/>
      <c r="Q141" s="1549"/>
      <c r="R141" s="1549"/>
      <c r="S141" s="1549"/>
      <c r="T141" s="1549"/>
      <c r="U141" s="1549"/>
      <c r="V141" s="1549"/>
      <c r="W141" s="1549"/>
      <c r="X141" s="1549"/>
      <c r="Y141" s="1549"/>
      <c r="Z141" s="1549"/>
    </row>
    <row r="142" spans="1:26" ht="12.75" customHeight="1" x14ac:dyDescent="0.2">
      <c r="A142" s="1568"/>
      <c r="B142" s="1551"/>
      <c r="C142" s="1568"/>
      <c r="D142" s="1577" t="s">
        <v>3620</v>
      </c>
      <c r="E142" s="1578">
        <v>1</v>
      </c>
      <c r="F142" s="1579">
        <v>10000000</v>
      </c>
      <c r="G142" s="1572"/>
      <c r="H142" s="1577" t="s">
        <v>3621</v>
      </c>
      <c r="I142" s="1578">
        <v>162</v>
      </c>
      <c r="J142" s="1579">
        <v>21078190.59</v>
      </c>
      <c r="K142" s="1552"/>
      <c r="L142" s="1554"/>
      <c r="M142" s="1549"/>
      <c r="N142" s="1549"/>
      <c r="O142" s="1549"/>
      <c r="P142" s="1549"/>
      <c r="Q142" s="1549"/>
      <c r="R142" s="1549"/>
      <c r="S142" s="1549"/>
      <c r="T142" s="1549"/>
      <c r="U142" s="1549"/>
      <c r="V142" s="1549"/>
      <c r="W142" s="1549"/>
      <c r="X142" s="1549"/>
      <c r="Y142" s="1549"/>
      <c r="Z142" s="1549"/>
    </row>
    <row r="143" spans="1:26" ht="12.75" customHeight="1" x14ac:dyDescent="0.2">
      <c r="A143" s="1568"/>
      <c r="B143" s="1551"/>
      <c r="C143" s="1568"/>
      <c r="D143" s="1577" t="s">
        <v>3619</v>
      </c>
      <c r="E143" s="1578">
        <v>6</v>
      </c>
      <c r="F143" s="1579">
        <v>2109973.7799999998</v>
      </c>
      <c r="G143" s="1572"/>
      <c r="H143" s="1577" t="s">
        <v>3620</v>
      </c>
      <c r="I143" s="1578">
        <v>14</v>
      </c>
      <c r="J143" s="1579">
        <v>1095878.5</v>
      </c>
      <c r="K143" s="1552"/>
      <c r="L143" s="1554"/>
      <c r="M143" s="1549"/>
      <c r="N143" s="1549"/>
      <c r="O143" s="1549"/>
      <c r="P143" s="1549"/>
      <c r="Q143" s="1549"/>
      <c r="R143" s="1549"/>
      <c r="S143" s="1549"/>
      <c r="T143" s="1549"/>
      <c r="U143" s="1549"/>
      <c r="V143" s="1549"/>
      <c r="W143" s="1549"/>
      <c r="X143" s="1549"/>
      <c r="Y143" s="1549"/>
      <c r="Z143" s="1549"/>
    </row>
    <row r="144" spans="1:26" ht="12.75" customHeight="1" x14ac:dyDescent="0.2">
      <c r="A144" s="1568"/>
      <c r="B144" s="1551"/>
      <c r="C144" s="1568"/>
      <c r="D144" s="1577" t="s">
        <v>3623</v>
      </c>
      <c r="E144" s="1578">
        <v>15</v>
      </c>
      <c r="F144" s="1579">
        <v>14514165.140000001</v>
      </c>
      <c r="G144" s="1572"/>
      <c r="H144" s="1577" t="s">
        <v>3641</v>
      </c>
      <c r="I144" s="1578">
        <v>3</v>
      </c>
      <c r="J144" s="1579">
        <v>2588.92</v>
      </c>
      <c r="K144" s="1552"/>
      <c r="L144" s="1554"/>
      <c r="M144" s="1549"/>
      <c r="N144" s="1549"/>
      <c r="O144" s="1549"/>
      <c r="P144" s="1549"/>
      <c r="Q144" s="1549"/>
      <c r="R144" s="1549"/>
      <c r="S144" s="1549"/>
      <c r="T144" s="1549"/>
      <c r="U144" s="1549"/>
      <c r="V144" s="1549"/>
      <c r="W144" s="1549"/>
      <c r="X144" s="1549"/>
      <c r="Y144" s="1549"/>
      <c r="Z144" s="1549"/>
    </row>
    <row r="145" spans="1:26" ht="12.75" customHeight="1" x14ac:dyDescent="0.2">
      <c r="A145" s="1568"/>
      <c r="B145" s="1551"/>
      <c r="C145" s="1568"/>
      <c r="D145" s="1577" t="s">
        <v>3622</v>
      </c>
      <c r="E145" s="1578">
        <v>1</v>
      </c>
      <c r="F145" s="1579">
        <v>194289.58</v>
      </c>
      <c r="G145" s="1572"/>
      <c r="H145" s="1577" t="s">
        <v>3636</v>
      </c>
      <c r="I145" s="1578">
        <v>1</v>
      </c>
      <c r="J145" s="1579">
        <v>690529</v>
      </c>
      <c r="K145" s="1552"/>
      <c r="L145" s="1554"/>
      <c r="M145" s="1549"/>
      <c r="N145" s="1549"/>
      <c r="O145" s="1549"/>
      <c r="P145" s="1549"/>
      <c r="Q145" s="1549"/>
      <c r="R145" s="1549"/>
      <c r="S145" s="1549"/>
      <c r="T145" s="1549"/>
      <c r="U145" s="1549"/>
      <c r="V145" s="1549"/>
      <c r="W145" s="1549"/>
      <c r="X145" s="1549"/>
      <c r="Y145" s="1549"/>
      <c r="Z145" s="1549"/>
    </row>
    <row r="146" spans="1:26" ht="12.75" customHeight="1" x14ac:dyDescent="0.2">
      <c r="A146" s="1568"/>
      <c r="B146" s="1551"/>
      <c r="C146" s="1568"/>
      <c r="D146" s="1580"/>
      <c r="E146" s="1578"/>
      <c r="F146" s="1579"/>
      <c r="G146" s="1572"/>
      <c r="H146" s="1577" t="s">
        <v>3635</v>
      </c>
      <c r="I146" s="1578">
        <v>14</v>
      </c>
      <c r="J146" s="1579">
        <v>246590</v>
      </c>
      <c r="K146" s="1552"/>
      <c r="L146" s="1554"/>
      <c r="M146" s="1549"/>
      <c r="N146" s="1549"/>
      <c r="O146" s="1549"/>
      <c r="P146" s="1549"/>
      <c r="Q146" s="1549"/>
      <c r="R146" s="1549"/>
      <c r="S146" s="1549"/>
      <c r="T146" s="1549"/>
      <c r="U146" s="1549"/>
      <c r="V146" s="1549"/>
      <c r="W146" s="1549"/>
      <c r="X146" s="1549"/>
      <c r="Y146" s="1549"/>
      <c r="Z146" s="1549"/>
    </row>
    <row r="147" spans="1:26" ht="12.75" customHeight="1" x14ac:dyDescent="0.2">
      <c r="A147" s="1568"/>
      <c r="B147" s="1551"/>
      <c r="C147" s="1568"/>
      <c r="D147" s="1580"/>
      <c r="E147" s="1578"/>
      <c r="F147" s="1579"/>
      <c r="G147" s="1572"/>
      <c r="H147" s="1577" t="s">
        <v>3633</v>
      </c>
      <c r="I147" s="1578">
        <v>3</v>
      </c>
      <c r="J147" s="1579">
        <v>167374</v>
      </c>
      <c r="K147" s="1552"/>
      <c r="L147" s="1554"/>
      <c r="M147" s="1549"/>
      <c r="N147" s="1549"/>
      <c r="O147" s="1549"/>
      <c r="P147" s="1549"/>
      <c r="Q147" s="1549"/>
      <c r="R147" s="1549"/>
      <c r="S147" s="1549"/>
      <c r="T147" s="1549"/>
      <c r="U147" s="1549"/>
      <c r="V147" s="1549"/>
      <c r="W147" s="1549"/>
      <c r="X147" s="1549"/>
      <c r="Y147" s="1549"/>
      <c r="Z147" s="1549"/>
    </row>
    <row r="148" spans="1:26" ht="12.75" customHeight="1" x14ac:dyDescent="0.2">
      <c r="A148" s="1568"/>
      <c r="B148" s="1551"/>
      <c r="C148" s="1568"/>
      <c r="D148" s="1580"/>
      <c r="E148" s="1578"/>
      <c r="F148" s="1579"/>
      <c r="G148" s="1572"/>
      <c r="H148" s="1577" t="s">
        <v>3640</v>
      </c>
      <c r="I148" s="1578">
        <v>2</v>
      </c>
      <c r="J148" s="1579">
        <v>7090</v>
      </c>
      <c r="K148" s="1552"/>
      <c r="L148" s="1554"/>
      <c r="M148" s="1549"/>
      <c r="N148" s="1549"/>
      <c r="O148" s="1549"/>
      <c r="P148" s="1549"/>
      <c r="Q148" s="1549"/>
      <c r="R148" s="1549"/>
      <c r="S148" s="1549"/>
      <c r="T148" s="1549"/>
      <c r="U148" s="1549"/>
      <c r="V148" s="1549"/>
      <c r="W148" s="1549"/>
      <c r="X148" s="1549"/>
      <c r="Y148" s="1549"/>
      <c r="Z148" s="1549"/>
    </row>
    <row r="149" spans="1:26" ht="12.75" customHeight="1" x14ac:dyDescent="0.2">
      <c r="A149" s="1568"/>
      <c r="B149" s="1551"/>
      <c r="C149" s="1568"/>
      <c r="D149" s="1580"/>
      <c r="E149" s="1578"/>
      <c r="F149" s="1579"/>
      <c r="G149" s="1572"/>
      <c r="H149" s="1577" t="s">
        <v>3622</v>
      </c>
      <c r="I149" s="1578">
        <v>11</v>
      </c>
      <c r="J149" s="1579">
        <v>350388.74</v>
      </c>
      <c r="K149" s="1552"/>
      <c r="L149" s="1554"/>
      <c r="M149" s="1549"/>
      <c r="N149" s="1549"/>
      <c r="O149" s="1549"/>
      <c r="P149" s="1549"/>
      <c r="Q149" s="1549"/>
      <c r="R149" s="1549"/>
      <c r="S149" s="1549"/>
      <c r="T149" s="1549"/>
      <c r="U149" s="1549"/>
      <c r="V149" s="1549"/>
      <c r="W149" s="1549"/>
      <c r="X149" s="1549"/>
      <c r="Y149" s="1549"/>
      <c r="Z149" s="1549"/>
    </row>
    <row r="150" spans="1:26" ht="12.75" customHeight="1" x14ac:dyDescent="0.2">
      <c r="A150" s="1568"/>
      <c r="B150" s="1551"/>
      <c r="C150" s="1568"/>
      <c r="D150" s="1580"/>
      <c r="E150" s="1578"/>
      <c r="F150" s="1579"/>
      <c r="G150" s="1572"/>
      <c r="H150" s="1577" t="s">
        <v>3632</v>
      </c>
      <c r="I150" s="1578">
        <v>4</v>
      </c>
      <c r="J150" s="1579">
        <v>151087</v>
      </c>
      <c r="K150" s="1552"/>
      <c r="L150" s="1554"/>
      <c r="M150" s="1549"/>
      <c r="N150" s="1549"/>
      <c r="O150" s="1549"/>
      <c r="P150" s="1549"/>
      <c r="Q150" s="1549"/>
      <c r="R150" s="1549"/>
      <c r="S150" s="1549"/>
      <c r="T150" s="1549"/>
      <c r="U150" s="1549"/>
      <c r="V150" s="1549"/>
      <c r="W150" s="1549"/>
      <c r="X150" s="1549"/>
      <c r="Y150" s="1549"/>
      <c r="Z150" s="1549"/>
    </row>
    <row r="151" spans="1:26" ht="12.75" customHeight="1" x14ac:dyDescent="0.2">
      <c r="A151" s="1568"/>
      <c r="B151" s="1551"/>
      <c r="C151" s="1568"/>
      <c r="D151" s="1580"/>
      <c r="E151" s="1578"/>
      <c r="F151" s="1579"/>
      <c r="G151" s="1572"/>
      <c r="H151" s="1577" t="s">
        <v>3638</v>
      </c>
      <c r="I151" s="1578">
        <v>1</v>
      </c>
      <c r="J151" s="1579">
        <v>116414.41</v>
      </c>
      <c r="K151" s="1552"/>
      <c r="L151" s="1554"/>
      <c r="M151" s="1549"/>
      <c r="N151" s="1549"/>
      <c r="O151" s="1549"/>
      <c r="P151" s="1549"/>
      <c r="Q151" s="1549"/>
      <c r="R151" s="1549"/>
      <c r="S151" s="1549"/>
      <c r="T151" s="1549"/>
      <c r="U151" s="1549"/>
      <c r="V151" s="1549"/>
      <c r="W151" s="1549"/>
      <c r="X151" s="1549"/>
      <c r="Y151" s="1549"/>
      <c r="Z151" s="1549"/>
    </row>
    <row r="152" spans="1:26" ht="12.75" customHeight="1" x14ac:dyDescent="0.2">
      <c r="A152" s="1568"/>
      <c r="B152" s="1551"/>
      <c r="C152" s="1568"/>
      <c r="D152" s="1580"/>
      <c r="E152" s="1578"/>
      <c r="F152" s="1579"/>
      <c r="G152" s="1572"/>
      <c r="H152" s="1602" t="s">
        <v>3616</v>
      </c>
      <c r="I152" s="1582"/>
      <c r="J152" s="1583">
        <v>-30473549.32</v>
      </c>
      <c r="K152" s="1552"/>
      <c r="L152" s="1554"/>
      <c r="M152" s="1549"/>
      <c r="N152" s="1549"/>
      <c r="O152" s="1549"/>
      <c r="P152" s="1549"/>
      <c r="Q152" s="1549"/>
      <c r="R152" s="1549"/>
      <c r="S152" s="1549"/>
      <c r="T152" s="1549"/>
      <c r="U152" s="1549"/>
      <c r="V152" s="1549"/>
      <c r="W152" s="1549"/>
      <c r="X152" s="1549"/>
      <c r="Y152" s="1549"/>
      <c r="Z152" s="1549"/>
    </row>
    <row r="153" spans="1:26" ht="12.75" customHeight="1" thickBot="1" x14ac:dyDescent="0.25">
      <c r="A153" s="1568"/>
      <c r="B153" s="1551"/>
      <c r="C153" s="1568"/>
      <c r="D153" s="1584" t="s">
        <v>26</v>
      </c>
      <c r="E153" s="1585">
        <v>24</v>
      </c>
      <c r="F153" s="1597">
        <v>386000.37</v>
      </c>
      <c r="G153" s="1598"/>
      <c r="H153" s="1603" t="s">
        <v>26</v>
      </c>
      <c r="I153" s="1585">
        <v>225</v>
      </c>
      <c r="J153" s="1597">
        <v>386000.37</v>
      </c>
      <c r="K153" s="1594"/>
      <c r="L153" s="1554"/>
      <c r="M153" s="1549"/>
      <c r="N153" s="1549"/>
      <c r="O153" s="1549"/>
      <c r="P153" s="1549"/>
      <c r="Q153" s="1549"/>
      <c r="R153" s="1549"/>
      <c r="S153" s="1549"/>
      <c r="T153" s="1549"/>
      <c r="U153" s="1549"/>
      <c r="V153" s="1549"/>
      <c r="W153" s="1549"/>
      <c r="X153" s="1549"/>
      <c r="Y153" s="1549"/>
      <c r="Z153" s="1549"/>
    </row>
    <row r="154" spans="1:26" ht="12.75" customHeight="1" thickBot="1" x14ac:dyDescent="0.25">
      <c r="A154" s="1549"/>
      <c r="B154" s="1588"/>
      <c r="C154" s="1556"/>
      <c r="D154" s="1589"/>
      <c r="E154" s="1590"/>
      <c r="F154" s="1604"/>
      <c r="G154" s="1605"/>
      <c r="H154" s="1590"/>
      <c r="I154" s="1590"/>
      <c r="J154" s="1604"/>
      <c r="K154" s="1605"/>
      <c r="L154" s="1557"/>
      <c r="M154" s="1549"/>
      <c r="N154" s="1549"/>
      <c r="O154" s="1549"/>
      <c r="P154" s="1549"/>
      <c r="Q154" s="1549"/>
      <c r="R154" s="1549"/>
      <c r="S154" s="1549"/>
      <c r="T154" s="1549"/>
      <c r="U154" s="1549"/>
      <c r="V154" s="1549"/>
      <c r="W154" s="1549"/>
      <c r="X154" s="1549"/>
      <c r="Y154" s="1549"/>
      <c r="Z154" s="1549"/>
    </row>
    <row r="155" spans="1:26" ht="12.75" customHeight="1" x14ac:dyDescent="0.2">
      <c r="A155" s="1549"/>
      <c r="B155" s="1549"/>
      <c r="C155" s="1549"/>
      <c r="D155" s="1558"/>
      <c r="E155" s="1549"/>
      <c r="F155" s="1555"/>
      <c r="G155" s="1555"/>
      <c r="H155" s="1549"/>
      <c r="I155" s="1549"/>
      <c r="J155" s="1555"/>
      <c r="K155" s="1555"/>
      <c r="L155" s="1549"/>
      <c r="M155" s="1549"/>
      <c r="N155" s="1549"/>
      <c r="O155" s="1549"/>
      <c r="P155" s="1549"/>
      <c r="Q155" s="1549"/>
      <c r="R155" s="1549"/>
      <c r="S155" s="1549"/>
      <c r="T155" s="1549"/>
      <c r="U155" s="1549"/>
      <c r="V155" s="1549"/>
      <c r="W155" s="1549"/>
      <c r="X155" s="1549"/>
      <c r="Y155" s="1549"/>
      <c r="Z155" s="1549"/>
    </row>
    <row r="156" spans="1:26" ht="12.75" customHeight="1" x14ac:dyDescent="0.2">
      <c r="A156" s="1549"/>
      <c r="B156" s="1549"/>
      <c r="C156" s="1549"/>
      <c r="D156" s="1558"/>
      <c r="E156" s="1549"/>
      <c r="F156" s="1555"/>
      <c r="G156" s="1555"/>
      <c r="H156" s="1549"/>
      <c r="I156" s="1549"/>
      <c r="J156" s="1555"/>
      <c r="K156" s="1555"/>
      <c r="L156" s="1549"/>
      <c r="M156" s="1549"/>
      <c r="N156" s="1549"/>
      <c r="O156" s="1549"/>
      <c r="P156" s="1549"/>
      <c r="Q156" s="1549"/>
      <c r="R156" s="1549"/>
      <c r="S156" s="1549"/>
      <c r="T156" s="1549"/>
      <c r="U156" s="1549"/>
      <c r="V156" s="1549"/>
      <c r="W156" s="1549"/>
      <c r="X156" s="1549"/>
      <c r="Y156" s="1549"/>
      <c r="Z156" s="1549"/>
    </row>
    <row r="157" spans="1:26" ht="12.75" customHeight="1" x14ac:dyDescent="0.2">
      <c r="A157" s="1549"/>
      <c r="B157" s="1549"/>
      <c r="C157" s="1549"/>
      <c r="D157" s="1558"/>
      <c r="E157" s="1549"/>
      <c r="F157" s="1555"/>
      <c r="G157" s="1555"/>
      <c r="H157" s="1549"/>
      <c r="I157" s="1549"/>
      <c r="J157" s="1555"/>
      <c r="K157" s="1555"/>
      <c r="L157" s="1549"/>
      <c r="M157" s="1549"/>
      <c r="N157" s="1549"/>
      <c r="O157" s="1549"/>
      <c r="P157" s="1549"/>
      <c r="Q157" s="1549"/>
      <c r="R157" s="1549"/>
      <c r="S157" s="1549"/>
      <c r="T157" s="1549"/>
      <c r="U157" s="1549"/>
      <c r="V157" s="1549"/>
      <c r="W157" s="1549"/>
      <c r="X157" s="1549"/>
      <c r="Y157" s="1549"/>
      <c r="Z157" s="1549"/>
    </row>
    <row r="158" spans="1:26" ht="12.75" customHeight="1" x14ac:dyDescent="0.2">
      <c r="A158" s="1549"/>
      <c r="B158" s="1549"/>
      <c r="C158" s="1549"/>
      <c r="D158" s="1558"/>
      <c r="E158" s="1549"/>
      <c r="F158" s="1555"/>
      <c r="G158" s="1555"/>
      <c r="H158" s="1549"/>
      <c r="I158" s="1549"/>
      <c r="J158" s="1555"/>
      <c r="K158" s="1555"/>
      <c r="L158" s="1549"/>
      <c r="M158" s="1549"/>
      <c r="N158" s="1549"/>
      <c r="O158" s="1549"/>
      <c r="P158" s="1549"/>
      <c r="Q158" s="1549"/>
      <c r="R158" s="1549"/>
      <c r="S158" s="1549"/>
      <c r="T158" s="1549"/>
      <c r="U158" s="1549"/>
      <c r="V158" s="1549"/>
      <c r="W158" s="1549"/>
      <c r="X158" s="1549"/>
      <c r="Y158" s="1549"/>
      <c r="Z158" s="1549"/>
    </row>
    <row r="159" spans="1:26" ht="12.75" customHeight="1" x14ac:dyDescent="0.2">
      <c r="A159" s="1549"/>
      <c r="B159" s="1549"/>
      <c r="C159" s="1549"/>
      <c r="D159" s="1558"/>
      <c r="E159" s="1549"/>
      <c r="F159" s="1555"/>
      <c r="G159" s="1555"/>
      <c r="H159" s="1549"/>
      <c r="I159" s="1549"/>
      <c r="J159" s="1555"/>
      <c r="K159" s="1555"/>
      <c r="L159" s="1549"/>
      <c r="M159" s="1549"/>
      <c r="N159" s="1549"/>
      <c r="O159" s="1549"/>
      <c r="P159" s="1549"/>
      <c r="Q159" s="1549"/>
      <c r="R159" s="1549"/>
      <c r="S159" s="1549"/>
      <c r="T159" s="1549"/>
      <c r="U159" s="1549"/>
      <c r="V159" s="1549"/>
      <c r="W159" s="1549"/>
      <c r="X159" s="1549"/>
      <c r="Y159" s="1549"/>
      <c r="Z159" s="1549"/>
    </row>
    <row r="160" spans="1:26" ht="12.75" customHeight="1" x14ac:dyDescent="0.2">
      <c r="A160" s="1549"/>
      <c r="B160" s="1549"/>
      <c r="C160" s="1549"/>
      <c r="D160" s="1558"/>
      <c r="E160" s="1549"/>
      <c r="F160" s="1555"/>
      <c r="G160" s="1555"/>
      <c r="H160" s="1549"/>
      <c r="I160" s="1549"/>
      <c r="J160" s="1555"/>
      <c r="K160" s="1555"/>
      <c r="L160" s="1549"/>
      <c r="M160" s="1549"/>
      <c r="N160" s="1549"/>
      <c r="O160" s="1549"/>
      <c r="P160" s="1549"/>
      <c r="Q160" s="1549"/>
      <c r="R160" s="1549"/>
      <c r="S160" s="1549"/>
      <c r="T160" s="1549"/>
      <c r="U160" s="1549"/>
      <c r="V160" s="1549"/>
      <c r="W160" s="1549"/>
      <c r="X160" s="1549"/>
      <c r="Y160" s="1549"/>
      <c r="Z160" s="1549"/>
    </row>
    <row r="161" spans="1:26" ht="12.75" customHeight="1" x14ac:dyDescent="0.2">
      <c r="A161" s="1549"/>
      <c r="B161" s="1549"/>
      <c r="C161" s="1549"/>
      <c r="D161" s="1558"/>
      <c r="E161" s="1549"/>
      <c r="F161" s="1555"/>
      <c r="G161" s="1555"/>
      <c r="H161" s="1549"/>
      <c r="I161" s="1549"/>
      <c r="J161" s="1555"/>
      <c r="K161" s="1555"/>
      <c r="L161" s="1549"/>
      <c r="M161" s="1549"/>
      <c r="N161" s="1549"/>
      <c r="O161" s="1549"/>
      <c r="P161" s="1549"/>
      <c r="Q161" s="1549"/>
      <c r="R161" s="1549"/>
      <c r="S161" s="1549"/>
      <c r="T161" s="1549"/>
      <c r="U161" s="1549"/>
      <c r="V161" s="1549"/>
      <c r="W161" s="1549"/>
      <c r="X161" s="1549"/>
      <c r="Y161" s="1549"/>
      <c r="Z161" s="1549"/>
    </row>
    <row r="162" spans="1:26" ht="12.75" customHeight="1" x14ac:dyDescent="0.2">
      <c r="A162" s="1549"/>
      <c r="B162" s="1549"/>
      <c r="C162" s="1549"/>
      <c r="D162" s="1558"/>
      <c r="E162" s="1549"/>
      <c r="F162" s="1555"/>
      <c r="G162" s="1555"/>
      <c r="H162" s="1549"/>
      <c r="I162" s="1549"/>
      <c r="J162" s="1555"/>
      <c r="K162" s="1555"/>
      <c r="L162" s="1549"/>
      <c r="M162" s="1549"/>
      <c r="N162" s="1549"/>
      <c r="O162" s="1549"/>
      <c r="P162" s="1549"/>
      <c r="Q162" s="1549"/>
      <c r="R162" s="1549"/>
      <c r="S162" s="1549"/>
      <c r="T162" s="1549"/>
      <c r="U162" s="1549"/>
      <c r="V162" s="1549"/>
      <c r="W162" s="1549"/>
      <c r="X162" s="1549"/>
      <c r="Y162" s="1549"/>
      <c r="Z162" s="1549"/>
    </row>
    <row r="163" spans="1:26" ht="12.75" customHeight="1" x14ac:dyDescent="0.2">
      <c r="A163" s="1549"/>
      <c r="B163" s="1549"/>
      <c r="C163" s="1549"/>
      <c r="D163" s="1558"/>
      <c r="E163" s="1549"/>
      <c r="F163" s="1555"/>
      <c r="G163" s="1555"/>
      <c r="H163" s="1549"/>
      <c r="I163" s="1549"/>
      <c r="J163" s="1555"/>
      <c r="K163" s="1555"/>
      <c r="L163" s="1549"/>
      <c r="M163" s="1549"/>
      <c r="N163" s="1549"/>
      <c r="O163" s="1549"/>
      <c r="P163" s="1549"/>
      <c r="Q163" s="1549"/>
      <c r="R163" s="1549"/>
      <c r="S163" s="1549"/>
      <c r="T163" s="1549"/>
      <c r="U163" s="1549"/>
      <c r="V163" s="1549"/>
      <c r="W163" s="1549"/>
      <c r="X163" s="1549"/>
      <c r="Y163" s="1549"/>
      <c r="Z163" s="1549"/>
    </row>
    <row r="164" spans="1:26" ht="12.75" customHeight="1" x14ac:dyDescent="0.2">
      <c r="A164" s="1549"/>
      <c r="B164" s="1549"/>
      <c r="C164" s="1549"/>
      <c r="D164" s="1558"/>
      <c r="E164" s="1549"/>
      <c r="F164" s="1549"/>
      <c r="G164" s="1549"/>
      <c r="H164" s="1549"/>
      <c r="I164" s="1549"/>
      <c r="J164" s="1549"/>
      <c r="K164" s="1549"/>
      <c r="L164" s="1549"/>
      <c r="M164" s="1549"/>
      <c r="N164" s="1549"/>
      <c r="O164" s="1549"/>
      <c r="P164" s="1549"/>
      <c r="Q164" s="1549"/>
      <c r="R164" s="1549"/>
      <c r="S164" s="1549"/>
      <c r="T164" s="1549"/>
      <c r="U164" s="1549"/>
      <c r="V164" s="1549"/>
      <c r="W164" s="1549"/>
      <c r="X164" s="1549"/>
      <c r="Y164" s="1549"/>
      <c r="Z164" s="1549"/>
    </row>
    <row r="165" spans="1:26" ht="12.75" customHeight="1" x14ac:dyDescent="0.2">
      <c r="A165" s="1549"/>
      <c r="B165" s="1549"/>
      <c r="C165" s="1549"/>
      <c r="D165" s="1558"/>
      <c r="E165" s="1549"/>
      <c r="F165" s="1549"/>
      <c r="G165" s="1549"/>
      <c r="H165" s="1549"/>
      <c r="I165" s="1549"/>
      <c r="J165" s="1549"/>
      <c r="K165" s="1549"/>
      <c r="L165" s="1549"/>
      <c r="M165" s="1549"/>
      <c r="N165" s="1549"/>
      <c r="O165" s="1549"/>
      <c r="P165" s="1549"/>
      <c r="Q165" s="1549"/>
      <c r="R165" s="1549"/>
      <c r="S165" s="1549"/>
      <c r="T165" s="1549"/>
      <c r="U165" s="1549"/>
      <c r="V165" s="1549"/>
      <c r="W165" s="1549"/>
      <c r="X165" s="1549"/>
      <c r="Y165" s="1549"/>
      <c r="Z165" s="1549"/>
    </row>
    <row r="166" spans="1:26" ht="12.75" customHeight="1" x14ac:dyDescent="0.2">
      <c r="A166" s="1549"/>
      <c r="B166" s="1549"/>
      <c r="C166" s="1549"/>
      <c r="D166" s="1558"/>
      <c r="E166" s="1549"/>
      <c r="F166" s="1549"/>
      <c r="G166" s="1549"/>
      <c r="H166" s="1549"/>
      <c r="I166" s="1549"/>
      <c r="J166" s="1549"/>
      <c r="K166" s="1549"/>
      <c r="L166" s="1549"/>
      <c r="M166" s="1549"/>
      <c r="N166" s="1549"/>
      <c r="O166" s="1549"/>
      <c r="P166" s="1549"/>
      <c r="Q166" s="1549"/>
      <c r="R166" s="1549"/>
      <c r="S166" s="1549"/>
      <c r="T166" s="1549"/>
      <c r="U166" s="1549"/>
      <c r="V166" s="1549"/>
      <c r="W166" s="1549"/>
      <c r="X166" s="1549"/>
      <c r="Y166" s="1549"/>
      <c r="Z166" s="1549"/>
    </row>
    <row r="167" spans="1:26" ht="12.75" customHeight="1" x14ac:dyDescent="0.2">
      <c r="A167" s="1549"/>
      <c r="B167" s="1549"/>
      <c r="C167" s="1549"/>
      <c r="D167" s="1558"/>
      <c r="E167" s="1549"/>
      <c r="F167" s="1549"/>
      <c r="G167" s="1549"/>
      <c r="H167" s="1549"/>
      <c r="I167" s="1549"/>
      <c r="J167" s="1549"/>
      <c r="K167" s="1549"/>
      <c r="L167" s="1549"/>
      <c r="M167" s="1549"/>
      <c r="N167" s="1549"/>
      <c r="O167" s="1549"/>
      <c r="P167" s="1549"/>
      <c r="Q167" s="1549"/>
      <c r="R167" s="1549"/>
      <c r="S167" s="1549"/>
      <c r="T167" s="1549"/>
      <c r="U167" s="1549"/>
      <c r="V167" s="1549"/>
      <c r="W167" s="1549"/>
      <c r="X167" s="1549"/>
      <c r="Y167" s="1549"/>
      <c r="Z167" s="1549"/>
    </row>
    <row r="168" spans="1:26" ht="12.75" customHeight="1" x14ac:dyDescent="0.2">
      <c r="A168" s="1549"/>
      <c r="B168" s="1549"/>
      <c r="C168" s="1549"/>
      <c r="D168" s="1558"/>
      <c r="E168" s="1549"/>
      <c r="F168" s="1549"/>
      <c r="G168" s="1549"/>
      <c r="H168" s="1549"/>
      <c r="I168" s="1549"/>
      <c r="J168" s="1549"/>
      <c r="K168" s="1549"/>
      <c r="L168" s="1549"/>
      <c r="M168" s="1549"/>
      <c r="N168" s="1549"/>
      <c r="O168" s="1549"/>
      <c r="P168" s="1549"/>
      <c r="Q168" s="1549"/>
      <c r="R168" s="1549"/>
      <c r="S168" s="1549"/>
      <c r="T168" s="1549"/>
      <c r="U168" s="1549"/>
      <c r="V168" s="1549"/>
      <c r="W168" s="1549"/>
      <c r="X168" s="1549"/>
      <c r="Y168" s="1549"/>
      <c r="Z168" s="1549"/>
    </row>
    <row r="169" spans="1:26" ht="12.75" customHeight="1" x14ac:dyDescent="0.2">
      <c r="A169" s="1549"/>
      <c r="B169" s="1549"/>
      <c r="C169" s="1549"/>
      <c r="D169" s="1558"/>
      <c r="E169" s="1549"/>
      <c r="F169" s="1549"/>
      <c r="G169" s="1549"/>
      <c r="H169" s="1549"/>
      <c r="I169" s="1549"/>
      <c r="J169" s="1549"/>
      <c r="K169" s="1549"/>
      <c r="L169" s="1549"/>
      <c r="M169" s="1549"/>
      <c r="N169" s="1549"/>
      <c r="O169" s="1549"/>
      <c r="P169" s="1549"/>
      <c r="Q169" s="1549"/>
      <c r="R169" s="1549"/>
      <c r="S169" s="1549"/>
      <c r="T169" s="1549"/>
      <c r="U169" s="1549"/>
      <c r="V169" s="1549"/>
      <c r="W169" s="1549"/>
      <c r="X169" s="1549"/>
      <c r="Y169" s="1549"/>
      <c r="Z169" s="1549"/>
    </row>
    <row r="170" spans="1:26" ht="12.75" customHeight="1" x14ac:dyDescent="0.2">
      <c r="A170" s="1549"/>
      <c r="B170" s="1549"/>
      <c r="C170" s="1549"/>
      <c r="D170" s="1558"/>
      <c r="E170" s="1549"/>
      <c r="F170" s="1549"/>
      <c r="G170" s="1549"/>
      <c r="H170" s="1549"/>
      <c r="I170" s="1549"/>
      <c r="J170" s="1549"/>
      <c r="K170" s="1549"/>
      <c r="L170" s="1549"/>
      <c r="M170" s="1549"/>
      <c r="N170" s="1549"/>
      <c r="O170" s="1549"/>
      <c r="P170" s="1549"/>
      <c r="Q170" s="1549"/>
      <c r="R170" s="1549"/>
      <c r="S170" s="1549"/>
      <c r="T170" s="1549"/>
      <c r="U170" s="1549"/>
      <c r="V170" s="1549"/>
      <c r="W170" s="1549"/>
      <c r="X170" s="1549"/>
      <c r="Y170" s="1549"/>
      <c r="Z170" s="1549"/>
    </row>
    <row r="171" spans="1:26" ht="12.75" customHeight="1" x14ac:dyDescent="0.2">
      <c r="A171" s="1549"/>
      <c r="B171" s="1549"/>
      <c r="C171" s="1549"/>
      <c r="D171" s="1558"/>
      <c r="E171" s="1549"/>
      <c r="F171" s="1549"/>
      <c r="G171" s="1549"/>
      <c r="H171" s="1549"/>
      <c r="I171" s="1549"/>
      <c r="J171" s="1549"/>
      <c r="K171" s="1549"/>
      <c r="L171" s="1549"/>
      <c r="M171" s="1549"/>
      <c r="N171" s="1549"/>
      <c r="O171" s="1549"/>
      <c r="P171" s="1549"/>
      <c r="Q171" s="1549"/>
      <c r="R171" s="1549"/>
      <c r="S171" s="1549"/>
      <c r="T171" s="1549"/>
      <c r="U171" s="1549"/>
      <c r="V171" s="1549"/>
      <c r="W171" s="1549"/>
      <c r="X171" s="1549"/>
      <c r="Y171" s="1549"/>
      <c r="Z171" s="1549"/>
    </row>
    <row r="172" spans="1:26" ht="12.75" customHeight="1" x14ac:dyDescent="0.2">
      <c r="A172" s="1549"/>
      <c r="B172" s="1549"/>
      <c r="C172" s="1549"/>
      <c r="D172" s="1558"/>
      <c r="E172" s="1549"/>
      <c r="F172" s="1549"/>
      <c r="G172" s="1549"/>
      <c r="H172" s="1549"/>
      <c r="I172" s="1549"/>
      <c r="J172" s="1549"/>
      <c r="K172" s="1549"/>
      <c r="L172" s="1549"/>
      <c r="M172" s="1549"/>
      <c r="N172" s="1549"/>
      <c r="O172" s="1549"/>
      <c r="P172" s="1549"/>
      <c r="Q172" s="1549"/>
      <c r="R172" s="1549"/>
      <c r="S172" s="1549"/>
      <c r="T172" s="1549"/>
      <c r="U172" s="1549"/>
      <c r="V172" s="1549"/>
      <c r="W172" s="1549"/>
      <c r="X172" s="1549"/>
      <c r="Y172" s="1549"/>
      <c r="Z172" s="1549"/>
    </row>
    <row r="173" spans="1:26" ht="12.75" customHeight="1" x14ac:dyDescent="0.2">
      <c r="A173" s="1549"/>
      <c r="B173" s="1549"/>
      <c r="C173" s="1549"/>
      <c r="D173" s="1558"/>
      <c r="E173" s="1549"/>
      <c r="F173" s="1549"/>
      <c r="G173" s="1549"/>
      <c r="H173" s="1549"/>
      <c r="I173" s="1549"/>
      <c r="J173" s="1549"/>
      <c r="K173" s="1549"/>
      <c r="L173" s="1549"/>
      <c r="M173" s="1549"/>
      <c r="N173" s="1549"/>
      <c r="O173" s="1549"/>
      <c r="P173" s="1549"/>
      <c r="Q173" s="1549"/>
      <c r="R173" s="1549"/>
      <c r="S173" s="1549"/>
      <c r="T173" s="1549"/>
      <c r="U173" s="1549"/>
      <c r="V173" s="1549"/>
      <c r="W173" s="1549"/>
      <c r="X173" s="1549"/>
      <c r="Y173" s="1549"/>
      <c r="Z173" s="1549"/>
    </row>
    <row r="174" spans="1:26" ht="12.75" customHeight="1" x14ac:dyDescent="0.2">
      <c r="A174" s="1549"/>
      <c r="B174" s="1549"/>
      <c r="C174" s="1549"/>
      <c r="D174" s="1558"/>
      <c r="E174" s="1549"/>
      <c r="F174" s="1549"/>
      <c r="G174" s="1549"/>
      <c r="H174" s="1549"/>
      <c r="I174" s="1549"/>
      <c r="J174" s="1549"/>
      <c r="K174" s="1549"/>
      <c r="L174" s="1549"/>
      <c r="M174" s="1549"/>
      <c r="N174" s="1549"/>
      <c r="O174" s="1549"/>
      <c r="P174" s="1549"/>
      <c r="Q174" s="1549"/>
      <c r="R174" s="1549"/>
      <c r="S174" s="1549"/>
      <c r="T174" s="1549"/>
      <c r="U174" s="1549"/>
      <c r="V174" s="1549"/>
      <c r="W174" s="1549"/>
      <c r="X174" s="1549"/>
      <c r="Y174" s="1549"/>
      <c r="Z174" s="1549"/>
    </row>
    <row r="175" spans="1:26" ht="12.75" customHeight="1" x14ac:dyDescent="0.2">
      <c r="A175" s="1549"/>
      <c r="B175" s="1549"/>
      <c r="C175" s="1549"/>
      <c r="D175" s="1558"/>
      <c r="E175" s="1549"/>
      <c r="F175" s="1549"/>
      <c r="G175" s="1549"/>
      <c r="H175" s="1549"/>
      <c r="I175" s="1549"/>
      <c r="J175" s="1549"/>
      <c r="K175" s="1549"/>
      <c r="L175" s="1549"/>
      <c r="M175" s="1549"/>
      <c r="N175" s="1549"/>
      <c r="O175" s="1549"/>
      <c r="P175" s="1549"/>
      <c r="Q175" s="1549"/>
      <c r="R175" s="1549"/>
      <c r="S175" s="1549"/>
      <c r="T175" s="1549"/>
      <c r="U175" s="1549"/>
      <c r="V175" s="1549"/>
      <c r="W175" s="1549"/>
      <c r="X175" s="1549"/>
      <c r="Y175" s="1549"/>
      <c r="Z175" s="1549"/>
    </row>
    <row r="176" spans="1:26" ht="12.75" customHeight="1" x14ac:dyDescent="0.2">
      <c r="A176" s="1549"/>
      <c r="B176" s="1549"/>
      <c r="C176" s="1549"/>
      <c r="D176" s="1558"/>
      <c r="E176" s="1549"/>
      <c r="F176" s="1549"/>
      <c r="G176" s="1549"/>
      <c r="H176" s="1549"/>
      <c r="I176" s="1549"/>
      <c r="J176" s="1549"/>
      <c r="K176" s="1549"/>
      <c r="L176" s="1549"/>
      <c r="M176" s="1549"/>
      <c r="N176" s="1549"/>
      <c r="O176" s="1549"/>
      <c r="P176" s="1549"/>
      <c r="Q176" s="1549"/>
      <c r="R176" s="1549"/>
      <c r="S176" s="1549"/>
      <c r="T176" s="1549"/>
      <c r="U176" s="1549"/>
      <c r="V176" s="1549"/>
      <c r="W176" s="1549"/>
      <c r="X176" s="1549"/>
      <c r="Y176" s="1549"/>
      <c r="Z176" s="1549"/>
    </row>
    <row r="177" spans="1:26" ht="12.75" customHeight="1" x14ac:dyDescent="0.2">
      <c r="A177" s="1549"/>
      <c r="B177" s="1549"/>
      <c r="C177" s="1549"/>
      <c r="D177" s="1558"/>
      <c r="E177" s="1549"/>
      <c r="F177" s="1549"/>
      <c r="G177" s="1549"/>
      <c r="H177" s="1549"/>
      <c r="I177" s="1549"/>
      <c r="J177" s="1549"/>
      <c r="K177" s="1549"/>
      <c r="L177" s="1549"/>
      <c r="M177" s="1549"/>
      <c r="N177" s="1549"/>
      <c r="O177" s="1549"/>
      <c r="P177" s="1549"/>
      <c r="Q177" s="1549"/>
      <c r="R177" s="1549"/>
      <c r="S177" s="1549"/>
      <c r="T177" s="1549"/>
      <c r="U177" s="1549"/>
      <c r="V177" s="1549"/>
      <c r="W177" s="1549"/>
      <c r="X177" s="1549"/>
      <c r="Y177" s="1549"/>
      <c r="Z177" s="1549"/>
    </row>
    <row r="178" spans="1:26" ht="12.75" customHeight="1" x14ac:dyDescent="0.2">
      <c r="A178" s="1549"/>
      <c r="B178" s="1549"/>
      <c r="C178" s="1549"/>
      <c r="D178" s="1558"/>
      <c r="E178" s="1549"/>
      <c r="F178" s="1549"/>
      <c r="G178" s="1549"/>
      <c r="H178" s="1549"/>
      <c r="I178" s="1549"/>
      <c r="J178" s="1549"/>
      <c r="K178" s="1549"/>
      <c r="L178" s="1549"/>
      <c r="M178" s="1549"/>
      <c r="N178" s="1549"/>
      <c r="O178" s="1549"/>
      <c r="P178" s="1549"/>
      <c r="Q178" s="1549"/>
      <c r="R178" s="1549"/>
      <c r="S178" s="1549"/>
      <c r="T178" s="1549"/>
      <c r="U178" s="1549"/>
      <c r="V178" s="1549"/>
      <c r="W178" s="1549"/>
      <c r="X178" s="1549"/>
      <c r="Y178" s="1549"/>
      <c r="Z178" s="1549"/>
    </row>
    <row r="179" spans="1:26" ht="12.75" customHeight="1" x14ac:dyDescent="0.2">
      <c r="A179" s="1549"/>
      <c r="B179" s="1549"/>
      <c r="C179" s="1549"/>
      <c r="D179" s="1558"/>
      <c r="E179" s="1549"/>
      <c r="F179" s="1555"/>
      <c r="G179" s="1555"/>
      <c r="H179" s="1549"/>
      <c r="I179" s="1549"/>
      <c r="J179" s="1555"/>
      <c r="K179" s="1555"/>
      <c r="L179" s="1549"/>
      <c r="M179" s="1549"/>
      <c r="N179" s="1549"/>
      <c r="O179" s="1549"/>
      <c r="P179" s="1549"/>
      <c r="Q179" s="1549"/>
      <c r="R179" s="1549"/>
      <c r="S179" s="1549"/>
      <c r="T179" s="1549"/>
      <c r="U179" s="1549"/>
      <c r="V179" s="1549"/>
      <c r="W179" s="1549"/>
      <c r="X179" s="1549"/>
      <c r="Y179" s="1549"/>
      <c r="Z179" s="1549"/>
    </row>
    <row r="180" spans="1:26" ht="12.75" customHeight="1" x14ac:dyDescent="0.2">
      <c r="A180" s="1549"/>
      <c r="B180" s="1549"/>
      <c r="C180" s="1549"/>
      <c r="D180" s="1558"/>
      <c r="E180" s="1549"/>
      <c r="F180" s="1555"/>
      <c r="G180" s="1555"/>
      <c r="H180" s="1549"/>
      <c r="I180" s="1549"/>
      <c r="J180" s="1555"/>
      <c r="K180" s="1555"/>
      <c r="L180" s="1549"/>
      <c r="M180" s="1549"/>
      <c r="N180" s="1549"/>
      <c r="O180" s="1549"/>
      <c r="P180" s="1549"/>
      <c r="Q180" s="1549"/>
      <c r="R180" s="1549"/>
      <c r="S180" s="1549"/>
      <c r="T180" s="1549"/>
      <c r="U180" s="1549"/>
      <c r="V180" s="1549"/>
      <c r="W180" s="1549"/>
      <c r="X180" s="1549"/>
      <c r="Y180" s="1549"/>
      <c r="Z180" s="1549"/>
    </row>
    <row r="181" spans="1:26" ht="12.75" customHeight="1" x14ac:dyDescent="0.2">
      <c r="A181" s="1549"/>
      <c r="B181" s="1549"/>
      <c r="C181" s="1549"/>
      <c r="D181" s="1558"/>
      <c r="E181" s="1549"/>
      <c r="F181" s="1555"/>
      <c r="G181" s="1555"/>
      <c r="H181" s="1549"/>
      <c r="I181" s="1549"/>
      <c r="J181" s="1555"/>
      <c r="K181" s="1555"/>
      <c r="L181" s="1549"/>
      <c r="M181" s="1549"/>
      <c r="N181" s="1549"/>
      <c r="O181" s="1549"/>
      <c r="P181" s="1549"/>
      <c r="Q181" s="1549"/>
      <c r="R181" s="1549"/>
      <c r="S181" s="1549"/>
      <c r="T181" s="1549"/>
      <c r="U181" s="1549"/>
      <c r="V181" s="1549"/>
      <c r="W181" s="1549"/>
      <c r="X181" s="1549"/>
      <c r="Y181" s="1549"/>
      <c r="Z181" s="1549"/>
    </row>
    <row r="182" spans="1:26" ht="12.75" customHeight="1" x14ac:dyDescent="0.2">
      <c r="A182" s="1549"/>
      <c r="B182" s="1549"/>
      <c r="C182" s="1549"/>
      <c r="D182" s="1558"/>
      <c r="E182" s="1549"/>
      <c r="F182" s="1555"/>
      <c r="G182" s="1555"/>
      <c r="H182" s="1549"/>
      <c r="I182" s="1549"/>
      <c r="J182" s="1555"/>
      <c r="K182" s="1555"/>
      <c r="L182" s="1549"/>
      <c r="M182" s="1549"/>
      <c r="N182" s="1549"/>
      <c r="O182" s="1549"/>
      <c r="P182" s="1549"/>
      <c r="Q182" s="1549"/>
      <c r="R182" s="1549"/>
      <c r="S182" s="1549"/>
      <c r="T182" s="1549"/>
      <c r="U182" s="1549"/>
      <c r="V182" s="1549"/>
      <c r="W182" s="1549"/>
      <c r="X182" s="1549"/>
      <c r="Y182" s="1549"/>
      <c r="Z182" s="1549"/>
    </row>
    <row r="183" spans="1:26" ht="12.75" customHeight="1" x14ac:dyDescent="0.2">
      <c r="A183" s="1549"/>
      <c r="B183" s="1549"/>
      <c r="C183" s="1549"/>
      <c r="D183" s="1558"/>
      <c r="E183" s="1549"/>
      <c r="F183" s="1555"/>
      <c r="G183" s="1555"/>
      <c r="H183" s="1549"/>
      <c r="I183" s="1549"/>
      <c r="J183" s="1555"/>
      <c r="K183" s="1555"/>
      <c r="L183" s="1549"/>
      <c r="M183" s="1549"/>
      <c r="N183" s="1549"/>
      <c r="O183" s="1549"/>
      <c r="P183" s="1549"/>
      <c r="Q183" s="1549"/>
      <c r="R183" s="1549"/>
      <c r="S183" s="1549"/>
      <c r="T183" s="1549"/>
      <c r="U183" s="1549"/>
      <c r="V183" s="1549"/>
      <c r="W183" s="1549"/>
      <c r="X183" s="1549"/>
      <c r="Y183" s="1549"/>
      <c r="Z183" s="1549"/>
    </row>
    <row r="184" spans="1:26" ht="12.75" customHeight="1" x14ac:dyDescent="0.2">
      <c r="A184" s="1549"/>
      <c r="B184" s="1549"/>
      <c r="C184" s="1549"/>
      <c r="D184" s="1558"/>
      <c r="E184" s="1549"/>
      <c r="F184" s="1555"/>
      <c r="G184" s="1555"/>
      <c r="H184" s="1549"/>
      <c r="I184" s="1549"/>
      <c r="J184" s="1555"/>
      <c r="K184" s="1555"/>
      <c r="L184" s="1549"/>
      <c r="M184" s="1549"/>
      <c r="N184" s="1549"/>
      <c r="O184" s="1549"/>
      <c r="P184" s="1549"/>
      <c r="Q184" s="1549"/>
      <c r="R184" s="1549"/>
      <c r="S184" s="1549"/>
      <c r="T184" s="1549"/>
      <c r="U184" s="1549"/>
      <c r="V184" s="1549"/>
      <c r="W184" s="1549"/>
      <c r="X184" s="1549"/>
      <c r="Y184" s="1549"/>
      <c r="Z184" s="1549"/>
    </row>
    <row r="185" spans="1:26" ht="12.75" customHeight="1" x14ac:dyDescent="0.2">
      <c r="A185" s="1549"/>
      <c r="B185" s="1549"/>
      <c r="C185" s="1549"/>
      <c r="D185" s="1558"/>
      <c r="E185" s="1549"/>
      <c r="F185" s="1555"/>
      <c r="G185" s="1555"/>
      <c r="H185" s="1549"/>
      <c r="I185" s="1549"/>
      <c r="J185" s="1555"/>
      <c r="K185" s="1555"/>
      <c r="L185" s="1549"/>
      <c r="M185" s="1549"/>
      <c r="N185" s="1549"/>
      <c r="O185" s="1549"/>
      <c r="P185" s="1549"/>
      <c r="Q185" s="1549"/>
      <c r="R185" s="1549"/>
      <c r="S185" s="1549"/>
      <c r="T185" s="1549"/>
      <c r="U185" s="1549"/>
      <c r="V185" s="1549"/>
      <c r="W185" s="1549"/>
      <c r="X185" s="1549"/>
      <c r="Y185" s="1549"/>
      <c r="Z185" s="1549"/>
    </row>
    <row r="186" spans="1:26" ht="12.75" customHeight="1" x14ac:dyDescent="0.2">
      <c r="A186" s="1549"/>
      <c r="B186" s="1549"/>
      <c r="C186" s="1549"/>
      <c r="D186" s="1558"/>
      <c r="E186" s="1549"/>
      <c r="F186" s="1555"/>
      <c r="G186" s="1555"/>
      <c r="H186" s="1549"/>
      <c r="I186" s="1549"/>
      <c r="J186" s="1555"/>
      <c r="K186" s="1555"/>
      <c r="L186" s="1549"/>
      <c r="M186" s="1549"/>
      <c r="N186" s="1549"/>
      <c r="O186" s="1549"/>
      <c r="P186" s="1549"/>
      <c r="Q186" s="1549"/>
      <c r="R186" s="1549"/>
      <c r="S186" s="1549"/>
      <c r="T186" s="1549"/>
      <c r="U186" s="1549"/>
      <c r="V186" s="1549"/>
      <c r="W186" s="1549"/>
      <c r="X186" s="1549"/>
      <c r="Y186" s="1549"/>
      <c r="Z186" s="1549"/>
    </row>
    <row r="187" spans="1:26" ht="12.75" customHeight="1" x14ac:dyDescent="0.2">
      <c r="A187" s="1549"/>
      <c r="B187" s="1549"/>
      <c r="C187" s="1549"/>
      <c r="D187" s="1558"/>
      <c r="E187" s="1549"/>
      <c r="F187" s="1555"/>
      <c r="G187" s="1555"/>
      <c r="H187" s="1549"/>
      <c r="I187" s="1549"/>
      <c r="J187" s="1555"/>
      <c r="K187" s="1555"/>
      <c r="L187" s="1549"/>
      <c r="M187" s="1549"/>
      <c r="N187" s="1549"/>
      <c r="O187" s="1549"/>
      <c r="P187" s="1549"/>
      <c r="Q187" s="1549"/>
      <c r="R187" s="1549"/>
      <c r="S187" s="1549"/>
      <c r="T187" s="1549"/>
      <c r="U187" s="1549"/>
      <c r="V187" s="1549"/>
      <c r="W187" s="1549"/>
      <c r="X187" s="1549"/>
      <c r="Y187" s="1549"/>
      <c r="Z187" s="1549"/>
    </row>
    <row r="188" spans="1:26" ht="12.75" customHeight="1" x14ac:dyDescent="0.2">
      <c r="A188" s="1549"/>
      <c r="B188" s="1549"/>
      <c r="C188" s="1549"/>
      <c r="D188" s="1558"/>
      <c r="E188" s="1549"/>
      <c r="F188" s="1555"/>
      <c r="G188" s="1555"/>
      <c r="H188" s="1549"/>
      <c r="I188" s="1549"/>
      <c r="J188" s="1555"/>
      <c r="K188" s="1555"/>
      <c r="L188" s="1549"/>
      <c r="M188" s="1549"/>
      <c r="N188" s="1549"/>
      <c r="O188" s="1549"/>
      <c r="P188" s="1549"/>
      <c r="Q188" s="1549"/>
      <c r="R188" s="1549"/>
      <c r="S188" s="1549"/>
      <c r="T188" s="1549"/>
      <c r="U188" s="1549"/>
      <c r="V188" s="1549"/>
      <c r="W188" s="1549"/>
      <c r="X188" s="1549"/>
      <c r="Y188" s="1549"/>
      <c r="Z188" s="1549"/>
    </row>
    <row r="189" spans="1:26" ht="12.75" customHeight="1" x14ac:dyDescent="0.2">
      <c r="A189" s="1549"/>
      <c r="B189" s="1549"/>
      <c r="C189" s="1549"/>
      <c r="D189" s="1558"/>
      <c r="E189" s="1549"/>
      <c r="F189" s="1555"/>
      <c r="G189" s="1555"/>
      <c r="H189" s="1549"/>
      <c r="I189" s="1549"/>
      <c r="J189" s="1555"/>
      <c r="K189" s="1555"/>
      <c r="L189" s="1549"/>
      <c r="M189" s="1549"/>
      <c r="N189" s="1549"/>
      <c r="O189" s="1549"/>
      <c r="P189" s="1549"/>
      <c r="Q189" s="1549"/>
      <c r="R189" s="1549"/>
      <c r="S189" s="1549"/>
      <c r="T189" s="1549"/>
      <c r="U189" s="1549"/>
      <c r="V189" s="1549"/>
      <c r="W189" s="1549"/>
      <c r="X189" s="1549"/>
      <c r="Y189" s="1549"/>
      <c r="Z189" s="1549"/>
    </row>
    <row r="190" spans="1:26" ht="12.75" customHeight="1" x14ac:dyDescent="0.2">
      <c r="A190" s="1549"/>
      <c r="B190" s="1549"/>
      <c r="C190" s="1549"/>
      <c r="D190" s="1558"/>
      <c r="E190" s="1549"/>
      <c r="F190" s="1555"/>
      <c r="G190" s="1555"/>
      <c r="H190" s="1549"/>
      <c r="I190" s="1549"/>
      <c r="J190" s="1555"/>
      <c r="K190" s="1555"/>
      <c r="L190" s="1549"/>
      <c r="M190" s="1549"/>
      <c r="N190" s="1549"/>
      <c r="O190" s="1549"/>
      <c r="P190" s="1549"/>
      <c r="Q190" s="1549"/>
      <c r="R190" s="1549"/>
      <c r="S190" s="1549"/>
      <c r="T190" s="1549"/>
      <c r="U190" s="1549"/>
      <c r="V190" s="1549"/>
      <c r="W190" s="1549"/>
      <c r="X190" s="1549"/>
      <c r="Y190" s="1549"/>
      <c r="Z190" s="1549"/>
    </row>
    <row r="191" spans="1:26" ht="12.75" customHeight="1" x14ac:dyDescent="0.2">
      <c r="A191" s="1549"/>
      <c r="B191" s="1549"/>
      <c r="C191" s="1549"/>
      <c r="D191" s="1558"/>
      <c r="E191" s="1549"/>
      <c r="F191" s="1555"/>
      <c r="G191" s="1555"/>
      <c r="H191" s="1549"/>
      <c r="I191" s="1549"/>
      <c r="J191" s="1555"/>
      <c r="K191" s="1555"/>
      <c r="L191" s="1549"/>
      <c r="M191" s="1549"/>
      <c r="N191" s="1549"/>
      <c r="O191" s="1549"/>
      <c r="P191" s="1549"/>
      <c r="Q191" s="1549"/>
      <c r="R191" s="1549"/>
      <c r="S191" s="1549"/>
      <c r="T191" s="1549"/>
      <c r="U191" s="1549"/>
      <c r="V191" s="1549"/>
      <c r="W191" s="1549"/>
      <c r="X191" s="1549"/>
      <c r="Y191" s="1549"/>
      <c r="Z191" s="1549"/>
    </row>
    <row r="192" spans="1:26" ht="12.75" customHeight="1" x14ac:dyDescent="0.2">
      <c r="A192" s="1549"/>
      <c r="B192" s="1549"/>
      <c r="C192" s="1549"/>
      <c r="D192" s="1558"/>
      <c r="E192" s="1549"/>
      <c r="F192" s="1555"/>
      <c r="G192" s="1555"/>
      <c r="H192" s="1549"/>
      <c r="I192" s="1549"/>
      <c r="J192" s="1555"/>
      <c r="K192" s="1555"/>
      <c r="L192" s="1549"/>
      <c r="M192" s="1549"/>
      <c r="N192" s="1549"/>
      <c r="O192" s="1549"/>
      <c r="P192" s="1549"/>
      <c r="Q192" s="1549"/>
      <c r="R192" s="1549"/>
      <c r="S192" s="1549"/>
      <c r="T192" s="1549"/>
      <c r="U192" s="1549"/>
      <c r="V192" s="1549"/>
      <c r="W192" s="1549"/>
      <c r="X192" s="1549"/>
      <c r="Y192" s="1549"/>
      <c r="Z192" s="1549"/>
    </row>
    <row r="193" spans="1:26" ht="12.75" customHeight="1" x14ac:dyDescent="0.2">
      <c r="A193" s="1549"/>
      <c r="B193" s="1549"/>
      <c r="C193" s="1549"/>
      <c r="D193" s="1558"/>
      <c r="E193" s="1549"/>
      <c r="F193" s="1549"/>
      <c r="G193" s="1549"/>
      <c r="H193" s="1549"/>
      <c r="I193" s="1549"/>
      <c r="J193" s="1549"/>
      <c r="K193" s="1549"/>
      <c r="L193" s="1549"/>
      <c r="M193" s="1549"/>
      <c r="N193" s="1549"/>
      <c r="O193" s="1549"/>
      <c r="P193" s="1549"/>
      <c r="Q193" s="1549"/>
      <c r="R193" s="1549"/>
      <c r="S193" s="1549"/>
      <c r="T193" s="1549"/>
      <c r="U193" s="1549"/>
      <c r="V193" s="1549"/>
      <c r="W193" s="1549"/>
      <c r="X193" s="1549"/>
      <c r="Y193" s="1549"/>
      <c r="Z193" s="1549"/>
    </row>
    <row r="194" spans="1:26" ht="12.75" customHeight="1" x14ac:dyDescent="0.2">
      <c r="A194" s="1549"/>
      <c r="B194" s="1549"/>
      <c r="C194" s="1549"/>
      <c r="D194" s="1558"/>
      <c r="E194" s="1549"/>
      <c r="F194" s="1549"/>
      <c r="G194" s="1549"/>
      <c r="H194" s="1549"/>
      <c r="I194" s="1549"/>
      <c r="J194" s="1549"/>
      <c r="K194" s="1549"/>
      <c r="L194" s="1549"/>
      <c r="M194" s="1549"/>
      <c r="N194" s="1549"/>
      <c r="O194" s="1549"/>
      <c r="P194" s="1549"/>
      <c r="Q194" s="1549"/>
      <c r="R194" s="1549"/>
      <c r="S194" s="1549"/>
      <c r="T194" s="1549"/>
      <c r="U194" s="1549"/>
      <c r="V194" s="1549"/>
      <c r="W194" s="1549"/>
      <c r="X194" s="1549"/>
      <c r="Y194" s="1549"/>
      <c r="Z194" s="1549"/>
    </row>
    <row r="195" spans="1:26" ht="12.75" customHeight="1" x14ac:dyDescent="0.2">
      <c r="A195" s="1549"/>
      <c r="B195" s="1549"/>
      <c r="C195" s="1549"/>
      <c r="D195" s="1558"/>
      <c r="E195" s="1549"/>
      <c r="F195" s="1549"/>
      <c r="G195" s="1549"/>
      <c r="H195" s="1549"/>
      <c r="I195" s="1549"/>
      <c r="J195" s="1549"/>
      <c r="K195" s="1549"/>
      <c r="L195" s="1549"/>
      <c r="M195" s="1549"/>
      <c r="N195" s="1549"/>
      <c r="O195" s="1549"/>
      <c r="P195" s="1549"/>
      <c r="Q195" s="1549"/>
      <c r="R195" s="1549"/>
      <c r="S195" s="1549"/>
      <c r="T195" s="1549"/>
      <c r="U195" s="1549"/>
      <c r="V195" s="1549"/>
      <c r="W195" s="1549"/>
      <c r="X195" s="1549"/>
      <c r="Y195" s="1549"/>
      <c r="Z195" s="1549"/>
    </row>
    <row r="196" spans="1:26" ht="12.75" customHeight="1" x14ac:dyDescent="0.2">
      <c r="A196" s="1549"/>
      <c r="B196" s="1549"/>
      <c r="C196" s="1549"/>
      <c r="D196" s="1558"/>
      <c r="E196" s="1549"/>
      <c r="F196" s="1549"/>
      <c r="G196" s="1549"/>
      <c r="H196" s="1549"/>
      <c r="I196" s="1549"/>
      <c r="J196" s="1549"/>
      <c r="K196" s="1549"/>
      <c r="L196" s="1549"/>
      <c r="M196" s="1549"/>
      <c r="N196" s="1549"/>
      <c r="O196" s="1549"/>
      <c r="P196" s="1549"/>
      <c r="Q196" s="1549"/>
      <c r="R196" s="1549"/>
      <c r="S196" s="1549"/>
      <c r="T196" s="1549"/>
      <c r="U196" s="1549"/>
      <c r="V196" s="1549"/>
      <c r="W196" s="1549"/>
      <c r="X196" s="1549"/>
      <c r="Y196" s="1549"/>
      <c r="Z196" s="1549"/>
    </row>
    <row r="197" spans="1:26" ht="12.75" customHeight="1" x14ac:dyDescent="0.2">
      <c r="A197" s="1549"/>
      <c r="B197" s="1549"/>
      <c r="C197" s="1549"/>
      <c r="D197" s="1558"/>
      <c r="E197" s="1549"/>
      <c r="F197" s="1549"/>
      <c r="G197" s="1549"/>
      <c r="H197" s="1549"/>
      <c r="I197" s="1549"/>
      <c r="J197" s="1549"/>
      <c r="K197" s="1549"/>
      <c r="L197" s="1549"/>
      <c r="M197" s="1549"/>
      <c r="N197" s="1549"/>
      <c r="O197" s="1549"/>
      <c r="P197" s="1549"/>
      <c r="Q197" s="1549"/>
      <c r="R197" s="1549"/>
      <c r="S197" s="1549"/>
      <c r="T197" s="1549"/>
      <c r="U197" s="1549"/>
      <c r="V197" s="1549"/>
      <c r="W197" s="1549"/>
      <c r="X197" s="1549"/>
      <c r="Y197" s="1549"/>
      <c r="Z197" s="1549"/>
    </row>
    <row r="198" spans="1:26" ht="12.75" customHeight="1" x14ac:dyDescent="0.2">
      <c r="A198" s="1549"/>
      <c r="B198" s="1549"/>
      <c r="C198" s="1549"/>
      <c r="D198" s="1558"/>
      <c r="E198" s="1549"/>
      <c r="F198" s="1549"/>
      <c r="G198" s="1549"/>
      <c r="H198" s="1549"/>
      <c r="I198" s="1549"/>
      <c r="J198" s="1549"/>
      <c r="K198" s="1549"/>
      <c r="L198" s="1549"/>
      <c r="M198" s="1549"/>
      <c r="N198" s="1549"/>
      <c r="O198" s="1549"/>
      <c r="P198" s="1549"/>
      <c r="Q198" s="1549"/>
      <c r="R198" s="1549"/>
      <c r="S198" s="1549"/>
      <c r="T198" s="1549"/>
      <c r="U198" s="1549"/>
      <c r="V198" s="1549"/>
      <c r="W198" s="1549"/>
      <c r="X198" s="1549"/>
      <c r="Y198" s="1549"/>
      <c r="Z198" s="1549"/>
    </row>
    <row r="199" spans="1:26" ht="12.75" customHeight="1" x14ac:dyDescent="0.2">
      <c r="A199" s="1549"/>
      <c r="B199" s="1549"/>
      <c r="C199" s="1549"/>
      <c r="D199" s="1558"/>
      <c r="E199" s="1549"/>
      <c r="F199" s="1549"/>
      <c r="G199" s="1549"/>
      <c r="H199" s="1549"/>
      <c r="I199" s="1549"/>
      <c r="J199" s="1549"/>
      <c r="K199" s="1549"/>
      <c r="L199" s="1549"/>
      <c r="M199" s="1549"/>
      <c r="N199" s="1549"/>
      <c r="O199" s="1549"/>
      <c r="P199" s="1549"/>
      <c r="Q199" s="1549"/>
      <c r="R199" s="1549"/>
      <c r="S199" s="1549"/>
      <c r="T199" s="1549"/>
      <c r="U199" s="1549"/>
      <c r="V199" s="1549"/>
      <c r="W199" s="1549"/>
      <c r="X199" s="1549"/>
      <c r="Y199" s="1549"/>
      <c r="Z199" s="1549"/>
    </row>
    <row r="200" spans="1:26" ht="12.75" customHeight="1" x14ac:dyDescent="0.2">
      <c r="A200" s="1549"/>
      <c r="B200" s="1549"/>
      <c r="C200" s="1549"/>
      <c r="D200" s="1558"/>
      <c r="E200" s="1549"/>
      <c r="F200" s="1549"/>
      <c r="G200" s="1549"/>
      <c r="H200" s="1549"/>
      <c r="I200" s="1549"/>
      <c r="J200" s="1549"/>
      <c r="K200" s="1549"/>
      <c r="L200" s="1549"/>
      <c r="M200" s="1549"/>
      <c r="N200" s="1549"/>
      <c r="O200" s="1549"/>
      <c r="P200" s="1549"/>
      <c r="Q200" s="1549"/>
      <c r="R200" s="1549"/>
      <c r="S200" s="1549"/>
      <c r="T200" s="1549"/>
      <c r="U200" s="1549"/>
      <c r="V200" s="1549"/>
      <c r="W200" s="1549"/>
      <c r="X200" s="1549"/>
      <c r="Y200" s="1549"/>
      <c r="Z200" s="1549"/>
    </row>
    <row r="201" spans="1:26" ht="12.75" customHeight="1" x14ac:dyDescent="0.2">
      <c r="A201" s="1549"/>
      <c r="B201" s="1549"/>
      <c r="C201" s="1549"/>
      <c r="D201" s="1558"/>
      <c r="E201" s="1549"/>
      <c r="F201" s="1549"/>
      <c r="G201" s="1549"/>
      <c r="H201" s="1549"/>
      <c r="I201" s="1549"/>
      <c r="J201" s="1549"/>
      <c r="K201" s="1549"/>
      <c r="L201" s="1549"/>
      <c r="M201" s="1549"/>
      <c r="N201" s="1549"/>
      <c r="O201" s="1549"/>
      <c r="P201" s="1549"/>
      <c r="Q201" s="1549"/>
      <c r="R201" s="1549"/>
      <c r="S201" s="1549"/>
      <c r="T201" s="1549"/>
      <c r="U201" s="1549"/>
      <c r="V201" s="1549"/>
      <c r="W201" s="1549"/>
      <c r="X201" s="1549"/>
      <c r="Y201" s="1549"/>
      <c r="Z201" s="1549"/>
    </row>
    <row r="202" spans="1:26" ht="12.75" customHeight="1" x14ac:dyDescent="0.2">
      <c r="A202" s="1549"/>
      <c r="B202" s="1549"/>
      <c r="C202" s="1549"/>
      <c r="D202" s="1558"/>
      <c r="E202" s="1549"/>
      <c r="F202" s="1549"/>
      <c r="G202" s="1549"/>
      <c r="H202" s="1549"/>
      <c r="I202" s="1549"/>
      <c r="J202" s="1549"/>
      <c r="K202" s="1549"/>
      <c r="L202" s="1549"/>
      <c r="M202" s="1549"/>
      <c r="N202" s="1549"/>
      <c r="O202" s="1549"/>
      <c r="P202" s="1549"/>
      <c r="Q202" s="1549"/>
      <c r="R202" s="1549"/>
      <c r="S202" s="1549"/>
      <c r="T202" s="1549"/>
      <c r="U202" s="1549"/>
      <c r="V202" s="1549"/>
      <c r="W202" s="1549"/>
      <c r="X202" s="1549"/>
      <c r="Y202" s="1549"/>
      <c r="Z202" s="1549"/>
    </row>
    <row r="203" spans="1:26" ht="12.75" customHeight="1" x14ac:dyDescent="0.2">
      <c r="A203" s="1549"/>
      <c r="B203" s="1549"/>
      <c r="C203" s="1549"/>
      <c r="D203" s="1558"/>
      <c r="E203" s="1549"/>
      <c r="F203" s="1549"/>
      <c r="G203" s="1549"/>
      <c r="H203" s="1549"/>
      <c r="I203" s="1549"/>
      <c r="J203" s="1549"/>
      <c r="K203" s="1549"/>
      <c r="L203" s="1549"/>
      <c r="M203" s="1549"/>
      <c r="N203" s="1549"/>
      <c r="O203" s="1549"/>
      <c r="P203" s="1549"/>
      <c r="Q203" s="1549"/>
      <c r="R203" s="1549"/>
      <c r="S203" s="1549"/>
      <c r="T203" s="1549"/>
      <c r="U203" s="1549"/>
      <c r="V203" s="1549"/>
      <c r="W203" s="1549"/>
      <c r="X203" s="1549"/>
      <c r="Y203" s="1549"/>
      <c r="Z203" s="1549"/>
    </row>
    <row r="204" spans="1:26" ht="12.75" customHeight="1" x14ac:dyDescent="0.2">
      <c r="A204" s="1549"/>
      <c r="B204" s="1549"/>
      <c r="C204" s="1549"/>
      <c r="D204" s="1558"/>
      <c r="E204" s="1549"/>
      <c r="F204" s="1549"/>
      <c r="G204" s="1549"/>
      <c r="H204" s="1549"/>
      <c r="I204" s="1549"/>
      <c r="J204" s="1549"/>
      <c r="K204" s="1549"/>
      <c r="L204" s="1549"/>
      <c r="M204" s="1549"/>
      <c r="N204" s="1549"/>
      <c r="O204" s="1549"/>
      <c r="P204" s="1549"/>
      <c r="Q204" s="1549"/>
      <c r="R204" s="1549"/>
      <c r="S204" s="1549"/>
      <c r="T204" s="1549"/>
      <c r="U204" s="1549"/>
      <c r="V204" s="1549"/>
      <c r="W204" s="1549"/>
      <c r="X204" s="1549"/>
      <c r="Y204" s="1549"/>
      <c r="Z204" s="1549"/>
    </row>
    <row r="205" spans="1:26" ht="12.75" customHeight="1" x14ac:dyDescent="0.2">
      <c r="A205" s="1549"/>
      <c r="B205" s="1549"/>
      <c r="C205" s="1549"/>
      <c r="D205" s="1558"/>
      <c r="E205" s="1549"/>
      <c r="F205" s="1549"/>
      <c r="G205" s="1549"/>
      <c r="H205" s="1549"/>
      <c r="I205" s="1549"/>
      <c r="J205" s="1549"/>
      <c r="K205" s="1549"/>
      <c r="L205" s="1549"/>
      <c r="M205" s="1549"/>
      <c r="N205" s="1549"/>
      <c r="O205" s="1549"/>
      <c r="P205" s="1549"/>
      <c r="Q205" s="1549"/>
      <c r="R205" s="1549"/>
      <c r="S205" s="1549"/>
      <c r="T205" s="1549"/>
      <c r="U205" s="1549"/>
      <c r="V205" s="1549"/>
      <c r="W205" s="1549"/>
      <c r="X205" s="1549"/>
      <c r="Y205" s="1549"/>
      <c r="Z205" s="1549"/>
    </row>
    <row r="206" spans="1:26" ht="12.75" customHeight="1" x14ac:dyDescent="0.2">
      <c r="A206" s="1549"/>
      <c r="B206" s="1549"/>
      <c r="C206" s="1549"/>
      <c r="D206" s="1558"/>
      <c r="E206" s="1549"/>
      <c r="F206" s="1549"/>
      <c r="G206" s="1549"/>
      <c r="H206" s="1549"/>
      <c r="I206" s="1549"/>
      <c r="J206" s="1549"/>
      <c r="K206" s="1549"/>
      <c r="L206" s="1549"/>
      <c r="M206" s="1549"/>
      <c r="N206" s="1549"/>
      <c r="O206" s="1549"/>
      <c r="P206" s="1549"/>
      <c r="Q206" s="1549"/>
      <c r="R206" s="1549"/>
      <c r="S206" s="1549"/>
      <c r="T206" s="1549"/>
      <c r="U206" s="1549"/>
      <c r="V206" s="1549"/>
      <c r="W206" s="1549"/>
      <c r="X206" s="1549"/>
      <c r="Y206" s="1549"/>
      <c r="Z206" s="1549"/>
    </row>
    <row r="207" spans="1:26" ht="12.75" customHeight="1" x14ac:dyDescent="0.2">
      <c r="A207" s="1549"/>
      <c r="B207" s="1549"/>
      <c r="C207" s="1549"/>
      <c r="D207" s="1558"/>
      <c r="E207" s="1549"/>
      <c r="F207" s="1549"/>
      <c r="G207" s="1549"/>
      <c r="H207" s="1549"/>
      <c r="I207" s="1549"/>
      <c r="J207" s="1549"/>
      <c r="K207" s="1549"/>
      <c r="L207" s="1549"/>
      <c r="M207" s="1549"/>
      <c r="N207" s="1549"/>
      <c r="O207" s="1549"/>
      <c r="P207" s="1549"/>
      <c r="Q207" s="1549"/>
      <c r="R207" s="1549"/>
      <c r="S207" s="1549"/>
      <c r="T207" s="1549"/>
      <c r="U207" s="1549"/>
      <c r="V207" s="1549"/>
      <c r="W207" s="1549"/>
      <c r="X207" s="1549"/>
      <c r="Y207" s="1549"/>
      <c r="Z207" s="1549"/>
    </row>
    <row r="208" spans="1:26" ht="12.75" customHeight="1" x14ac:dyDescent="0.2">
      <c r="A208" s="1549"/>
      <c r="B208" s="1549"/>
      <c r="C208" s="1549"/>
      <c r="D208" s="1558"/>
      <c r="E208" s="1549"/>
      <c r="F208" s="1549"/>
      <c r="G208" s="1549"/>
      <c r="H208" s="1549"/>
      <c r="I208" s="1549"/>
      <c r="J208" s="1549"/>
      <c r="K208" s="1549"/>
      <c r="L208" s="1549"/>
      <c r="M208" s="1549"/>
      <c r="N208" s="1549"/>
      <c r="O208" s="1549"/>
      <c r="P208" s="1549"/>
      <c r="Q208" s="1549"/>
      <c r="R208" s="1549"/>
      <c r="S208" s="1549"/>
      <c r="T208" s="1549"/>
      <c r="U208" s="1549"/>
      <c r="V208" s="1549"/>
      <c r="W208" s="1549"/>
      <c r="X208" s="1549"/>
      <c r="Y208" s="1549"/>
      <c r="Z208" s="1549"/>
    </row>
    <row r="209" spans="1:26" ht="12.75" customHeight="1" x14ac:dyDescent="0.2">
      <c r="A209" s="1549"/>
      <c r="B209" s="1549"/>
      <c r="C209" s="1549"/>
      <c r="D209" s="1558"/>
      <c r="E209" s="1549"/>
      <c r="F209" s="1549"/>
      <c r="G209" s="1549"/>
      <c r="H209" s="1549"/>
      <c r="I209" s="1549"/>
      <c r="J209" s="1549"/>
      <c r="K209" s="1549"/>
      <c r="L209" s="1549"/>
      <c r="M209" s="1549"/>
      <c r="N209" s="1549"/>
      <c r="O209" s="1549"/>
      <c r="P209" s="1549"/>
      <c r="Q209" s="1549"/>
      <c r="R209" s="1549"/>
      <c r="S209" s="1549"/>
      <c r="T209" s="1549"/>
      <c r="U209" s="1549"/>
      <c r="V209" s="1549"/>
      <c r="W209" s="1549"/>
      <c r="X209" s="1549"/>
      <c r="Y209" s="1549"/>
      <c r="Z209" s="1549"/>
    </row>
    <row r="210" spans="1:26" ht="12.75" customHeight="1" x14ac:dyDescent="0.2">
      <c r="A210" s="1549"/>
      <c r="B210" s="1549"/>
      <c r="C210" s="1549"/>
      <c r="D210" s="1558"/>
      <c r="E210" s="1549"/>
      <c r="F210" s="1549"/>
      <c r="G210" s="1549"/>
      <c r="H210" s="1549"/>
      <c r="I210" s="1549"/>
      <c r="J210" s="1549"/>
      <c r="K210" s="1549"/>
      <c r="L210" s="1549"/>
      <c r="M210" s="1549"/>
      <c r="N210" s="1549"/>
      <c r="O210" s="1549"/>
      <c r="P210" s="1549"/>
      <c r="Q210" s="1549"/>
      <c r="R210" s="1549"/>
      <c r="S210" s="1549"/>
      <c r="T210" s="1549"/>
      <c r="U210" s="1549"/>
      <c r="V210" s="1549"/>
      <c r="W210" s="1549"/>
      <c r="X210" s="1549"/>
      <c r="Y210" s="1549"/>
      <c r="Z210" s="1549"/>
    </row>
    <row r="211" spans="1:26" ht="12.75" customHeight="1" x14ac:dyDescent="0.2">
      <c r="A211" s="1549"/>
      <c r="B211" s="1549"/>
      <c r="C211" s="1549"/>
      <c r="D211" s="1558"/>
      <c r="E211" s="1549"/>
      <c r="F211" s="1555"/>
      <c r="G211" s="1555"/>
      <c r="H211" s="1549"/>
      <c r="I211" s="1549"/>
      <c r="J211" s="1555"/>
      <c r="K211" s="1555"/>
      <c r="L211" s="1549"/>
      <c r="M211" s="1549"/>
      <c r="N211" s="1549"/>
      <c r="O211" s="1549"/>
      <c r="P211" s="1549"/>
      <c r="Q211" s="1549"/>
      <c r="R211" s="1549"/>
      <c r="S211" s="1549"/>
      <c r="T211" s="1549"/>
      <c r="U211" s="1549"/>
      <c r="V211" s="1549"/>
      <c r="W211" s="1549"/>
      <c r="X211" s="1549"/>
      <c r="Y211" s="1549"/>
      <c r="Z211" s="1549"/>
    </row>
    <row r="212" spans="1:26" ht="12.75" customHeight="1" x14ac:dyDescent="0.2">
      <c r="A212" s="1549"/>
      <c r="B212" s="1549"/>
      <c r="C212" s="1549"/>
      <c r="D212" s="1558"/>
      <c r="E212" s="1549"/>
      <c r="F212" s="1555"/>
      <c r="G212" s="1555"/>
      <c r="H212" s="1549"/>
      <c r="I212" s="1549"/>
      <c r="J212" s="1555"/>
      <c r="K212" s="1555"/>
      <c r="L212" s="1549"/>
      <c r="M212" s="1549"/>
      <c r="N212" s="1549"/>
      <c r="O212" s="1549"/>
      <c r="P212" s="1549"/>
      <c r="Q212" s="1549"/>
      <c r="R212" s="1549"/>
      <c r="S212" s="1549"/>
      <c r="T212" s="1549"/>
      <c r="U212" s="1549"/>
      <c r="V212" s="1549"/>
      <c r="W212" s="1549"/>
      <c r="X212" s="1549"/>
      <c r="Y212" s="1549"/>
      <c r="Z212" s="1549"/>
    </row>
    <row r="213" spans="1:26" ht="12.75" customHeight="1" x14ac:dyDescent="0.2">
      <c r="A213" s="1549"/>
      <c r="B213" s="1549"/>
      <c r="C213" s="1549"/>
      <c r="D213" s="1558"/>
      <c r="E213" s="1549"/>
      <c r="F213" s="1555"/>
      <c r="G213" s="1555"/>
      <c r="H213" s="1549"/>
      <c r="I213" s="1549"/>
      <c r="J213" s="1555"/>
      <c r="K213" s="1555"/>
      <c r="L213" s="1549"/>
      <c r="M213" s="1549"/>
      <c r="N213" s="1549"/>
      <c r="O213" s="1549"/>
      <c r="P213" s="1549"/>
      <c r="Q213" s="1549"/>
      <c r="R213" s="1549"/>
      <c r="S213" s="1549"/>
      <c r="T213" s="1549"/>
      <c r="U213" s="1549"/>
      <c r="V213" s="1549"/>
      <c r="W213" s="1549"/>
      <c r="X213" s="1549"/>
      <c r="Y213" s="1549"/>
      <c r="Z213" s="1549"/>
    </row>
    <row r="214" spans="1:26" ht="12.75" customHeight="1" x14ac:dyDescent="0.2">
      <c r="A214" s="1549"/>
      <c r="B214" s="1549"/>
      <c r="C214" s="1549"/>
      <c r="D214" s="1558"/>
      <c r="E214" s="1549"/>
      <c r="F214" s="1555"/>
      <c r="G214" s="1555"/>
      <c r="H214" s="1549"/>
      <c r="I214" s="1549"/>
      <c r="J214" s="1555"/>
      <c r="K214" s="1555"/>
      <c r="L214" s="1549"/>
      <c r="M214" s="1549"/>
      <c r="N214" s="1549"/>
      <c r="O214" s="1549"/>
      <c r="P214" s="1549"/>
      <c r="Q214" s="1549"/>
      <c r="R214" s="1549"/>
      <c r="S214" s="1549"/>
      <c r="T214" s="1549"/>
      <c r="U214" s="1549"/>
      <c r="V214" s="1549"/>
      <c r="W214" s="1549"/>
      <c r="X214" s="1549"/>
      <c r="Y214" s="1549"/>
      <c r="Z214" s="1549"/>
    </row>
    <row r="215" spans="1:26" ht="12.75" customHeight="1" x14ac:dyDescent="0.2">
      <c r="A215" s="1549"/>
      <c r="B215" s="1549"/>
      <c r="C215" s="1549"/>
      <c r="D215" s="1558"/>
      <c r="E215" s="1549"/>
      <c r="F215" s="1555"/>
      <c r="G215" s="1555"/>
      <c r="H215" s="1549"/>
      <c r="I215" s="1549"/>
      <c r="J215" s="1555"/>
      <c r="K215" s="1555"/>
      <c r="L215" s="1549"/>
      <c r="M215" s="1549"/>
      <c r="N215" s="1549"/>
      <c r="O215" s="1549"/>
      <c r="P215" s="1549"/>
      <c r="Q215" s="1549"/>
      <c r="R215" s="1549"/>
      <c r="S215" s="1549"/>
      <c r="T215" s="1549"/>
      <c r="U215" s="1549"/>
      <c r="V215" s="1549"/>
      <c r="W215" s="1549"/>
      <c r="X215" s="1549"/>
      <c r="Y215" s="1549"/>
      <c r="Z215" s="1549"/>
    </row>
    <row r="216" spans="1:26" ht="12.75" customHeight="1" x14ac:dyDescent="0.2">
      <c r="A216" s="1549"/>
      <c r="B216" s="1549"/>
      <c r="C216" s="1549"/>
      <c r="D216" s="1558"/>
      <c r="E216" s="1549"/>
      <c r="F216" s="1555"/>
      <c r="G216" s="1555"/>
      <c r="H216" s="1549"/>
      <c r="I216" s="1549"/>
      <c r="J216" s="1555"/>
      <c r="K216" s="1555"/>
      <c r="L216" s="1549"/>
      <c r="M216" s="1549"/>
      <c r="N216" s="1549"/>
      <c r="O216" s="1549"/>
      <c r="P216" s="1549"/>
      <c r="Q216" s="1549"/>
      <c r="R216" s="1549"/>
      <c r="S216" s="1549"/>
      <c r="T216" s="1549"/>
      <c r="U216" s="1549"/>
      <c r="V216" s="1549"/>
      <c r="W216" s="1549"/>
      <c r="X216" s="1549"/>
      <c r="Y216" s="1549"/>
      <c r="Z216" s="1549"/>
    </row>
    <row r="217" spans="1:26" ht="12.75" customHeight="1" x14ac:dyDescent="0.2">
      <c r="A217" s="1549"/>
      <c r="B217" s="1549"/>
      <c r="C217" s="1549"/>
      <c r="D217" s="1558"/>
      <c r="E217" s="1549"/>
      <c r="F217" s="1555"/>
      <c r="G217" s="1555"/>
      <c r="H217" s="1549"/>
      <c r="I217" s="1549"/>
      <c r="J217" s="1555"/>
      <c r="K217" s="1555"/>
      <c r="L217" s="1549"/>
      <c r="M217" s="1549"/>
      <c r="N217" s="1549"/>
      <c r="O217" s="1549"/>
      <c r="P217" s="1549"/>
      <c r="Q217" s="1549"/>
      <c r="R217" s="1549"/>
      <c r="S217" s="1549"/>
      <c r="T217" s="1549"/>
      <c r="U217" s="1549"/>
      <c r="V217" s="1549"/>
      <c r="W217" s="1549"/>
      <c r="X217" s="1549"/>
      <c r="Y217" s="1549"/>
      <c r="Z217" s="1549"/>
    </row>
    <row r="218" spans="1:26" ht="12.75" customHeight="1" x14ac:dyDescent="0.2">
      <c r="A218" s="1549"/>
      <c r="B218" s="1549"/>
      <c r="C218" s="1549"/>
      <c r="D218" s="1558"/>
      <c r="E218" s="1549"/>
      <c r="F218" s="1555"/>
      <c r="G218" s="1555"/>
      <c r="H218" s="1549"/>
      <c r="I218" s="1549"/>
      <c r="J218" s="1555"/>
      <c r="K218" s="1555"/>
      <c r="L218" s="1549"/>
      <c r="M218" s="1549"/>
      <c r="N218" s="1549"/>
      <c r="O218" s="1549"/>
      <c r="P218" s="1549"/>
      <c r="Q218" s="1549"/>
      <c r="R218" s="1549"/>
      <c r="S218" s="1549"/>
      <c r="T218" s="1549"/>
      <c r="U218" s="1549"/>
      <c r="V218" s="1549"/>
      <c r="W218" s="1549"/>
      <c r="X218" s="1549"/>
      <c r="Y218" s="1549"/>
      <c r="Z218" s="1549"/>
    </row>
    <row r="219" spans="1:26" ht="12.75" customHeight="1" x14ac:dyDescent="0.2">
      <c r="A219" s="1549"/>
      <c r="B219" s="1549"/>
      <c r="C219" s="1549"/>
      <c r="D219" s="1558"/>
      <c r="E219" s="1549"/>
      <c r="F219" s="1555"/>
      <c r="G219" s="1555"/>
      <c r="H219" s="1549"/>
      <c r="I219" s="1549"/>
      <c r="J219" s="1555"/>
      <c r="K219" s="1555"/>
      <c r="L219" s="1549"/>
      <c r="M219" s="1549"/>
      <c r="N219" s="1549"/>
      <c r="O219" s="1549"/>
      <c r="P219" s="1549"/>
      <c r="Q219" s="1549"/>
      <c r="R219" s="1549"/>
      <c r="S219" s="1549"/>
      <c r="T219" s="1549"/>
      <c r="U219" s="1549"/>
      <c r="V219" s="1549"/>
      <c r="W219" s="1549"/>
      <c r="X219" s="1549"/>
      <c r="Y219" s="1549"/>
      <c r="Z219" s="1549"/>
    </row>
    <row r="220" spans="1:26" ht="12.75" customHeight="1" x14ac:dyDescent="0.2">
      <c r="A220" s="1549"/>
      <c r="B220" s="1549"/>
      <c r="C220" s="1549"/>
      <c r="D220" s="1558"/>
      <c r="E220" s="1549"/>
      <c r="F220" s="1555"/>
      <c r="G220" s="1555"/>
      <c r="H220" s="1549"/>
      <c r="I220" s="1549"/>
      <c r="J220" s="1555"/>
      <c r="K220" s="1555"/>
      <c r="L220" s="1549"/>
      <c r="M220" s="1549"/>
      <c r="N220" s="1549"/>
      <c r="O220" s="1549"/>
      <c r="P220" s="1549"/>
      <c r="Q220" s="1549"/>
      <c r="R220" s="1549"/>
      <c r="S220" s="1549"/>
      <c r="T220" s="1549"/>
      <c r="U220" s="1549"/>
      <c r="V220" s="1549"/>
      <c r="W220" s="1549"/>
      <c r="X220" s="1549"/>
      <c r="Y220" s="1549"/>
      <c r="Z220" s="1549"/>
    </row>
    <row r="221" spans="1:26" ht="12.75" customHeight="1" x14ac:dyDescent="0.2">
      <c r="A221" s="1549"/>
      <c r="B221" s="1549"/>
      <c r="C221" s="1549"/>
      <c r="D221" s="1558"/>
      <c r="E221" s="1549"/>
      <c r="F221" s="1555"/>
      <c r="G221" s="1555"/>
      <c r="H221" s="1549"/>
      <c r="I221" s="1549"/>
      <c r="J221" s="1555"/>
      <c r="K221" s="1555"/>
      <c r="L221" s="1549"/>
      <c r="M221" s="1549"/>
      <c r="N221" s="1549"/>
      <c r="O221" s="1549"/>
      <c r="P221" s="1549"/>
      <c r="Q221" s="1549"/>
      <c r="R221" s="1549"/>
      <c r="S221" s="1549"/>
      <c r="T221" s="1549"/>
      <c r="U221" s="1549"/>
      <c r="V221" s="1549"/>
      <c r="W221" s="1549"/>
      <c r="X221" s="1549"/>
      <c r="Y221" s="1549"/>
      <c r="Z221" s="1549"/>
    </row>
    <row r="222" spans="1:26" ht="12.75" customHeight="1" x14ac:dyDescent="0.2">
      <c r="A222" s="1549"/>
      <c r="B222" s="1549"/>
      <c r="C222" s="1549"/>
      <c r="D222" s="1558"/>
      <c r="E222" s="1549"/>
      <c r="F222" s="1555"/>
      <c r="G222" s="1555"/>
      <c r="H222" s="1549"/>
      <c r="I222" s="1549"/>
      <c r="J222" s="1555"/>
      <c r="K222" s="1555"/>
      <c r="L222" s="1549"/>
      <c r="M222" s="1549"/>
      <c r="N222" s="1549"/>
      <c r="O222" s="1549"/>
      <c r="P222" s="1549"/>
      <c r="Q222" s="1549"/>
      <c r="R222" s="1549"/>
      <c r="S222" s="1549"/>
      <c r="T222" s="1549"/>
      <c r="U222" s="1549"/>
      <c r="V222" s="1549"/>
      <c r="W222" s="1549"/>
      <c r="X222" s="1549"/>
      <c r="Y222" s="1549"/>
      <c r="Z222" s="1549"/>
    </row>
    <row r="223" spans="1:26" ht="12.75" customHeight="1" x14ac:dyDescent="0.2">
      <c r="A223" s="1549"/>
      <c r="B223" s="1549"/>
      <c r="C223" s="1549"/>
      <c r="D223" s="1558"/>
      <c r="E223" s="1549"/>
      <c r="F223" s="1555"/>
      <c r="G223" s="1555"/>
      <c r="H223" s="1549"/>
      <c r="I223" s="1549"/>
      <c r="J223" s="1555"/>
      <c r="K223" s="1555"/>
      <c r="L223" s="1549"/>
      <c r="M223" s="1549"/>
      <c r="N223" s="1549"/>
      <c r="O223" s="1549"/>
      <c r="P223" s="1549"/>
      <c r="Q223" s="1549"/>
      <c r="R223" s="1549"/>
      <c r="S223" s="1549"/>
      <c r="T223" s="1549"/>
      <c r="U223" s="1549"/>
      <c r="V223" s="1549"/>
      <c r="W223" s="1549"/>
      <c r="X223" s="1549"/>
      <c r="Y223" s="1549"/>
      <c r="Z223" s="1549"/>
    </row>
    <row r="224" spans="1:26" ht="12.75" customHeight="1" x14ac:dyDescent="0.2">
      <c r="A224" s="1549"/>
      <c r="B224" s="1549"/>
      <c r="C224" s="1549"/>
      <c r="D224" s="1558"/>
      <c r="E224" s="1549"/>
      <c r="F224" s="1555"/>
      <c r="G224" s="1555"/>
      <c r="H224" s="1549"/>
      <c r="I224" s="1549"/>
      <c r="J224" s="1555"/>
      <c r="K224" s="1555"/>
      <c r="L224" s="1549"/>
      <c r="M224" s="1549"/>
      <c r="N224" s="1549"/>
      <c r="O224" s="1549"/>
      <c r="P224" s="1549"/>
      <c r="Q224" s="1549"/>
      <c r="R224" s="1549"/>
      <c r="S224" s="1549"/>
      <c r="T224" s="1549"/>
      <c r="U224" s="1549"/>
      <c r="V224" s="1549"/>
      <c r="W224" s="1549"/>
      <c r="X224" s="1549"/>
      <c r="Y224" s="1549"/>
      <c r="Z224" s="1549"/>
    </row>
    <row r="225" spans="1:26" ht="12.75" customHeight="1" x14ac:dyDescent="0.2">
      <c r="A225" s="1549"/>
      <c r="B225" s="1549"/>
      <c r="C225" s="1549"/>
      <c r="D225" s="1558"/>
      <c r="E225" s="1549"/>
      <c r="F225" s="1549"/>
      <c r="G225" s="1549"/>
      <c r="H225" s="1549"/>
      <c r="I225" s="1549"/>
      <c r="J225" s="1549"/>
      <c r="K225" s="1549"/>
      <c r="L225" s="1549"/>
      <c r="M225" s="1549"/>
      <c r="N225" s="1549"/>
      <c r="O225" s="1549"/>
      <c r="P225" s="1549"/>
      <c r="Q225" s="1549"/>
      <c r="R225" s="1549"/>
      <c r="S225" s="1549"/>
      <c r="T225" s="1549"/>
      <c r="U225" s="1549"/>
      <c r="V225" s="1549"/>
      <c r="W225" s="1549"/>
      <c r="X225" s="1549"/>
      <c r="Y225" s="1549"/>
      <c r="Z225" s="1549"/>
    </row>
    <row r="226" spans="1:26" ht="12.75" customHeight="1" x14ac:dyDescent="0.2">
      <c r="A226" s="1549"/>
      <c r="B226" s="1549"/>
      <c r="C226" s="1549"/>
      <c r="D226" s="1558"/>
      <c r="E226" s="1549"/>
      <c r="F226" s="1549"/>
      <c r="G226" s="1549"/>
      <c r="H226" s="1549"/>
      <c r="I226" s="1549"/>
      <c r="J226" s="1549"/>
      <c r="K226" s="1549"/>
      <c r="L226" s="1549"/>
      <c r="M226" s="1549"/>
      <c r="N226" s="1549"/>
      <c r="O226" s="1549"/>
      <c r="P226" s="1549"/>
      <c r="Q226" s="1549"/>
      <c r="R226" s="1549"/>
      <c r="S226" s="1549"/>
      <c r="T226" s="1549"/>
      <c r="U226" s="1549"/>
      <c r="V226" s="1549"/>
      <c r="W226" s="1549"/>
      <c r="X226" s="1549"/>
      <c r="Y226" s="1549"/>
      <c r="Z226" s="1549"/>
    </row>
    <row r="227" spans="1:26" ht="12.75" customHeight="1" x14ac:dyDescent="0.2">
      <c r="A227" s="1549"/>
      <c r="B227" s="1549"/>
      <c r="C227" s="1549"/>
      <c r="D227" s="1558"/>
      <c r="E227" s="1549"/>
      <c r="F227" s="1549"/>
      <c r="G227" s="1549"/>
      <c r="H227" s="1549"/>
      <c r="I227" s="1549"/>
      <c r="J227" s="1549"/>
      <c r="K227" s="1549"/>
      <c r="L227" s="1549"/>
      <c r="M227" s="1549"/>
      <c r="N227" s="1549"/>
      <c r="O227" s="1549"/>
      <c r="P227" s="1549"/>
      <c r="Q227" s="1549"/>
      <c r="R227" s="1549"/>
      <c r="S227" s="1549"/>
      <c r="T227" s="1549"/>
      <c r="U227" s="1549"/>
      <c r="V227" s="1549"/>
      <c r="W227" s="1549"/>
      <c r="X227" s="1549"/>
      <c r="Y227" s="1549"/>
      <c r="Z227" s="1549"/>
    </row>
    <row r="228" spans="1:26" ht="12.75" customHeight="1" x14ac:dyDescent="0.2">
      <c r="A228" s="1549"/>
      <c r="B228" s="1549"/>
      <c r="C228" s="1549"/>
      <c r="D228" s="1558"/>
      <c r="E228" s="1549"/>
      <c r="F228" s="1549"/>
      <c r="G228" s="1549"/>
      <c r="H228" s="1549"/>
      <c r="I228" s="1549"/>
      <c r="J228" s="1549"/>
      <c r="K228" s="1549"/>
      <c r="L228" s="1549"/>
      <c r="M228" s="1549"/>
      <c r="N228" s="1549"/>
      <c r="O228" s="1549"/>
      <c r="P228" s="1549"/>
      <c r="Q228" s="1549"/>
      <c r="R228" s="1549"/>
      <c r="S228" s="1549"/>
      <c r="T228" s="1549"/>
      <c r="U228" s="1549"/>
      <c r="V228" s="1549"/>
      <c r="W228" s="1549"/>
      <c r="X228" s="1549"/>
      <c r="Y228" s="1549"/>
      <c r="Z228" s="1549"/>
    </row>
    <row r="229" spans="1:26" ht="12.75" customHeight="1" x14ac:dyDescent="0.2">
      <c r="A229" s="1549"/>
      <c r="B229" s="1549"/>
      <c r="C229" s="1549"/>
      <c r="D229" s="1558"/>
      <c r="E229" s="1549"/>
      <c r="F229" s="1549"/>
      <c r="G229" s="1549"/>
      <c r="H229" s="1549"/>
      <c r="I229" s="1549"/>
      <c r="J229" s="1549"/>
      <c r="K229" s="1549"/>
      <c r="L229" s="1549"/>
      <c r="M229" s="1549"/>
      <c r="N229" s="1549"/>
      <c r="O229" s="1549"/>
      <c r="P229" s="1549"/>
      <c r="Q229" s="1549"/>
      <c r="R229" s="1549"/>
      <c r="S229" s="1549"/>
      <c r="T229" s="1549"/>
      <c r="U229" s="1549"/>
      <c r="V229" s="1549"/>
      <c r="W229" s="1549"/>
      <c r="X229" s="1549"/>
      <c r="Y229" s="1549"/>
      <c r="Z229" s="1549"/>
    </row>
    <row r="230" spans="1:26" ht="12.75" customHeight="1" x14ac:dyDescent="0.2">
      <c r="A230" s="1549"/>
      <c r="B230" s="1549"/>
      <c r="C230" s="1549"/>
      <c r="D230" s="1558"/>
      <c r="E230" s="1549"/>
      <c r="F230" s="1549"/>
      <c r="G230" s="1549"/>
      <c r="H230" s="1549"/>
      <c r="I230" s="1549"/>
      <c r="J230" s="1549"/>
      <c r="K230" s="1549"/>
      <c r="L230" s="1549"/>
      <c r="M230" s="1549"/>
      <c r="N230" s="1549"/>
      <c r="O230" s="1549"/>
      <c r="P230" s="1549"/>
      <c r="Q230" s="1549"/>
      <c r="R230" s="1549"/>
      <c r="S230" s="1549"/>
      <c r="T230" s="1549"/>
      <c r="U230" s="1549"/>
      <c r="V230" s="1549"/>
      <c r="W230" s="1549"/>
      <c r="X230" s="1549"/>
      <c r="Y230" s="1549"/>
      <c r="Z230" s="1549"/>
    </row>
    <row r="231" spans="1:26" ht="12.75" customHeight="1" x14ac:dyDescent="0.2">
      <c r="A231" s="1549"/>
      <c r="B231" s="1549"/>
      <c r="C231" s="1549"/>
      <c r="D231" s="1558"/>
      <c r="E231" s="1549"/>
      <c r="F231" s="1549"/>
      <c r="G231" s="1549"/>
      <c r="H231" s="1549"/>
      <c r="I231" s="1549"/>
      <c r="J231" s="1549"/>
      <c r="K231" s="1549"/>
      <c r="L231" s="1549"/>
      <c r="M231" s="1549"/>
      <c r="N231" s="1549"/>
      <c r="O231" s="1549"/>
      <c r="P231" s="1549"/>
      <c r="Q231" s="1549"/>
      <c r="R231" s="1549"/>
      <c r="S231" s="1549"/>
      <c r="T231" s="1549"/>
      <c r="U231" s="1549"/>
      <c r="V231" s="1549"/>
      <c r="W231" s="1549"/>
      <c r="X231" s="1549"/>
      <c r="Y231" s="1549"/>
      <c r="Z231" s="1549"/>
    </row>
    <row r="232" spans="1:26" ht="12.75" customHeight="1" x14ac:dyDescent="0.2">
      <c r="A232" s="1549"/>
      <c r="B232" s="1549"/>
      <c r="C232" s="1549"/>
      <c r="D232" s="1558"/>
      <c r="E232" s="1549"/>
      <c r="F232" s="1549"/>
      <c r="G232" s="1549"/>
      <c r="H232" s="1549"/>
      <c r="I232" s="1549"/>
      <c r="J232" s="1549"/>
      <c r="K232" s="1549"/>
      <c r="L232" s="1549"/>
      <c r="M232" s="1549"/>
      <c r="N232" s="1549"/>
      <c r="O232" s="1549"/>
      <c r="P232" s="1549"/>
      <c r="Q232" s="1549"/>
      <c r="R232" s="1549"/>
      <c r="S232" s="1549"/>
      <c r="T232" s="1549"/>
      <c r="U232" s="1549"/>
      <c r="V232" s="1549"/>
      <c r="W232" s="1549"/>
      <c r="X232" s="1549"/>
      <c r="Y232" s="1549"/>
      <c r="Z232" s="1549"/>
    </row>
    <row r="233" spans="1:26" ht="12.75" customHeight="1" x14ac:dyDescent="0.2">
      <c r="A233" s="1549"/>
      <c r="B233" s="1549"/>
      <c r="C233" s="1549"/>
      <c r="D233" s="1558"/>
      <c r="E233" s="1549"/>
      <c r="F233" s="1549"/>
      <c r="G233" s="1549"/>
      <c r="H233" s="1549"/>
      <c r="I233" s="1549"/>
      <c r="J233" s="1549"/>
      <c r="K233" s="1549"/>
      <c r="L233" s="1549"/>
      <c r="M233" s="1549"/>
      <c r="N233" s="1549"/>
      <c r="O233" s="1549"/>
      <c r="P233" s="1549"/>
      <c r="Q233" s="1549"/>
      <c r="R233" s="1549"/>
      <c r="S233" s="1549"/>
      <c r="T233" s="1549"/>
      <c r="U233" s="1549"/>
      <c r="V233" s="1549"/>
      <c r="W233" s="1549"/>
      <c r="X233" s="1549"/>
      <c r="Y233" s="1549"/>
      <c r="Z233" s="1549"/>
    </row>
    <row r="234" spans="1:26" ht="12.75" customHeight="1" x14ac:dyDescent="0.2">
      <c r="A234" s="1549"/>
      <c r="B234" s="1549"/>
      <c r="C234" s="1549"/>
      <c r="D234" s="1558"/>
      <c r="E234" s="1549"/>
      <c r="F234" s="1549"/>
      <c r="G234" s="1549"/>
      <c r="H234" s="1549"/>
      <c r="I234" s="1549"/>
      <c r="J234" s="1549"/>
      <c r="K234" s="1549"/>
      <c r="L234" s="1549"/>
      <c r="M234" s="1549"/>
      <c r="N234" s="1549"/>
      <c r="O234" s="1549"/>
      <c r="P234" s="1549"/>
      <c r="Q234" s="1549"/>
      <c r="R234" s="1549"/>
      <c r="S234" s="1549"/>
      <c r="T234" s="1549"/>
      <c r="U234" s="1549"/>
      <c r="V234" s="1549"/>
      <c r="W234" s="1549"/>
      <c r="X234" s="1549"/>
      <c r="Y234" s="1549"/>
      <c r="Z234" s="1549"/>
    </row>
    <row r="235" spans="1:26" ht="12.75" customHeight="1" x14ac:dyDescent="0.2">
      <c r="A235" s="1549"/>
      <c r="B235" s="1549"/>
      <c r="C235" s="1549"/>
      <c r="D235" s="1558"/>
      <c r="E235" s="1549"/>
      <c r="F235" s="1549"/>
      <c r="G235" s="1549"/>
      <c r="H235" s="1549"/>
      <c r="I235" s="1549"/>
      <c r="J235" s="1549"/>
      <c r="K235" s="1549"/>
      <c r="L235" s="1549"/>
      <c r="M235" s="1549"/>
      <c r="N235" s="1549"/>
      <c r="O235" s="1549"/>
      <c r="P235" s="1549"/>
      <c r="Q235" s="1549"/>
      <c r="R235" s="1549"/>
      <c r="S235" s="1549"/>
      <c r="T235" s="1549"/>
      <c r="U235" s="1549"/>
      <c r="V235" s="1549"/>
      <c r="W235" s="1549"/>
      <c r="X235" s="1549"/>
      <c r="Y235" s="1549"/>
      <c r="Z235" s="1549"/>
    </row>
    <row r="236" spans="1:26" ht="12.75" customHeight="1" x14ac:dyDescent="0.2">
      <c r="A236" s="1549"/>
      <c r="B236" s="1549"/>
      <c r="C236" s="1549"/>
      <c r="D236" s="1558"/>
      <c r="E236" s="1549"/>
      <c r="F236" s="1549"/>
      <c r="G236" s="1549"/>
      <c r="H236" s="1549"/>
      <c r="I236" s="1549"/>
      <c r="J236" s="1549"/>
      <c r="K236" s="1549"/>
      <c r="L236" s="1549"/>
      <c r="M236" s="1549"/>
      <c r="N236" s="1549"/>
      <c r="O236" s="1549"/>
      <c r="P236" s="1549"/>
      <c r="Q236" s="1549"/>
      <c r="R236" s="1549"/>
      <c r="S236" s="1549"/>
      <c r="T236" s="1549"/>
      <c r="U236" s="1549"/>
      <c r="V236" s="1549"/>
      <c r="W236" s="1549"/>
      <c r="X236" s="1549"/>
      <c r="Y236" s="1549"/>
      <c r="Z236" s="1549"/>
    </row>
    <row r="237" spans="1:26" ht="12.75" customHeight="1" x14ac:dyDescent="0.2">
      <c r="A237" s="1549"/>
      <c r="B237" s="1549"/>
      <c r="C237" s="1549"/>
      <c r="D237" s="1558"/>
      <c r="E237" s="1549"/>
      <c r="F237" s="1549"/>
      <c r="G237" s="1549"/>
      <c r="H237" s="1549"/>
      <c r="I237" s="1549"/>
      <c r="J237" s="1549"/>
      <c r="K237" s="1549"/>
      <c r="L237" s="1549"/>
      <c r="M237" s="1549"/>
      <c r="N237" s="1549"/>
      <c r="O237" s="1549"/>
      <c r="P237" s="1549"/>
      <c r="Q237" s="1549"/>
      <c r="R237" s="1549"/>
      <c r="S237" s="1549"/>
      <c r="T237" s="1549"/>
      <c r="U237" s="1549"/>
      <c r="V237" s="1549"/>
      <c r="W237" s="1549"/>
      <c r="X237" s="1549"/>
      <c r="Y237" s="1549"/>
      <c r="Z237" s="1549"/>
    </row>
    <row r="238" spans="1:26" ht="12.75" customHeight="1" x14ac:dyDescent="0.2">
      <c r="A238" s="1549"/>
      <c r="B238" s="1549"/>
      <c r="C238" s="1549"/>
      <c r="D238" s="1558"/>
      <c r="E238" s="1549"/>
      <c r="F238" s="1549"/>
      <c r="G238" s="1549"/>
      <c r="H238" s="1549"/>
      <c r="I238" s="1549"/>
      <c r="J238" s="1549"/>
      <c r="K238" s="1549"/>
      <c r="L238" s="1549"/>
      <c r="M238" s="1549"/>
      <c r="N238" s="1549"/>
      <c r="O238" s="1549"/>
      <c r="P238" s="1549"/>
      <c r="Q238" s="1549"/>
      <c r="R238" s="1549"/>
      <c r="S238" s="1549"/>
      <c r="T238" s="1549"/>
      <c r="U238" s="1549"/>
      <c r="V238" s="1549"/>
      <c r="W238" s="1549"/>
      <c r="X238" s="1549"/>
      <c r="Y238" s="1549"/>
      <c r="Z238" s="1549"/>
    </row>
    <row r="239" spans="1:26" ht="12.75" customHeight="1" x14ac:dyDescent="0.2">
      <c r="A239" s="1549"/>
      <c r="B239" s="1549"/>
      <c r="C239" s="1549"/>
      <c r="D239" s="1558"/>
      <c r="E239" s="1549"/>
      <c r="F239" s="1549"/>
      <c r="G239" s="1549"/>
      <c r="H239" s="1549"/>
      <c r="I239" s="1549"/>
      <c r="J239" s="1549"/>
      <c r="K239" s="1549"/>
      <c r="L239" s="1549"/>
      <c r="M239" s="1549"/>
      <c r="N239" s="1549"/>
      <c r="O239" s="1549"/>
      <c r="P239" s="1549"/>
      <c r="Q239" s="1549"/>
      <c r="R239" s="1549"/>
      <c r="S239" s="1549"/>
      <c r="T239" s="1549"/>
      <c r="U239" s="1549"/>
      <c r="V239" s="1549"/>
      <c r="W239" s="1549"/>
      <c r="X239" s="1549"/>
      <c r="Y239" s="1549"/>
      <c r="Z239" s="1549"/>
    </row>
    <row r="240" spans="1:26" ht="12.75" customHeight="1" x14ac:dyDescent="0.2">
      <c r="A240" s="1549"/>
      <c r="B240" s="1549"/>
      <c r="C240" s="1549"/>
      <c r="D240" s="1558"/>
      <c r="E240" s="1549"/>
      <c r="F240" s="1549"/>
      <c r="G240" s="1549"/>
      <c r="H240" s="1549"/>
      <c r="I240" s="1549"/>
      <c r="J240" s="1549"/>
      <c r="K240" s="1549"/>
      <c r="L240" s="1549"/>
      <c r="M240" s="1549"/>
      <c r="N240" s="1549"/>
      <c r="O240" s="1549"/>
      <c r="P240" s="1549"/>
      <c r="Q240" s="1549"/>
      <c r="R240" s="1549"/>
      <c r="S240" s="1549"/>
      <c r="T240" s="1549"/>
      <c r="U240" s="1549"/>
      <c r="V240" s="1549"/>
      <c r="W240" s="1549"/>
      <c r="X240" s="1549"/>
      <c r="Y240" s="1549"/>
      <c r="Z240" s="1549"/>
    </row>
    <row r="241" spans="1:26" ht="12.75" customHeight="1" x14ac:dyDescent="0.2">
      <c r="A241" s="1549"/>
      <c r="B241" s="1549"/>
      <c r="C241" s="1549"/>
      <c r="D241" s="1558"/>
      <c r="E241" s="1549"/>
      <c r="F241" s="1549"/>
      <c r="G241" s="1549"/>
      <c r="H241" s="1549"/>
      <c r="I241" s="1549"/>
      <c r="J241" s="1549"/>
      <c r="K241" s="1549"/>
      <c r="L241" s="1549"/>
      <c r="M241" s="1549"/>
      <c r="N241" s="1549"/>
      <c r="O241" s="1549"/>
      <c r="P241" s="1549"/>
      <c r="Q241" s="1549"/>
      <c r="R241" s="1549"/>
      <c r="S241" s="1549"/>
      <c r="T241" s="1549"/>
      <c r="U241" s="1549"/>
      <c r="V241" s="1549"/>
      <c r="W241" s="1549"/>
      <c r="X241" s="1549"/>
      <c r="Y241" s="1549"/>
      <c r="Z241" s="1549"/>
    </row>
    <row r="242" spans="1:26" ht="12.75" customHeight="1" x14ac:dyDescent="0.2">
      <c r="A242" s="1549"/>
      <c r="B242" s="1549"/>
      <c r="C242" s="1549"/>
      <c r="D242" s="1558"/>
      <c r="E242" s="1549"/>
      <c r="F242" s="1549"/>
      <c r="G242" s="1549"/>
      <c r="H242" s="1549"/>
      <c r="I242" s="1549"/>
      <c r="J242" s="1549"/>
      <c r="K242" s="1549"/>
      <c r="L242" s="1549"/>
      <c r="M242" s="1549"/>
      <c r="N242" s="1549"/>
      <c r="O242" s="1549"/>
      <c r="P242" s="1549"/>
      <c r="Q242" s="1549"/>
      <c r="R242" s="1549"/>
      <c r="S242" s="1549"/>
      <c r="T242" s="1549"/>
      <c r="U242" s="1549"/>
      <c r="V242" s="1549"/>
      <c r="W242" s="1549"/>
      <c r="X242" s="1549"/>
      <c r="Y242" s="1549"/>
      <c r="Z242" s="1549"/>
    </row>
    <row r="243" spans="1:26" ht="12.75" customHeight="1" x14ac:dyDescent="0.2">
      <c r="A243" s="1549"/>
      <c r="B243" s="1549"/>
      <c r="C243" s="1549"/>
      <c r="D243" s="1558"/>
      <c r="E243" s="1549"/>
      <c r="F243" s="1555"/>
      <c r="G243" s="1555"/>
      <c r="H243" s="1549"/>
      <c r="I243" s="1549"/>
      <c r="J243" s="1555"/>
      <c r="K243" s="1555"/>
      <c r="L243" s="1549"/>
      <c r="M243" s="1549"/>
      <c r="N243" s="1549"/>
      <c r="O243" s="1549"/>
      <c r="P243" s="1549"/>
      <c r="Q243" s="1549"/>
      <c r="R243" s="1549"/>
      <c r="S243" s="1549"/>
      <c r="T243" s="1549"/>
      <c r="U243" s="1549"/>
      <c r="V243" s="1549"/>
      <c r="W243" s="1549"/>
      <c r="X243" s="1549"/>
      <c r="Y243" s="1549"/>
      <c r="Z243" s="1549"/>
    </row>
    <row r="244" spans="1:26" ht="12.75" customHeight="1" x14ac:dyDescent="0.2">
      <c r="A244" s="1549"/>
      <c r="B244" s="1549"/>
      <c r="C244" s="1549"/>
      <c r="D244" s="1558"/>
      <c r="E244" s="1549"/>
      <c r="F244" s="1555"/>
      <c r="G244" s="1555"/>
      <c r="H244" s="1549"/>
      <c r="I244" s="1549"/>
      <c r="J244" s="1555"/>
      <c r="K244" s="1555"/>
      <c r="L244" s="1549"/>
      <c r="M244" s="1549"/>
      <c r="N244" s="1549"/>
      <c r="O244" s="1549"/>
      <c r="P244" s="1549"/>
      <c r="Q244" s="1549"/>
      <c r="R244" s="1549"/>
      <c r="S244" s="1549"/>
      <c r="T244" s="1549"/>
      <c r="U244" s="1549"/>
      <c r="V244" s="1549"/>
      <c r="W244" s="1549"/>
      <c r="X244" s="1549"/>
      <c r="Y244" s="1549"/>
      <c r="Z244" s="1549"/>
    </row>
    <row r="245" spans="1:26" ht="12.75" customHeight="1" x14ac:dyDescent="0.2">
      <c r="A245" s="1549"/>
      <c r="B245" s="1549"/>
      <c r="C245" s="1549"/>
      <c r="D245" s="1558"/>
      <c r="E245" s="1549"/>
      <c r="F245" s="1555"/>
      <c r="G245" s="1555"/>
      <c r="H245" s="1549"/>
      <c r="I245" s="1549"/>
      <c r="J245" s="1555"/>
      <c r="K245" s="1555"/>
      <c r="L245" s="1549"/>
      <c r="M245" s="1549"/>
      <c r="N245" s="1549"/>
      <c r="O245" s="1549"/>
      <c r="P245" s="1549"/>
      <c r="Q245" s="1549"/>
      <c r="R245" s="1549"/>
      <c r="S245" s="1549"/>
      <c r="T245" s="1549"/>
      <c r="U245" s="1549"/>
      <c r="V245" s="1549"/>
      <c r="W245" s="1549"/>
      <c r="X245" s="1549"/>
      <c r="Y245" s="1549"/>
      <c r="Z245" s="1549"/>
    </row>
    <row r="246" spans="1:26" ht="12.75" customHeight="1" x14ac:dyDescent="0.2">
      <c r="A246" s="1549"/>
      <c r="B246" s="1549"/>
      <c r="C246" s="1549"/>
      <c r="D246" s="1558"/>
      <c r="E246" s="1549"/>
      <c r="F246" s="1555"/>
      <c r="G246" s="1555"/>
      <c r="H246" s="1549"/>
      <c r="I246" s="1549"/>
      <c r="J246" s="1555"/>
      <c r="K246" s="1555"/>
      <c r="L246" s="1549"/>
      <c r="M246" s="1549"/>
      <c r="N246" s="1549"/>
      <c r="O246" s="1549"/>
      <c r="P246" s="1549"/>
      <c r="Q246" s="1549"/>
      <c r="R246" s="1549"/>
      <c r="S246" s="1549"/>
      <c r="T246" s="1549"/>
      <c r="U246" s="1549"/>
      <c r="V246" s="1549"/>
      <c r="W246" s="1549"/>
      <c r="X246" s="1549"/>
      <c r="Y246" s="1549"/>
      <c r="Z246" s="1549"/>
    </row>
    <row r="247" spans="1:26" ht="12.75" customHeight="1" x14ac:dyDescent="0.2">
      <c r="A247" s="1549"/>
      <c r="B247" s="1549"/>
      <c r="C247" s="1549"/>
      <c r="D247" s="1558"/>
      <c r="E247" s="1549"/>
      <c r="F247" s="1555"/>
      <c r="G247" s="1555"/>
      <c r="H247" s="1549"/>
      <c r="I247" s="1549"/>
      <c r="J247" s="1555"/>
      <c r="K247" s="1555"/>
      <c r="L247" s="1549"/>
      <c r="M247" s="1549"/>
      <c r="N247" s="1549"/>
      <c r="O247" s="1549"/>
      <c r="P247" s="1549"/>
      <c r="Q247" s="1549"/>
      <c r="R247" s="1549"/>
      <c r="S247" s="1549"/>
      <c r="T247" s="1549"/>
      <c r="U247" s="1549"/>
      <c r="V247" s="1549"/>
      <c r="W247" s="1549"/>
      <c r="X247" s="1549"/>
      <c r="Y247" s="1549"/>
      <c r="Z247" s="1549"/>
    </row>
    <row r="248" spans="1:26" ht="12.75" customHeight="1" x14ac:dyDescent="0.2">
      <c r="A248" s="1549"/>
      <c r="B248" s="1549"/>
      <c r="C248" s="1549"/>
      <c r="D248" s="1558"/>
      <c r="E248" s="1549"/>
      <c r="F248" s="1555"/>
      <c r="G248" s="1555"/>
      <c r="H248" s="1549"/>
      <c r="I248" s="1549"/>
      <c r="J248" s="1555"/>
      <c r="K248" s="1555"/>
      <c r="L248" s="1549"/>
      <c r="M248" s="1549"/>
      <c r="N248" s="1549"/>
      <c r="O248" s="1549"/>
      <c r="P248" s="1549"/>
      <c r="Q248" s="1549"/>
      <c r="R248" s="1549"/>
      <c r="S248" s="1549"/>
      <c r="T248" s="1549"/>
      <c r="U248" s="1549"/>
      <c r="V248" s="1549"/>
      <c r="W248" s="1549"/>
      <c r="X248" s="1549"/>
      <c r="Y248" s="1549"/>
      <c r="Z248" s="1549"/>
    </row>
    <row r="249" spans="1:26" ht="12.75" customHeight="1" x14ac:dyDescent="0.2">
      <c r="A249" s="1549"/>
      <c r="B249" s="1549"/>
      <c r="C249" s="1549"/>
      <c r="D249" s="1558"/>
      <c r="E249" s="1549"/>
      <c r="F249" s="1555"/>
      <c r="G249" s="1555"/>
      <c r="H249" s="1549"/>
      <c r="I249" s="1549"/>
      <c r="J249" s="1555"/>
      <c r="K249" s="1555"/>
      <c r="L249" s="1549"/>
      <c r="M249" s="1549"/>
      <c r="N249" s="1549"/>
      <c r="O249" s="1549"/>
      <c r="P249" s="1549"/>
      <c r="Q249" s="1549"/>
      <c r="R249" s="1549"/>
      <c r="S249" s="1549"/>
      <c r="T249" s="1549"/>
      <c r="U249" s="1549"/>
      <c r="V249" s="1549"/>
      <c r="W249" s="1549"/>
      <c r="X249" s="1549"/>
      <c r="Y249" s="1549"/>
      <c r="Z249" s="1549"/>
    </row>
    <row r="250" spans="1:26" ht="12.75" customHeight="1" x14ac:dyDescent="0.2">
      <c r="A250" s="1549"/>
      <c r="B250" s="1549"/>
      <c r="C250" s="1549"/>
      <c r="D250" s="1558"/>
      <c r="E250" s="1549"/>
      <c r="F250" s="1555"/>
      <c r="G250" s="1555"/>
      <c r="H250" s="1549"/>
      <c r="I250" s="1549"/>
      <c r="J250" s="1555"/>
      <c r="K250" s="1555"/>
      <c r="L250" s="1549"/>
      <c r="M250" s="1549"/>
      <c r="N250" s="1549"/>
      <c r="O250" s="1549"/>
      <c r="P250" s="1549"/>
      <c r="Q250" s="1549"/>
      <c r="R250" s="1549"/>
      <c r="S250" s="1549"/>
      <c r="T250" s="1549"/>
      <c r="U250" s="1549"/>
      <c r="V250" s="1549"/>
      <c r="W250" s="1549"/>
      <c r="X250" s="1549"/>
      <c r="Y250" s="1549"/>
      <c r="Z250" s="1549"/>
    </row>
    <row r="251" spans="1:26" ht="12.75" customHeight="1" x14ac:dyDescent="0.2">
      <c r="A251" s="1549"/>
      <c r="B251" s="1549"/>
      <c r="C251" s="1549"/>
      <c r="D251" s="1558"/>
      <c r="E251" s="1549"/>
      <c r="F251" s="1555"/>
      <c r="G251" s="1555"/>
      <c r="H251" s="1549"/>
      <c r="I251" s="1549"/>
      <c r="J251" s="1555"/>
      <c r="K251" s="1555"/>
      <c r="L251" s="1549"/>
      <c r="M251" s="1549"/>
      <c r="N251" s="1549"/>
      <c r="O251" s="1549"/>
      <c r="P251" s="1549"/>
      <c r="Q251" s="1549"/>
      <c r="R251" s="1549"/>
      <c r="S251" s="1549"/>
      <c r="T251" s="1549"/>
      <c r="U251" s="1549"/>
      <c r="V251" s="1549"/>
      <c r="W251" s="1549"/>
      <c r="X251" s="1549"/>
      <c r="Y251" s="1549"/>
      <c r="Z251" s="1549"/>
    </row>
    <row r="252" spans="1:26" ht="12.75" customHeight="1" x14ac:dyDescent="0.2">
      <c r="A252" s="1549"/>
      <c r="B252" s="1549"/>
      <c r="C252" s="1549"/>
      <c r="D252" s="1558"/>
      <c r="E252" s="1549"/>
      <c r="F252" s="1555"/>
      <c r="G252" s="1555"/>
      <c r="H252" s="1549"/>
      <c r="I252" s="1549"/>
      <c r="J252" s="1555"/>
      <c r="K252" s="1555"/>
      <c r="L252" s="1549"/>
      <c r="M252" s="1549"/>
      <c r="N252" s="1549"/>
      <c r="O252" s="1549"/>
      <c r="P252" s="1549"/>
      <c r="Q252" s="1549"/>
      <c r="R252" s="1549"/>
      <c r="S252" s="1549"/>
      <c r="T252" s="1549"/>
      <c r="U252" s="1549"/>
      <c r="V252" s="1549"/>
      <c r="W252" s="1549"/>
      <c r="X252" s="1549"/>
      <c r="Y252" s="1549"/>
      <c r="Z252" s="1549"/>
    </row>
    <row r="253" spans="1:26" ht="12.75" customHeight="1" x14ac:dyDescent="0.2">
      <c r="A253" s="1549"/>
      <c r="B253" s="1549"/>
      <c r="C253" s="1549"/>
      <c r="D253" s="1558"/>
      <c r="E253" s="1549"/>
      <c r="F253" s="1555"/>
      <c r="G253" s="1555"/>
      <c r="H253" s="1549"/>
      <c r="I253" s="1549"/>
      <c r="J253" s="1555"/>
      <c r="K253" s="1555"/>
      <c r="L253" s="1549"/>
      <c r="M253" s="1549"/>
      <c r="N253" s="1549"/>
      <c r="O253" s="1549"/>
      <c r="P253" s="1549"/>
      <c r="Q253" s="1549"/>
      <c r="R253" s="1549"/>
      <c r="S253" s="1549"/>
      <c r="T253" s="1549"/>
      <c r="U253" s="1549"/>
      <c r="V253" s="1549"/>
      <c r="W253" s="1549"/>
      <c r="X253" s="1549"/>
      <c r="Y253" s="1549"/>
      <c r="Z253" s="1549"/>
    </row>
    <row r="254" spans="1:26" ht="12.75" customHeight="1" x14ac:dyDescent="0.2">
      <c r="A254" s="1549"/>
      <c r="B254" s="1549"/>
      <c r="C254" s="1549"/>
      <c r="D254" s="1558"/>
      <c r="E254" s="1549"/>
      <c r="F254" s="1555"/>
      <c r="G254" s="1555"/>
      <c r="H254" s="1549"/>
      <c r="I254" s="1549"/>
      <c r="J254" s="1555"/>
      <c r="K254" s="1555"/>
      <c r="L254" s="1549"/>
      <c r="M254" s="1549"/>
      <c r="N254" s="1549"/>
      <c r="O254" s="1549"/>
      <c r="P254" s="1549"/>
      <c r="Q254" s="1549"/>
      <c r="R254" s="1549"/>
      <c r="S254" s="1549"/>
      <c r="T254" s="1549"/>
      <c r="U254" s="1549"/>
      <c r="V254" s="1549"/>
      <c r="W254" s="1549"/>
      <c r="X254" s="1549"/>
      <c r="Y254" s="1549"/>
      <c r="Z254" s="1549"/>
    </row>
    <row r="255" spans="1:26" ht="12.75" customHeight="1" x14ac:dyDescent="0.2">
      <c r="A255" s="1549"/>
      <c r="B255" s="1549"/>
      <c r="C255" s="1549"/>
      <c r="D255" s="1558"/>
      <c r="E255" s="1549"/>
      <c r="F255" s="1555"/>
      <c r="G255" s="1555"/>
      <c r="H255" s="1549"/>
      <c r="I255" s="1549"/>
      <c r="J255" s="1555"/>
      <c r="K255" s="1555"/>
      <c r="L255" s="1549"/>
      <c r="M255" s="1549"/>
      <c r="N255" s="1549"/>
      <c r="O255" s="1549"/>
      <c r="P255" s="1549"/>
      <c r="Q255" s="1549"/>
      <c r="R255" s="1549"/>
      <c r="S255" s="1549"/>
      <c r="T255" s="1549"/>
      <c r="U255" s="1549"/>
      <c r="V255" s="1549"/>
      <c r="W255" s="1549"/>
      <c r="X255" s="1549"/>
      <c r="Y255" s="1549"/>
      <c r="Z255" s="1549"/>
    </row>
    <row r="256" spans="1:26" ht="12.75" customHeight="1" x14ac:dyDescent="0.2">
      <c r="A256" s="1549"/>
      <c r="B256" s="1549"/>
      <c r="C256" s="1549"/>
      <c r="D256" s="1558"/>
      <c r="E256" s="1549"/>
      <c r="F256" s="1555"/>
      <c r="G256" s="1555"/>
      <c r="H256" s="1549"/>
      <c r="I256" s="1549"/>
      <c r="J256" s="1555"/>
      <c r="K256" s="1555"/>
      <c r="L256" s="1549"/>
      <c r="M256" s="1549"/>
      <c r="N256" s="1549"/>
      <c r="O256" s="1549"/>
      <c r="P256" s="1549"/>
      <c r="Q256" s="1549"/>
      <c r="R256" s="1549"/>
      <c r="S256" s="1549"/>
      <c r="T256" s="1549"/>
      <c r="U256" s="1549"/>
      <c r="V256" s="1549"/>
      <c r="W256" s="1549"/>
      <c r="X256" s="1549"/>
      <c r="Y256" s="1549"/>
      <c r="Z256" s="1549"/>
    </row>
    <row r="257" spans="1:26" ht="12.75" customHeight="1" x14ac:dyDescent="0.2">
      <c r="A257" s="1549"/>
      <c r="B257" s="1549"/>
      <c r="C257" s="1549"/>
      <c r="D257" s="1558"/>
      <c r="E257" s="1549"/>
      <c r="F257" s="1555"/>
      <c r="G257" s="1555"/>
      <c r="H257" s="1549"/>
      <c r="I257" s="1549"/>
      <c r="J257" s="1555"/>
      <c r="K257" s="1555"/>
      <c r="L257" s="1549"/>
      <c r="M257" s="1549"/>
      <c r="N257" s="1549"/>
      <c r="O257" s="1549"/>
      <c r="P257" s="1549"/>
      <c r="Q257" s="1549"/>
      <c r="R257" s="1549"/>
      <c r="S257" s="1549"/>
      <c r="T257" s="1549"/>
      <c r="U257" s="1549"/>
      <c r="V257" s="1549"/>
      <c r="W257" s="1549"/>
      <c r="X257" s="1549"/>
      <c r="Y257" s="1549"/>
      <c r="Z257" s="1549"/>
    </row>
    <row r="258" spans="1:26" ht="12.75" customHeight="1" x14ac:dyDescent="0.2">
      <c r="A258" s="1549"/>
      <c r="B258" s="1549"/>
      <c r="C258" s="1549"/>
      <c r="D258" s="1558"/>
      <c r="E258" s="1549"/>
      <c r="F258" s="1549"/>
      <c r="G258" s="1549"/>
      <c r="H258" s="1549"/>
      <c r="I258" s="1549"/>
      <c r="J258" s="1549"/>
      <c r="K258" s="1549"/>
      <c r="L258" s="1549"/>
      <c r="M258" s="1549"/>
      <c r="N258" s="1549"/>
      <c r="O258" s="1549"/>
      <c r="P258" s="1549"/>
      <c r="Q258" s="1549"/>
      <c r="R258" s="1549"/>
      <c r="S258" s="1549"/>
      <c r="T258" s="1549"/>
      <c r="U258" s="1549"/>
      <c r="V258" s="1549"/>
      <c r="W258" s="1549"/>
      <c r="X258" s="1549"/>
      <c r="Y258" s="1549"/>
      <c r="Z258" s="1549"/>
    </row>
    <row r="259" spans="1:26" ht="12.75" customHeight="1" x14ac:dyDescent="0.2">
      <c r="A259" s="1549"/>
      <c r="B259" s="1549"/>
      <c r="C259" s="1549"/>
      <c r="D259" s="1558"/>
      <c r="E259" s="1549"/>
      <c r="F259" s="1549"/>
      <c r="G259" s="1549"/>
      <c r="H259" s="1549"/>
      <c r="I259" s="1549"/>
      <c r="J259" s="1549"/>
      <c r="K259" s="1549"/>
      <c r="L259" s="1549"/>
      <c r="M259" s="1549"/>
      <c r="N259" s="1549"/>
      <c r="O259" s="1549"/>
      <c r="P259" s="1549"/>
      <c r="Q259" s="1549"/>
      <c r="R259" s="1549"/>
      <c r="S259" s="1549"/>
      <c r="T259" s="1549"/>
      <c r="U259" s="1549"/>
      <c r="V259" s="1549"/>
      <c r="W259" s="1549"/>
      <c r="X259" s="1549"/>
      <c r="Y259" s="1549"/>
      <c r="Z259" s="1549"/>
    </row>
    <row r="260" spans="1:26" ht="12.75" customHeight="1" x14ac:dyDescent="0.2">
      <c r="A260" s="1549"/>
      <c r="B260" s="1549"/>
      <c r="C260" s="1549"/>
      <c r="D260" s="1558"/>
      <c r="E260" s="1549"/>
      <c r="F260" s="1549"/>
      <c r="G260" s="1549"/>
      <c r="H260" s="1549"/>
      <c r="I260" s="1549"/>
      <c r="J260" s="1549"/>
      <c r="K260" s="1549"/>
      <c r="L260" s="1549"/>
      <c r="M260" s="1549"/>
      <c r="N260" s="1549"/>
      <c r="O260" s="1549"/>
      <c r="P260" s="1549"/>
      <c r="Q260" s="1549"/>
      <c r="R260" s="1549"/>
      <c r="S260" s="1549"/>
      <c r="T260" s="1549"/>
      <c r="U260" s="1549"/>
      <c r="V260" s="1549"/>
      <c r="W260" s="1549"/>
      <c r="X260" s="1549"/>
      <c r="Y260" s="1549"/>
      <c r="Z260" s="1549"/>
    </row>
    <row r="261" spans="1:26" ht="12.75" customHeight="1" x14ac:dyDescent="0.2">
      <c r="A261" s="1549"/>
      <c r="B261" s="1549"/>
      <c r="C261" s="1549"/>
      <c r="D261" s="1558"/>
      <c r="E261" s="1549"/>
      <c r="F261" s="1549"/>
      <c r="G261" s="1549"/>
      <c r="H261" s="1549"/>
      <c r="I261" s="1549"/>
      <c r="J261" s="1549"/>
      <c r="K261" s="1549"/>
      <c r="L261" s="1549"/>
      <c r="M261" s="1549"/>
      <c r="N261" s="1549"/>
      <c r="O261" s="1549"/>
      <c r="P261" s="1549"/>
      <c r="Q261" s="1549"/>
      <c r="R261" s="1549"/>
      <c r="S261" s="1549"/>
      <c r="T261" s="1549"/>
      <c r="U261" s="1549"/>
      <c r="V261" s="1549"/>
      <c r="W261" s="1549"/>
      <c r="X261" s="1549"/>
      <c r="Y261" s="1549"/>
      <c r="Z261" s="1549"/>
    </row>
    <row r="262" spans="1:26" ht="12.75" customHeight="1" x14ac:dyDescent="0.2">
      <c r="A262" s="1549"/>
      <c r="B262" s="1549"/>
      <c r="C262" s="1549"/>
      <c r="D262" s="1558"/>
      <c r="E262" s="1549"/>
      <c r="F262" s="1549"/>
      <c r="G262" s="1549"/>
      <c r="H262" s="1549"/>
      <c r="I262" s="1549"/>
      <c r="J262" s="1549"/>
      <c r="K262" s="1549"/>
      <c r="L262" s="1549"/>
      <c r="M262" s="1549"/>
      <c r="N262" s="1549"/>
      <c r="O262" s="1549"/>
      <c r="P262" s="1549"/>
      <c r="Q262" s="1549"/>
      <c r="R262" s="1549"/>
      <c r="S262" s="1549"/>
      <c r="T262" s="1549"/>
      <c r="U262" s="1549"/>
      <c r="V262" s="1549"/>
      <c r="W262" s="1549"/>
      <c r="X262" s="1549"/>
      <c r="Y262" s="1549"/>
      <c r="Z262" s="1549"/>
    </row>
    <row r="263" spans="1:26" ht="12.75" customHeight="1" x14ac:dyDescent="0.2">
      <c r="A263" s="1549"/>
      <c r="B263" s="1549"/>
      <c r="C263" s="1549"/>
      <c r="D263" s="1558"/>
      <c r="E263" s="1549"/>
      <c r="F263" s="1549"/>
      <c r="G263" s="1549"/>
      <c r="H263" s="1549"/>
      <c r="I263" s="1549"/>
      <c r="J263" s="1549"/>
      <c r="K263" s="1549"/>
      <c r="L263" s="1549"/>
      <c r="M263" s="1549"/>
      <c r="N263" s="1549"/>
      <c r="O263" s="1549"/>
      <c r="P263" s="1549"/>
      <c r="Q263" s="1549"/>
      <c r="R263" s="1549"/>
      <c r="S263" s="1549"/>
      <c r="T263" s="1549"/>
      <c r="U263" s="1549"/>
      <c r="V263" s="1549"/>
      <c r="W263" s="1549"/>
      <c r="X263" s="1549"/>
      <c r="Y263" s="1549"/>
      <c r="Z263" s="1549"/>
    </row>
    <row r="264" spans="1:26" ht="12.75" customHeight="1" x14ac:dyDescent="0.2">
      <c r="A264" s="1549"/>
      <c r="B264" s="1549"/>
      <c r="C264" s="1549"/>
      <c r="D264" s="1558"/>
      <c r="E264" s="1549"/>
      <c r="F264" s="1549"/>
      <c r="G264" s="1549"/>
      <c r="H264" s="1549"/>
      <c r="I264" s="1549"/>
      <c r="J264" s="1549"/>
      <c r="K264" s="1549"/>
      <c r="L264" s="1549"/>
      <c r="M264" s="1549"/>
      <c r="N264" s="1549"/>
      <c r="O264" s="1549"/>
      <c r="P264" s="1549"/>
      <c r="Q264" s="1549"/>
      <c r="R264" s="1549"/>
      <c r="S264" s="1549"/>
      <c r="T264" s="1549"/>
      <c r="U264" s="1549"/>
      <c r="V264" s="1549"/>
      <c r="W264" s="1549"/>
      <c r="X264" s="1549"/>
      <c r="Y264" s="1549"/>
      <c r="Z264" s="1549"/>
    </row>
    <row r="265" spans="1:26" ht="12.75" customHeight="1" x14ac:dyDescent="0.2">
      <c r="A265" s="1549"/>
      <c r="B265" s="1549"/>
      <c r="C265" s="1549"/>
      <c r="D265" s="1558"/>
      <c r="E265" s="1549"/>
      <c r="F265" s="1549"/>
      <c r="G265" s="1549"/>
      <c r="H265" s="1549"/>
      <c r="I265" s="1549"/>
      <c r="J265" s="1549"/>
      <c r="K265" s="1549"/>
      <c r="L265" s="1549"/>
      <c r="M265" s="1549"/>
      <c r="N265" s="1549"/>
      <c r="O265" s="1549"/>
      <c r="P265" s="1549"/>
      <c r="Q265" s="1549"/>
      <c r="R265" s="1549"/>
      <c r="S265" s="1549"/>
      <c r="T265" s="1549"/>
      <c r="U265" s="1549"/>
      <c r="V265" s="1549"/>
      <c r="W265" s="1549"/>
      <c r="X265" s="1549"/>
      <c r="Y265" s="1549"/>
      <c r="Z265" s="1549"/>
    </row>
    <row r="266" spans="1:26" ht="12.75" customHeight="1" x14ac:dyDescent="0.2">
      <c r="A266" s="1549"/>
      <c r="B266" s="1549"/>
      <c r="C266" s="1549"/>
      <c r="D266" s="1558"/>
      <c r="E266" s="1549"/>
      <c r="F266" s="1549"/>
      <c r="G266" s="1549"/>
      <c r="H266" s="1549"/>
      <c r="I266" s="1549"/>
      <c r="J266" s="1549"/>
      <c r="K266" s="1549"/>
      <c r="L266" s="1549"/>
      <c r="M266" s="1549"/>
      <c r="N266" s="1549"/>
      <c r="O266" s="1549"/>
      <c r="P266" s="1549"/>
      <c r="Q266" s="1549"/>
      <c r="R266" s="1549"/>
      <c r="S266" s="1549"/>
      <c r="T266" s="1549"/>
      <c r="U266" s="1549"/>
      <c r="V266" s="1549"/>
      <c r="W266" s="1549"/>
      <c r="X266" s="1549"/>
      <c r="Y266" s="1549"/>
      <c r="Z266" s="1549"/>
    </row>
    <row r="267" spans="1:26" ht="12.75" customHeight="1" x14ac:dyDescent="0.2">
      <c r="A267" s="1549"/>
      <c r="B267" s="1549"/>
      <c r="C267" s="1549"/>
      <c r="D267" s="1558"/>
      <c r="E267" s="1549"/>
      <c r="F267" s="1549"/>
      <c r="G267" s="1549"/>
      <c r="H267" s="1549"/>
      <c r="I267" s="1549"/>
      <c r="J267" s="1549"/>
      <c r="K267" s="1549"/>
      <c r="L267" s="1549"/>
      <c r="M267" s="1549"/>
      <c r="N267" s="1549"/>
      <c r="O267" s="1549"/>
      <c r="P267" s="1549"/>
      <c r="Q267" s="1549"/>
      <c r="R267" s="1549"/>
      <c r="S267" s="1549"/>
      <c r="T267" s="1549"/>
      <c r="U267" s="1549"/>
      <c r="V267" s="1549"/>
      <c r="W267" s="1549"/>
      <c r="X267" s="1549"/>
      <c r="Y267" s="1549"/>
      <c r="Z267" s="1549"/>
    </row>
    <row r="268" spans="1:26" ht="12.75" customHeight="1" x14ac:dyDescent="0.2">
      <c r="A268" s="1549"/>
      <c r="B268" s="1549"/>
      <c r="C268" s="1549"/>
      <c r="D268" s="1558"/>
      <c r="E268" s="1549"/>
      <c r="F268" s="1549"/>
      <c r="G268" s="1549"/>
      <c r="H268" s="1549"/>
      <c r="I268" s="1549"/>
      <c r="J268" s="1549"/>
      <c r="K268" s="1549"/>
      <c r="L268" s="1549"/>
      <c r="M268" s="1549"/>
      <c r="N268" s="1549"/>
      <c r="O268" s="1549"/>
      <c r="P268" s="1549"/>
      <c r="Q268" s="1549"/>
      <c r="R268" s="1549"/>
      <c r="S268" s="1549"/>
      <c r="T268" s="1549"/>
      <c r="U268" s="1549"/>
      <c r="V268" s="1549"/>
      <c r="W268" s="1549"/>
      <c r="X268" s="1549"/>
      <c r="Y268" s="1549"/>
      <c r="Z268" s="1549"/>
    </row>
    <row r="269" spans="1:26" ht="12.75" customHeight="1" x14ac:dyDescent="0.2">
      <c r="A269" s="1549"/>
      <c r="B269" s="1549"/>
      <c r="C269" s="1549"/>
      <c r="D269" s="1558"/>
      <c r="E269" s="1549"/>
      <c r="F269" s="1549"/>
      <c r="G269" s="1549"/>
      <c r="H269" s="1549"/>
      <c r="I269" s="1549"/>
      <c r="J269" s="1549"/>
      <c r="K269" s="1549"/>
      <c r="L269" s="1549"/>
      <c r="M269" s="1549"/>
      <c r="N269" s="1549"/>
      <c r="O269" s="1549"/>
      <c r="P269" s="1549"/>
      <c r="Q269" s="1549"/>
      <c r="R269" s="1549"/>
      <c r="S269" s="1549"/>
      <c r="T269" s="1549"/>
      <c r="U269" s="1549"/>
      <c r="V269" s="1549"/>
      <c r="W269" s="1549"/>
      <c r="X269" s="1549"/>
      <c r="Y269" s="1549"/>
      <c r="Z269" s="1549"/>
    </row>
    <row r="270" spans="1:26" ht="12.75" customHeight="1" x14ac:dyDescent="0.2">
      <c r="A270" s="1549"/>
      <c r="B270" s="1549"/>
      <c r="C270" s="1549"/>
      <c r="D270" s="1558"/>
      <c r="E270" s="1549"/>
      <c r="F270" s="1549"/>
      <c r="G270" s="1549"/>
      <c r="H270" s="1549"/>
      <c r="I270" s="1549"/>
      <c r="J270" s="1549"/>
      <c r="K270" s="1549"/>
      <c r="L270" s="1549"/>
      <c r="M270" s="1549"/>
      <c r="N270" s="1549"/>
      <c r="O270" s="1549"/>
      <c r="P270" s="1549"/>
      <c r="Q270" s="1549"/>
      <c r="R270" s="1549"/>
      <c r="S270" s="1549"/>
      <c r="T270" s="1549"/>
      <c r="U270" s="1549"/>
      <c r="V270" s="1549"/>
      <c r="W270" s="1549"/>
      <c r="X270" s="1549"/>
      <c r="Y270" s="1549"/>
      <c r="Z270" s="1549"/>
    </row>
    <row r="271" spans="1:26" ht="12.75" customHeight="1" x14ac:dyDescent="0.2">
      <c r="A271" s="1549"/>
      <c r="B271" s="1549"/>
      <c r="C271" s="1549"/>
      <c r="D271" s="1558"/>
      <c r="E271" s="1549"/>
      <c r="F271" s="1549"/>
      <c r="G271" s="1549"/>
      <c r="H271" s="1549"/>
      <c r="I271" s="1549"/>
      <c r="J271" s="1549"/>
      <c r="K271" s="1549"/>
      <c r="L271" s="1549"/>
      <c r="M271" s="1549"/>
      <c r="N271" s="1549"/>
      <c r="O271" s="1549"/>
      <c r="P271" s="1549"/>
      <c r="Q271" s="1549"/>
      <c r="R271" s="1549"/>
      <c r="S271" s="1549"/>
      <c r="T271" s="1549"/>
      <c r="U271" s="1549"/>
      <c r="V271" s="1549"/>
      <c r="W271" s="1549"/>
      <c r="X271" s="1549"/>
      <c r="Y271" s="1549"/>
      <c r="Z271" s="1549"/>
    </row>
    <row r="272" spans="1:26" ht="12.75" customHeight="1" x14ac:dyDescent="0.2">
      <c r="A272" s="1549"/>
      <c r="B272" s="1549"/>
      <c r="C272" s="1549"/>
      <c r="D272" s="1558"/>
      <c r="E272" s="1549"/>
      <c r="F272" s="1549"/>
      <c r="G272" s="1549"/>
      <c r="H272" s="1549"/>
      <c r="I272" s="1549"/>
      <c r="J272" s="1549"/>
      <c r="K272" s="1549"/>
      <c r="L272" s="1549"/>
      <c r="M272" s="1549"/>
      <c r="N272" s="1549"/>
      <c r="O272" s="1549"/>
      <c r="P272" s="1549"/>
      <c r="Q272" s="1549"/>
      <c r="R272" s="1549"/>
      <c r="S272" s="1549"/>
      <c r="T272" s="1549"/>
      <c r="U272" s="1549"/>
      <c r="V272" s="1549"/>
      <c r="W272" s="1549"/>
      <c r="X272" s="1549"/>
      <c r="Y272" s="1549"/>
      <c r="Z272" s="1549"/>
    </row>
    <row r="273" spans="1:26" ht="12.75" customHeight="1" x14ac:dyDescent="0.2">
      <c r="A273" s="1549"/>
      <c r="B273" s="1549"/>
      <c r="C273" s="1549"/>
      <c r="D273" s="1558"/>
      <c r="E273" s="1549"/>
      <c r="F273" s="1549"/>
      <c r="G273" s="1549"/>
      <c r="H273" s="1549"/>
      <c r="I273" s="1549"/>
      <c r="J273" s="1549"/>
      <c r="K273" s="1549"/>
      <c r="L273" s="1549"/>
      <c r="M273" s="1549"/>
      <c r="N273" s="1549"/>
      <c r="O273" s="1549"/>
      <c r="P273" s="1549"/>
      <c r="Q273" s="1549"/>
      <c r="R273" s="1549"/>
      <c r="S273" s="1549"/>
      <c r="T273" s="1549"/>
      <c r="U273" s="1549"/>
      <c r="V273" s="1549"/>
      <c r="W273" s="1549"/>
      <c r="X273" s="1549"/>
      <c r="Y273" s="1549"/>
      <c r="Z273" s="1549"/>
    </row>
    <row r="274" spans="1:26" ht="12.75" customHeight="1" x14ac:dyDescent="0.2">
      <c r="A274" s="1549"/>
      <c r="B274" s="1549"/>
      <c r="C274" s="1549"/>
      <c r="D274" s="1558"/>
      <c r="E274" s="1549"/>
      <c r="F274" s="1549"/>
      <c r="G274" s="1549"/>
      <c r="H274" s="1549"/>
      <c r="I274" s="1549"/>
      <c r="J274" s="1549"/>
      <c r="K274" s="1549"/>
      <c r="L274" s="1549"/>
      <c r="M274" s="1549"/>
      <c r="N274" s="1549"/>
      <c r="O274" s="1549"/>
      <c r="P274" s="1549"/>
      <c r="Q274" s="1549"/>
      <c r="R274" s="1549"/>
      <c r="S274" s="1549"/>
      <c r="T274" s="1549"/>
      <c r="U274" s="1549"/>
      <c r="V274" s="1549"/>
      <c r="W274" s="1549"/>
      <c r="X274" s="1549"/>
      <c r="Y274" s="1549"/>
      <c r="Z274" s="1549"/>
    </row>
    <row r="275" spans="1:26" ht="12.75" customHeight="1" x14ac:dyDescent="0.2">
      <c r="A275" s="1549"/>
      <c r="B275" s="1549"/>
      <c r="C275" s="1549"/>
      <c r="D275" s="1558"/>
      <c r="E275" s="1549"/>
      <c r="F275" s="1549"/>
      <c r="G275" s="1549"/>
      <c r="H275" s="1549"/>
      <c r="I275" s="1549"/>
      <c r="J275" s="1549"/>
      <c r="K275" s="1549"/>
      <c r="L275" s="1549"/>
      <c r="M275" s="1549"/>
      <c r="N275" s="1549"/>
      <c r="O275" s="1549"/>
      <c r="P275" s="1549"/>
      <c r="Q275" s="1549"/>
      <c r="R275" s="1549"/>
      <c r="S275" s="1549"/>
      <c r="T275" s="1549"/>
      <c r="U275" s="1549"/>
      <c r="V275" s="1549"/>
      <c r="W275" s="1549"/>
      <c r="X275" s="1549"/>
      <c r="Y275" s="1549"/>
      <c r="Z275" s="1549"/>
    </row>
    <row r="276" spans="1:26" ht="12.75" customHeight="1" x14ac:dyDescent="0.2">
      <c r="A276" s="1549"/>
      <c r="B276" s="1549"/>
      <c r="C276" s="1549"/>
      <c r="D276" s="1558"/>
      <c r="E276" s="1549"/>
      <c r="F276" s="1549"/>
      <c r="G276" s="1549"/>
      <c r="H276" s="1549"/>
      <c r="I276" s="1549"/>
      <c r="J276" s="1549"/>
      <c r="K276" s="1549"/>
      <c r="L276" s="1549"/>
      <c r="M276" s="1549"/>
      <c r="N276" s="1549"/>
      <c r="O276" s="1549"/>
      <c r="P276" s="1549"/>
      <c r="Q276" s="1549"/>
      <c r="R276" s="1549"/>
      <c r="S276" s="1549"/>
      <c r="T276" s="1549"/>
      <c r="U276" s="1549"/>
      <c r="V276" s="1549"/>
      <c r="W276" s="1549"/>
      <c r="X276" s="1549"/>
      <c r="Y276" s="1549"/>
      <c r="Z276" s="1549"/>
    </row>
    <row r="277" spans="1:26" ht="12.75" customHeight="1" x14ac:dyDescent="0.2">
      <c r="A277" s="1549"/>
      <c r="B277" s="1549"/>
      <c r="C277" s="1549"/>
      <c r="D277" s="1558"/>
      <c r="E277" s="1549"/>
      <c r="F277" s="1555"/>
      <c r="G277" s="1555"/>
      <c r="H277" s="1549"/>
      <c r="I277" s="1549"/>
      <c r="J277" s="1555"/>
      <c r="K277" s="1555"/>
      <c r="L277" s="1549"/>
      <c r="M277" s="1549"/>
      <c r="N277" s="1549"/>
      <c r="O277" s="1549"/>
      <c r="P277" s="1549"/>
      <c r="Q277" s="1549"/>
      <c r="R277" s="1549"/>
      <c r="S277" s="1549"/>
      <c r="T277" s="1549"/>
      <c r="U277" s="1549"/>
      <c r="V277" s="1549"/>
      <c r="W277" s="1549"/>
      <c r="X277" s="1549"/>
      <c r="Y277" s="1549"/>
      <c r="Z277" s="1549"/>
    </row>
    <row r="278" spans="1:26" ht="12.75" customHeight="1" x14ac:dyDescent="0.2">
      <c r="A278" s="1549"/>
      <c r="B278" s="1549"/>
      <c r="C278" s="1549"/>
      <c r="D278" s="1558"/>
      <c r="E278" s="1549"/>
      <c r="F278" s="1555"/>
      <c r="G278" s="1555"/>
      <c r="H278" s="1549"/>
      <c r="I278" s="1549"/>
      <c r="J278" s="1555"/>
      <c r="K278" s="1555"/>
      <c r="L278" s="1549"/>
      <c r="M278" s="1549"/>
      <c r="N278" s="1549"/>
      <c r="O278" s="1549"/>
      <c r="P278" s="1549"/>
      <c r="Q278" s="1549"/>
      <c r="R278" s="1549"/>
      <c r="S278" s="1549"/>
      <c r="T278" s="1549"/>
      <c r="U278" s="1549"/>
      <c r="V278" s="1549"/>
      <c r="W278" s="1549"/>
      <c r="X278" s="1549"/>
      <c r="Y278" s="1549"/>
      <c r="Z278" s="1549"/>
    </row>
    <row r="279" spans="1:26" ht="12.75" customHeight="1" x14ac:dyDescent="0.2">
      <c r="A279" s="1549"/>
      <c r="B279" s="1549"/>
      <c r="C279" s="1549"/>
      <c r="D279" s="1558"/>
      <c r="E279" s="1549"/>
      <c r="F279" s="1555"/>
      <c r="G279" s="1555"/>
      <c r="H279" s="1549"/>
      <c r="I279" s="1549"/>
      <c r="J279" s="1555"/>
      <c r="K279" s="1555"/>
      <c r="L279" s="1549"/>
      <c r="M279" s="1549"/>
      <c r="N279" s="1549"/>
      <c r="O279" s="1549"/>
      <c r="P279" s="1549"/>
      <c r="Q279" s="1549"/>
      <c r="R279" s="1549"/>
      <c r="S279" s="1549"/>
      <c r="T279" s="1549"/>
      <c r="U279" s="1549"/>
      <c r="V279" s="1549"/>
      <c r="W279" s="1549"/>
      <c r="X279" s="1549"/>
      <c r="Y279" s="1549"/>
      <c r="Z279" s="1549"/>
    </row>
    <row r="280" spans="1:26" ht="12.75" customHeight="1" x14ac:dyDescent="0.2">
      <c r="A280" s="1549"/>
      <c r="B280" s="1549"/>
      <c r="C280" s="1549"/>
      <c r="D280" s="1558"/>
      <c r="E280" s="1549"/>
      <c r="F280" s="1555"/>
      <c r="G280" s="1555"/>
      <c r="H280" s="1549"/>
      <c r="I280" s="1549"/>
      <c r="J280" s="1555"/>
      <c r="K280" s="1555"/>
      <c r="L280" s="1549"/>
      <c r="M280" s="1549"/>
      <c r="N280" s="1549"/>
      <c r="O280" s="1549"/>
      <c r="P280" s="1549"/>
      <c r="Q280" s="1549"/>
      <c r="R280" s="1549"/>
      <c r="S280" s="1549"/>
      <c r="T280" s="1549"/>
      <c r="U280" s="1549"/>
      <c r="V280" s="1549"/>
      <c r="W280" s="1549"/>
      <c r="X280" s="1549"/>
      <c r="Y280" s="1549"/>
      <c r="Z280" s="1549"/>
    </row>
    <row r="281" spans="1:26" ht="12.75" customHeight="1" x14ac:dyDescent="0.2">
      <c r="A281" s="1549"/>
      <c r="B281" s="1549"/>
      <c r="C281" s="1549"/>
      <c r="D281" s="1558"/>
      <c r="E281" s="1549"/>
      <c r="F281" s="1555"/>
      <c r="G281" s="1555"/>
      <c r="H281" s="1549"/>
      <c r="I281" s="1549"/>
      <c r="J281" s="1555"/>
      <c r="K281" s="1555"/>
      <c r="L281" s="1549"/>
      <c r="M281" s="1549"/>
      <c r="N281" s="1549"/>
      <c r="O281" s="1549"/>
      <c r="P281" s="1549"/>
      <c r="Q281" s="1549"/>
      <c r="R281" s="1549"/>
      <c r="S281" s="1549"/>
      <c r="T281" s="1549"/>
      <c r="U281" s="1549"/>
      <c r="V281" s="1549"/>
      <c r="W281" s="1549"/>
      <c r="X281" s="1549"/>
      <c r="Y281" s="1549"/>
      <c r="Z281" s="1549"/>
    </row>
    <row r="282" spans="1:26" ht="12.75" customHeight="1" x14ac:dyDescent="0.2">
      <c r="A282" s="1549"/>
      <c r="B282" s="1549"/>
      <c r="C282" s="1549"/>
      <c r="D282" s="1558"/>
      <c r="E282" s="1549"/>
      <c r="F282" s="1555"/>
      <c r="G282" s="1555"/>
      <c r="H282" s="1549"/>
      <c r="I282" s="1549"/>
      <c r="J282" s="1555"/>
      <c r="K282" s="1555"/>
      <c r="L282" s="1549"/>
      <c r="M282" s="1549"/>
      <c r="N282" s="1549"/>
      <c r="O282" s="1549"/>
      <c r="P282" s="1549"/>
      <c r="Q282" s="1549"/>
      <c r="R282" s="1549"/>
      <c r="S282" s="1549"/>
      <c r="T282" s="1549"/>
      <c r="U282" s="1549"/>
      <c r="V282" s="1549"/>
      <c r="W282" s="1549"/>
      <c r="X282" s="1549"/>
      <c r="Y282" s="1549"/>
      <c r="Z282" s="1549"/>
    </row>
    <row r="283" spans="1:26" ht="12.75" customHeight="1" x14ac:dyDescent="0.2">
      <c r="A283" s="1549"/>
      <c r="B283" s="1549"/>
      <c r="C283" s="1549"/>
      <c r="D283" s="1558"/>
      <c r="E283" s="1549"/>
      <c r="F283" s="1555"/>
      <c r="G283" s="1555"/>
      <c r="H283" s="1549"/>
      <c r="I283" s="1549"/>
      <c r="J283" s="1555"/>
      <c r="K283" s="1555"/>
      <c r="L283" s="1549"/>
      <c r="M283" s="1549"/>
      <c r="N283" s="1549"/>
      <c r="O283" s="1549"/>
      <c r="P283" s="1549"/>
      <c r="Q283" s="1549"/>
      <c r="R283" s="1549"/>
      <c r="S283" s="1549"/>
      <c r="T283" s="1549"/>
      <c r="U283" s="1549"/>
      <c r="V283" s="1549"/>
      <c r="W283" s="1549"/>
      <c r="X283" s="1549"/>
      <c r="Y283" s="1549"/>
      <c r="Z283" s="1549"/>
    </row>
    <row r="284" spans="1:26" ht="12.75" customHeight="1" x14ac:dyDescent="0.2">
      <c r="A284" s="1549"/>
      <c r="B284" s="1549"/>
      <c r="C284" s="1549"/>
      <c r="D284" s="1558"/>
      <c r="E284" s="1549"/>
      <c r="F284" s="1555"/>
      <c r="G284" s="1555"/>
      <c r="H284" s="1549"/>
      <c r="I284" s="1549"/>
      <c r="J284" s="1555"/>
      <c r="K284" s="1555"/>
      <c r="L284" s="1549"/>
      <c r="M284" s="1549"/>
      <c r="N284" s="1549"/>
      <c r="O284" s="1549"/>
      <c r="P284" s="1549"/>
      <c r="Q284" s="1549"/>
      <c r="R284" s="1549"/>
      <c r="S284" s="1549"/>
      <c r="T284" s="1549"/>
      <c r="U284" s="1549"/>
      <c r="V284" s="1549"/>
      <c r="W284" s="1549"/>
      <c r="X284" s="1549"/>
      <c r="Y284" s="1549"/>
      <c r="Z284" s="1549"/>
    </row>
    <row r="285" spans="1:26" ht="12.75" customHeight="1" x14ac:dyDescent="0.2">
      <c r="A285" s="1549"/>
      <c r="B285" s="1549"/>
      <c r="C285" s="1549"/>
      <c r="D285" s="1558"/>
      <c r="E285" s="1549"/>
      <c r="F285" s="1555"/>
      <c r="G285" s="1555"/>
      <c r="H285" s="1549"/>
      <c r="I285" s="1549"/>
      <c r="J285" s="1555"/>
      <c r="K285" s="1555"/>
      <c r="L285" s="1549"/>
      <c r="M285" s="1549"/>
      <c r="N285" s="1549"/>
      <c r="O285" s="1549"/>
      <c r="P285" s="1549"/>
      <c r="Q285" s="1549"/>
      <c r="R285" s="1549"/>
      <c r="S285" s="1549"/>
      <c r="T285" s="1549"/>
      <c r="U285" s="1549"/>
      <c r="V285" s="1549"/>
      <c r="W285" s="1549"/>
      <c r="X285" s="1549"/>
      <c r="Y285" s="1549"/>
      <c r="Z285" s="1549"/>
    </row>
    <row r="286" spans="1:26" ht="12.75" customHeight="1" x14ac:dyDescent="0.2">
      <c r="A286" s="1549"/>
      <c r="B286" s="1549"/>
      <c r="C286" s="1549"/>
      <c r="D286" s="1558"/>
      <c r="E286" s="1549"/>
      <c r="F286" s="1555"/>
      <c r="G286" s="1555"/>
      <c r="H286" s="1549"/>
      <c r="I286" s="1549"/>
      <c r="J286" s="1555"/>
      <c r="K286" s="1555"/>
      <c r="L286" s="1549"/>
      <c r="M286" s="1549"/>
      <c r="N286" s="1549"/>
      <c r="O286" s="1549"/>
      <c r="P286" s="1549"/>
      <c r="Q286" s="1549"/>
      <c r="R286" s="1549"/>
      <c r="S286" s="1549"/>
      <c r="T286" s="1549"/>
      <c r="U286" s="1549"/>
      <c r="V286" s="1549"/>
      <c r="W286" s="1549"/>
      <c r="X286" s="1549"/>
      <c r="Y286" s="1549"/>
      <c r="Z286" s="1549"/>
    </row>
    <row r="287" spans="1:26" ht="12.75" customHeight="1" x14ac:dyDescent="0.2">
      <c r="A287" s="1549"/>
      <c r="B287" s="1549"/>
      <c r="C287" s="1549"/>
      <c r="D287" s="1558"/>
      <c r="E287" s="1549"/>
      <c r="F287" s="1555"/>
      <c r="G287" s="1555"/>
      <c r="H287" s="1549"/>
      <c r="I287" s="1549"/>
      <c r="J287" s="1555"/>
      <c r="K287" s="1555"/>
      <c r="L287" s="1549"/>
      <c r="M287" s="1549"/>
      <c r="N287" s="1549"/>
      <c r="O287" s="1549"/>
      <c r="P287" s="1549"/>
      <c r="Q287" s="1549"/>
      <c r="R287" s="1549"/>
      <c r="S287" s="1549"/>
      <c r="T287" s="1549"/>
      <c r="U287" s="1549"/>
      <c r="V287" s="1549"/>
      <c r="W287" s="1549"/>
      <c r="X287" s="1549"/>
      <c r="Y287" s="1549"/>
      <c r="Z287" s="1549"/>
    </row>
    <row r="288" spans="1:26" ht="12.75" customHeight="1" x14ac:dyDescent="0.2">
      <c r="A288" s="1549"/>
      <c r="B288" s="1549"/>
      <c r="C288" s="1549"/>
      <c r="D288" s="1558"/>
      <c r="E288" s="1549"/>
      <c r="F288" s="1555"/>
      <c r="G288" s="1555"/>
      <c r="H288" s="1549"/>
      <c r="I288" s="1549"/>
      <c r="J288" s="1555"/>
      <c r="K288" s="1555"/>
      <c r="L288" s="1549"/>
      <c r="M288" s="1549"/>
      <c r="N288" s="1549"/>
      <c r="O288" s="1549"/>
      <c r="P288" s="1549"/>
      <c r="Q288" s="1549"/>
      <c r="R288" s="1549"/>
      <c r="S288" s="1549"/>
      <c r="T288" s="1549"/>
      <c r="U288" s="1549"/>
      <c r="V288" s="1549"/>
      <c r="W288" s="1549"/>
      <c r="X288" s="1549"/>
      <c r="Y288" s="1549"/>
      <c r="Z288" s="1549"/>
    </row>
    <row r="289" spans="1:26" ht="12.75" customHeight="1" x14ac:dyDescent="0.2">
      <c r="A289" s="1549"/>
      <c r="B289" s="1549"/>
      <c r="C289" s="1549"/>
      <c r="D289" s="1558"/>
      <c r="E289" s="1549"/>
      <c r="F289" s="1555"/>
      <c r="G289" s="1555"/>
      <c r="H289" s="1549"/>
      <c r="I289" s="1549"/>
      <c r="J289" s="1555"/>
      <c r="K289" s="1555"/>
      <c r="L289" s="1549"/>
      <c r="M289" s="1549"/>
      <c r="N289" s="1549"/>
      <c r="O289" s="1549"/>
      <c r="P289" s="1549"/>
      <c r="Q289" s="1549"/>
      <c r="R289" s="1549"/>
      <c r="S289" s="1549"/>
      <c r="T289" s="1549"/>
      <c r="U289" s="1549"/>
      <c r="V289" s="1549"/>
      <c r="W289" s="1549"/>
      <c r="X289" s="1549"/>
      <c r="Y289" s="1549"/>
      <c r="Z289" s="1549"/>
    </row>
    <row r="290" spans="1:26" ht="12.75" customHeight="1" x14ac:dyDescent="0.2">
      <c r="A290" s="1549"/>
      <c r="B290" s="1549"/>
      <c r="C290" s="1549"/>
      <c r="D290" s="1558"/>
      <c r="E290" s="1549"/>
      <c r="F290" s="1555"/>
      <c r="G290" s="1555"/>
      <c r="H290" s="1549"/>
      <c r="I290" s="1549"/>
      <c r="J290" s="1555"/>
      <c r="K290" s="1555"/>
      <c r="L290" s="1549"/>
      <c r="M290" s="1549"/>
      <c r="N290" s="1549"/>
      <c r="O290" s="1549"/>
      <c r="P290" s="1549"/>
      <c r="Q290" s="1549"/>
      <c r="R290" s="1549"/>
      <c r="S290" s="1549"/>
      <c r="T290" s="1549"/>
      <c r="U290" s="1549"/>
      <c r="V290" s="1549"/>
      <c r="W290" s="1549"/>
      <c r="X290" s="1549"/>
      <c r="Y290" s="1549"/>
      <c r="Z290" s="1549"/>
    </row>
    <row r="291" spans="1:26" ht="12.75" customHeight="1" x14ac:dyDescent="0.2">
      <c r="A291" s="1549"/>
      <c r="B291" s="1549"/>
      <c r="C291" s="1549"/>
      <c r="D291" s="1558"/>
      <c r="E291" s="1549"/>
      <c r="F291" s="1549"/>
      <c r="G291" s="1549"/>
      <c r="H291" s="1549"/>
      <c r="I291" s="1549"/>
      <c r="J291" s="1549"/>
      <c r="K291" s="1549"/>
      <c r="L291" s="1549"/>
      <c r="M291" s="1549"/>
      <c r="N291" s="1549"/>
      <c r="O291" s="1549"/>
      <c r="P291" s="1549"/>
      <c r="Q291" s="1549"/>
      <c r="R291" s="1549"/>
      <c r="S291" s="1549"/>
      <c r="T291" s="1549"/>
      <c r="U291" s="1549"/>
      <c r="V291" s="1549"/>
      <c r="W291" s="1549"/>
      <c r="X291" s="1549"/>
      <c r="Y291" s="1549"/>
      <c r="Z291" s="1549"/>
    </row>
    <row r="292" spans="1:26" ht="12.75" customHeight="1" x14ac:dyDescent="0.2">
      <c r="A292" s="1549"/>
      <c r="B292" s="1549"/>
      <c r="C292" s="1549"/>
      <c r="D292" s="1558"/>
      <c r="E292" s="1549"/>
      <c r="F292" s="1549"/>
      <c r="G292" s="1549"/>
      <c r="H292" s="1549"/>
      <c r="I292" s="1549"/>
      <c r="J292" s="1549"/>
      <c r="K292" s="1549"/>
      <c r="L292" s="1549"/>
      <c r="M292" s="1549"/>
      <c r="N292" s="1549"/>
      <c r="O292" s="1549"/>
      <c r="P292" s="1549"/>
      <c r="Q292" s="1549"/>
      <c r="R292" s="1549"/>
      <c r="S292" s="1549"/>
      <c r="T292" s="1549"/>
      <c r="U292" s="1549"/>
      <c r="V292" s="1549"/>
      <c r="W292" s="1549"/>
      <c r="X292" s="1549"/>
      <c r="Y292" s="1549"/>
      <c r="Z292" s="1549"/>
    </row>
    <row r="293" spans="1:26" ht="12.75" customHeight="1" x14ac:dyDescent="0.2">
      <c r="A293" s="1549"/>
      <c r="B293" s="1549"/>
      <c r="C293" s="1549"/>
      <c r="D293" s="1558"/>
      <c r="E293" s="1549"/>
      <c r="F293" s="1549"/>
      <c r="G293" s="1549"/>
      <c r="H293" s="1549"/>
      <c r="I293" s="1549"/>
      <c r="J293" s="1549"/>
      <c r="K293" s="1549"/>
      <c r="L293" s="1549"/>
      <c r="M293" s="1549"/>
      <c r="N293" s="1549"/>
      <c r="O293" s="1549"/>
      <c r="P293" s="1549"/>
      <c r="Q293" s="1549"/>
      <c r="R293" s="1549"/>
      <c r="S293" s="1549"/>
      <c r="T293" s="1549"/>
      <c r="U293" s="1549"/>
      <c r="V293" s="1549"/>
      <c r="W293" s="1549"/>
      <c r="X293" s="1549"/>
      <c r="Y293" s="1549"/>
      <c r="Z293" s="1549"/>
    </row>
    <row r="294" spans="1:26" ht="12.75" customHeight="1" x14ac:dyDescent="0.2">
      <c r="A294" s="1549"/>
      <c r="B294" s="1549"/>
      <c r="C294" s="1549"/>
      <c r="D294" s="1558"/>
      <c r="E294" s="1549"/>
      <c r="F294" s="1549"/>
      <c r="G294" s="1549"/>
      <c r="H294" s="1549"/>
      <c r="I294" s="1549"/>
      <c r="J294" s="1549"/>
      <c r="K294" s="1549"/>
      <c r="L294" s="1549"/>
      <c r="M294" s="1549"/>
      <c r="N294" s="1549"/>
      <c r="O294" s="1549"/>
      <c r="P294" s="1549"/>
      <c r="Q294" s="1549"/>
      <c r="R294" s="1549"/>
      <c r="S294" s="1549"/>
      <c r="T294" s="1549"/>
      <c r="U294" s="1549"/>
      <c r="V294" s="1549"/>
      <c r="W294" s="1549"/>
      <c r="X294" s="1549"/>
      <c r="Y294" s="1549"/>
      <c r="Z294" s="1549"/>
    </row>
    <row r="295" spans="1:26" ht="12.75" customHeight="1" x14ac:dyDescent="0.2">
      <c r="A295" s="1549"/>
      <c r="B295" s="1549"/>
      <c r="C295" s="1549"/>
      <c r="D295" s="1558"/>
      <c r="E295" s="1549"/>
      <c r="F295" s="1549"/>
      <c r="G295" s="1549"/>
      <c r="H295" s="1549"/>
      <c r="I295" s="1549"/>
      <c r="J295" s="1549"/>
      <c r="K295" s="1549"/>
      <c r="L295" s="1549"/>
      <c r="M295" s="1549"/>
      <c r="N295" s="1549"/>
      <c r="O295" s="1549"/>
      <c r="P295" s="1549"/>
      <c r="Q295" s="1549"/>
      <c r="R295" s="1549"/>
      <c r="S295" s="1549"/>
      <c r="T295" s="1549"/>
      <c r="U295" s="1549"/>
      <c r="V295" s="1549"/>
      <c r="W295" s="1549"/>
      <c r="X295" s="1549"/>
      <c r="Y295" s="1549"/>
      <c r="Z295" s="1549"/>
    </row>
    <row r="296" spans="1:26" ht="12.75" customHeight="1" x14ac:dyDescent="0.2">
      <c r="A296" s="1549"/>
      <c r="B296" s="1549"/>
      <c r="C296" s="1549"/>
      <c r="D296" s="1558"/>
      <c r="E296" s="1549"/>
      <c r="F296" s="1549"/>
      <c r="G296" s="1549"/>
      <c r="H296" s="1549"/>
      <c r="I296" s="1549"/>
      <c r="J296" s="1549"/>
      <c r="K296" s="1549"/>
      <c r="L296" s="1549"/>
      <c r="M296" s="1549"/>
      <c r="N296" s="1549"/>
      <c r="O296" s="1549"/>
      <c r="P296" s="1549"/>
      <c r="Q296" s="1549"/>
      <c r="R296" s="1549"/>
      <c r="S296" s="1549"/>
      <c r="T296" s="1549"/>
      <c r="U296" s="1549"/>
      <c r="V296" s="1549"/>
      <c r="W296" s="1549"/>
      <c r="X296" s="1549"/>
      <c r="Y296" s="1549"/>
      <c r="Z296" s="1549"/>
    </row>
    <row r="297" spans="1:26" ht="12.75" customHeight="1" x14ac:dyDescent="0.2">
      <c r="A297" s="1549"/>
      <c r="B297" s="1549"/>
      <c r="C297" s="1549"/>
      <c r="D297" s="1558"/>
      <c r="E297" s="1549"/>
      <c r="F297" s="1549"/>
      <c r="G297" s="1549"/>
      <c r="H297" s="1549"/>
      <c r="I297" s="1549"/>
      <c r="J297" s="1549"/>
      <c r="K297" s="1549"/>
      <c r="L297" s="1549"/>
      <c r="M297" s="1549"/>
      <c r="N297" s="1549"/>
      <c r="O297" s="1549"/>
      <c r="P297" s="1549"/>
      <c r="Q297" s="1549"/>
      <c r="R297" s="1549"/>
      <c r="S297" s="1549"/>
      <c r="T297" s="1549"/>
      <c r="U297" s="1549"/>
      <c r="V297" s="1549"/>
      <c r="W297" s="1549"/>
      <c r="X297" s="1549"/>
      <c r="Y297" s="1549"/>
      <c r="Z297" s="1549"/>
    </row>
    <row r="298" spans="1:26" ht="12.75" customHeight="1" x14ac:dyDescent="0.2">
      <c r="A298" s="1549"/>
      <c r="B298" s="1549"/>
      <c r="C298" s="1549"/>
      <c r="D298" s="1558"/>
      <c r="E298" s="1549"/>
      <c r="F298" s="1549"/>
      <c r="G298" s="1549"/>
      <c r="H298" s="1549"/>
      <c r="I298" s="1549"/>
      <c r="J298" s="1549"/>
      <c r="K298" s="1549"/>
      <c r="L298" s="1549"/>
      <c r="M298" s="1549"/>
      <c r="N298" s="1549"/>
      <c r="O298" s="1549"/>
      <c r="P298" s="1549"/>
      <c r="Q298" s="1549"/>
      <c r="R298" s="1549"/>
      <c r="S298" s="1549"/>
      <c r="T298" s="1549"/>
      <c r="U298" s="1549"/>
      <c r="V298" s="1549"/>
      <c r="W298" s="1549"/>
      <c r="X298" s="1549"/>
      <c r="Y298" s="1549"/>
      <c r="Z298" s="1549"/>
    </row>
    <row r="299" spans="1:26" ht="12.75" customHeight="1" x14ac:dyDescent="0.2">
      <c r="A299" s="1549"/>
      <c r="B299" s="1549"/>
      <c r="C299" s="1549"/>
      <c r="D299" s="1558"/>
      <c r="E299" s="1549"/>
      <c r="F299" s="1549"/>
      <c r="G299" s="1549"/>
      <c r="H299" s="1549"/>
      <c r="I299" s="1549"/>
      <c r="J299" s="1549"/>
      <c r="K299" s="1549"/>
      <c r="L299" s="1549"/>
      <c r="M299" s="1549"/>
      <c r="N299" s="1549"/>
      <c r="O299" s="1549"/>
      <c r="P299" s="1549"/>
      <c r="Q299" s="1549"/>
      <c r="R299" s="1549"/>
      <c r="S299" s="1549"/>
      <c r="T299" s="1549"/>
      <c r="U299" s="1549"/>
      <c r="V299" s="1549"/>
      <c r="W299" s="1549"/>
      <c r="X299" s="1549"/>
      <c r="Y299" s="1549"/>
      <c r="Z299" s="1549"/>
    </row>
    <row r="300" spans="1:26" ht="12.75" customHeight="1" x14ac:dyDescent="0.2">
      <c r="A300" s="1549"/>
      <c r="B300" s="1549"/>
      <c r="C300" s="1549"/>
      <c r="D300" s="1558"/>
      <c r="E300" s="1549"/>
      <c r="F300" s="1549"/>
      <c r="G300" s="1549"/>
      <c r="H300" s="1549"/>
      <c r="I300" s="1549"/>
      <c r="J300" s="1549"/>
      <c r="K300" s="1549"/>
      <c r="L300" s="1549"/>
      <c r="M300" s="1549"/>
      <c r="N300" s="1549"/>
      <c r="O300" s="1549"/>
      <c r="P300" s="1549"/>
      <c r="Q300" s="1549"/>
      <c r="R300" s="1549"/>
      <c r="S300" s="1549"/>
      <c r="T300" s="1549"/>
      <c r="U300" s="1549"/>
      <c r="V300" s="1549"/>
      <c r="W300" s="1549"/>
      <c r="X300" s="1549"/>
      <c r="Y300" s="1549"/>
      <c r="Z300" s="1549"/>
    </row>
    <row r="301" spans="1:26" ht="12.75" customHeight="1" x14ac:dyDescent="0.2">
      <c r="A301" s="1549"/>
      <c r="B301" s="1549"/>
      <c r="C301" s="1549"/>
      <c r="D301" s="1558"/>
      <c r="E301" s="1549"/>
      <c r="F301" s="1549"/>
      <c r="G301" s="1549"/>
      <c r="H301" s="1549"/>
      <c r="I301" s="1549"/>
      <c r="J301" s="1549"/>
      <c r="K301" s="1549"/>
      <c r="L301" s="1549"/>
      <c r="M301" s="1549"/>
      <c r="N301" s="1549"/>
      <c r="O301" s="1549"/>
      <c r="P301" s="1549"/>
      <c r="Q301" s="1549"/>
      <c r="R301" s="1549"/>
      <c r="S301" s="1549"/>
      <c r="T301" s="1549"/>
      <c r="U301" s="1549"/>
      <c r="V301" s="1549"/>
      <c r="W301" s="1549"/>
      <c r="X301" s="1549"/>
      <c r="Y301" s="1549"/>
      <c r="Z301" s="1549"/>
    </row>
    <row r="302" spans="1:26" ht="12.75" customHeight="1" x14ac:dyDescent="0.2">
      <c r="A302" s="1549"/>
      <c r="B302" s="1549"/>
      <c r="C302" s="1549"/>
      <c r="D302" s="1558"/>
      <c r="E302" s="1549"/>
      <c r="F302" s="1549"/>
      <c r="G302" s="1549"/>
      <c r="H302" s="1549"/>
      <c r="I302" s="1549"/>
      <c r="J302" s="1549"/>
      <c r="K302" s="1549"/>
      <c r="L302" s="1549"/>
      <c r="M302" s="1549"/>
      <c r="N302" s="1549"/>
      <c r="O302" s="1549"/>
      <c r="P302" s="1549"/>
      <c r="Q302" s="1549"/>
      <c r="R302" s="1549"/>
      <c r="S302" s="1549"/>
      <c r="T302" s="1549"/>
      <c r="U302" s="1549"/>
      <c r="V302" s="1549"/>
      <c r="W302" s="1549"/>
      <c r="X302" s="1549"/>
      <c r="Y302" s="1549"/>
      <c r="Z302" s="1549"/>
    </row>
    <row r="303" spans="1:26" ht="12.75" customHeight="1" x14ac:dyDescent="0.2">
      <c r="A303" s="1549"/>
      <c r="B303" s="1549"/>
      <c r="C303" s="1549"/>
      <c r="D303" s="1558"/>
      <c r="E303" s="1549"/>
      <c r="F303" s="1549"/>
      <c r="G303" s="1549"/>
      <c r="H303" s="1549"/>
      <c r="I303" s="1549"/>
      <c r="J303" s="1549"/>
      <c r="K303" s="1549"/>
      <c r="L303" s="1549"/>
      <c r="M303" s="1549"/>
      <c r="N303" s="1549"/>
      <c r="O303" s="1549"/>
      <c r="P303" s="1549"/>
      <c r="Q303" s="1549"/>
      <c r="R303" s="1549"/>
      <c r="S303" s="1549"/>
      <c r="T303" s="1549"/>
      <c r="U303" s="1549"/>
      <c r="V303" s="1549"/>
      <c r="W303" s="1549"/>
      <c r="X303" s="1549"/>
      <c r="Y303" s="1549"/>
      <c r="Z303" s="1549"/>
    </row>
    <row r="304" spans="1:26" ht="12.75" customHeight="1" x14ac:dyDescent="0.2">
      <c r="A304" s="1549"/>
      <c r="B304" s="1549"/>
      <c r="C304" s="1549"/>
      <c r="D304" s="1558"/>
      <c r="E304" s="1549"/>
      <c r="F304" s="1549"/>
      <c r="G304" s="1549"/>
      <c r="H304" s="1549"/>
      <c r="I304" s="1549"/>
      <c r="J304" s="1549"/>
      <c r="K304" s="1549"/>
      <c r="L304" s="1549"/>
      <c r="M304" s="1549"/>
      <c r="N304" s="1549"/>
      <c r="O304" s="1549"/>
      <c r="P304" s="1549"/>
      <c r="Q304" s="1549"/>
      <c r="R304" s="1549"/>
      <c r="S304" s="1549"/>
      <c r="T304" s="1549"/>
      <c r="U304" s="1549"/>
      <c r="V304" s="1549"/>
      <c r="W304" s="1549"/>
      <c r="X304" s="1549"/>
      <c r="Y304" s="1549"/>
      <c r="Z304" s="1549"/>
    </row>
    <row r="305" spans="1:26" ht="12.75" customHeight="1" x14ac:dyDescent="0.2">
      <c r="A305" s="1549"/>
      <c r="B305" s="1549"/>
      <c r="C305" s="1549"/>
      <c r="D305" s="1558"/>
      <c r="E305" s="1549"/>
      <c r="F305" s="1549"/>
      <c r="G305" s="1549"/>
      <c r="H305" s="1549"/>
      <c r="I305" s="1549"/>
      <c r="J305" s="1549"/>
      <c r="K305" s="1549"/>
      <c r="L305" s="1549"/>
      <c r="M305" s="1549"/>
      <c r="N305" s="1549"/>
      <c r="O305" s="1549"/>
      <c r="P305" s="1549"/>
      <c r="Q305" s="1549"/>
      <c r="R305" s="1549"/>
      <c r="S305" s="1549"/>
      <c r="T305" s="1549"/>
      <c r="U305" s="1549"/>
      <c r="V305" s="1549"/>
      <c r="W305" s="1549"/>
      <c r="X305" s="1549"/>
      <c r="Y305" s="1549"/>
      <c r="Z305" s="1549"/>
    </row>
    <row r="306" spans="1:26" ht="12.75" customHeight="1" x14ac:dyDescent="0.2">
      <c r="A306" s="1549"/>
      <c r="B306" s="1549"/>
      <c r="C306" s="1549"/>
      <c r="D306" s="1558"/>
      <c r="E306" s="1549"/>
      <c r="F306" s="1549"/>
      <c r="G306" s="1549"/>
      <c r="H306" s="1549"/>
      <c r="I306" s="1549"/>
      <c r="J306" s="1549"/>
      <c r="K306" s="1549"/>
      <c r="L306" s="1549"/>
      <c r="M306" s="1549"/>
      <c r="N306" s="1549"/>
      <c r="O306" s="1549"/>
      <c r="P306" s="1549"/>
      <c r="Q306" s="1549"/>
      <c r="R306" s="1549"/>
      <c r="S306" s="1549"/>
      <c r="T306" s="1549"/>
      <c r="U306" s="1549"/>
      <c r="V306" s="1549"/>
      <c r="W306" s="1549"/>
      <c r="X306" s="1549"/>
      <c r="Y306" s="1549"/>
      <c r="Z306" s="1549"/>
    </row>
    <row r="307" spans="1:26" ht="12.75" customHeight="1" x14ac:dyDescent="0.2">
      <c r="A307" s="1549"/>
      <c r="B307" s="1549"/>
      <c r="C307" s="1549"/>
      <c r="D307" s="1558"/>
      <c r="E307" s="1549"/>
      <c r="F307" s="1549"/>
      <c r="G307" s="1549"/>
      <c r="H307" s="1549"/>
      <c r="I307" s="1549"/>
      <c r="J307" s="1549"/>
      <c r="K307" s="1549"/>
      <c r="L307" s="1549"/>
      <c r="M307" s="1549"/>
      <c r="N307" s="1549"/>
      <c r="O307" s="1549"/>
      <c r="P307" s="1549"/>
      <c r="Q307" s="1549"/>
      <c r="R307" s="1549"/>
      <c r="S307" s="1549"/>
      <c r="T307" s="1549"/>
      <c r="U307" s="1549"/>
      <c r="V307" s="1549"/>
      <c r="W307" s="1549"/>
      <c r="X307" s="1549"/>
      <c r="Y307" s="1549"/>
      <c r="Z307" s="1549"/>
    </row>
    <row r="308" spans="1:26" ht="12.75" customHeight="1" x14ac:dyDescent="0.2">
      <c r="A308" s="1549"/>
      <c r="B308" s="1549"/>
      <c r="C308" s="1549"/>
      <c r="D308" s="1558"/>
      <c r="E308" s="1549"/>
      <c r="F308" s="1549"/>
      <c r="G308" s="1549"/>
      <c r="H308" s="1549"/>
      <c r="I308" s="1549"/>
      <c r="J308" s="1549"/>
      <c r="K308" s="1549"/>
      <c r="L308" s="1549"/>
      <c r="M308" s="1549"/>
      <c r="N308" s="1549"/>
      <c r="O308" s="1549"/>
      <c r="P308" s="1549"/>
      <c r="Q308" s="1549"/>
      <c r="R308" s="1549"/>
      <c r="S308" s="1549"/>
      <c r="T308" s="1549"/>
      <c r="U308" s="1549"/>
      <c r="V308" s="1549"/>
      <c r="W308" s="1549"/>
      <c r="X308" s="1549"/>
      <c r="Y308" s="1549"/>
      <c r="Z308" s="1549"/>
    </row>
    <row r="309" spans="1:26" ht="12.75" customHeight="1" x14ac:dyDescent="0.2">
      <c r="A309" s="1549"/>
      <c r="B309" s="1549"/>
      <c r="C309" s="1549"/>
      <c r="D309" s="1558"/>
      <c r="E309" s="1549"/>
      <c r="F309" s="1549"/>
      <c r="G309" s="1549"/>
      <c r="H309" s="1549"/>
      <c r="I309" s="1549"/>
      <c r="J309" s="1549"/>
      <c r="K309" s="1549"/>
      <c r="L309" s="1549"/>
      <c r="M309" s="1549"/>
      <c r="N309" s="1549"/>
      <c r="O309" s="1549"/>
      <c r="P309" s="1549"/>
      <c r="Q309" s="1549"/>
      <c r="R309" s="1549"/>
      <c r="S309" s="1549"/>
      <c r="T309" s="1549"/>
      <c r="U309" s="1549"/>
      <c r="V309" s="1549"/>
      <c r="W309" s="1549"/>
      <c r="X309" s="1549"/>
      <c r="Y309" s="1549"/>
      <c r="Z309" s="1549"/>
    </row>
    <row r="310" spans="1:26" ht="12.75" customHeight="1" x14ac:dyDescent="0.2">
      <c r="A310" s="1549"/>
      <c r="B310" s="1549"/>
      <c r="C310" s="1549"/>
      <c r="D310" s="1558"/>
      <c r="E310" s="1549"/>
      <c r="F310" s="1549"/>
      <c r="G310" s="1549"/>
      <c r="H310" s="1549"/>
      <c r="I310" s="1549"/>
      <c r="J310" s="1549"/>
      <c r="K310" s="1549"/>
      <c r="L310" s="1549"/>
      <c r="M310" s="1549"/>
      <c r="N310" s="1549"/>
      <c r="O310" s="1549"/>
      <c r="P310" s="1549"/>
      <c r="Q310" s="1549"/>
      <c r="R310" s="1549"/>
      <c r="S310" s="1549"/>
      <c r="T310" s="1549"/>
      <c r="U310" s="1549"/>
      <c r="V310" s="1549"/>
      <c r="W310" s="1549"/>
      <c r="X310" s="1549"/>
      <c r="Y310" s="1549"/>
      <c r="Z310" s="1549"/>
    </row>
    <row r="311" spans="1:26" ht="12.75" customHeight="1" x14ac:dyDescent="0.2">
      <c r="A311" s="1549"/>
      <c r="B311" s="1549"/>
      <c r="C311" s="1549"/>
      <c r="D311" s="1558"/>
      <c r="E311" s="1549"/>
      <c r="F311" s="1549"/>
      <c r="G311" s="1549"/>
      <c r="H311" s="1549"/>
      <c r="I311" s="1549"/>
      <c r="J311" s="1549"/>
      <c r="K311" s="1549"/>
      <c r="L311" s="1549"/>
      <c r="M311" s="1549"/>
      <c r="N311" s="1549"/>
      <c r="O311" s="1549"/>
      <c r="P311" s="1549"/>
      <c r="Q311" s="1549"/>
      <c r="R311" s="1549"/>
      <c r="S311" s="1549"/>
      <c r="T311" s="1549"/>
      <c r="U311" s="1549"/>
      <c r="V311" s="1549"/>
      <c r="W311" s="1549"/>
      <c r="X311" s="1549"/>
      <c r="Y311" s="1549"/>
      <c r="Z311" s="1549"/>
    </row>
    <row r="312" spans="1:26" ht="12.75" customHeight="1" x14ac:dyDescent="0.2">
      <c r="A312" s="1549"/>
      <c r="B312" s="1549"/>
      <c r="C312" s="1549"/>
      <c r="D312" s="1558"/>
      <c r="E312" s="1549"/>
      <c r="F312" s="1549"/>
      <c r="G312" s="1549"/>
      <c r="H312" s="1549"/>
      <c r="I312" s="1549"/>
      <c r="J312" s="1549"/>
      <c r="K312" s="1549"/>
      <c r="L312" s="1549"/>
      <c r="M312" s="1549"/>
      <c r="N312" s="1549"/>
      <c r="O312" s="1549"/>
      <c r="P312" s="1549"/>
      <c r="Q312" s="1549"/>
      <c r="R312" s="1549"/>
      <c r="S312" s="1549"/>
      <c r="T312" s="1549"/>
      <c r="U312" s="1549"/>
      <c r="V312" s="1549"/>
      <c r="W312" s="1549"/>
      <c r="X312" s="1549"/>
      <c r="Y312" s="1549"/>
      <c r="Z312" s="1549"/>
    </row>
    <row r="313" spans="1:26" ht="12.75" customHeight="1" x14ac:dyDescent="0.2">
      <c r="A313" s="1549"/>
      <c r="B313" s="1549"/>
      <c r="C313" s="1549"/>
      <c r="D313" s="1558"/>
      <c r="E313" s="1549"/>
      <c r="F313" s="1549"/>
      <c r="G313" s="1549"/>
      <c r="H313" s="1549"/>
      <c r="I313" s="1549"/>
      <c r="J313" s="1549"/>
      <c r="K313" s="1549"/>
      <c r="L313" s="1549"/>
      <c r="M313" s="1549"/>
      <c r="N313" s="1549"/>
      <c r="O313" s="1549"/>
      <c r="P313" s="1549"/>
      <c r="Q313" s="1549"/>
      <c r="R313" s="1549"/>
      <c r="S313" s="1549"/>
      <c r="T313" s="1549"/>
      <c r="U313" s="1549"/>
      <c r="V313" s="1549"/>
      <c r="W313" s="1549"/>
      <c r="X313" s="1549"/>
      <c r="Y313" s="1549"/>
      <c r="Z313" s="1549"/>
    </row>
    <row r="314" spans="1:26" ht="12.75" customHeight="1" x14ac:dyDescent="0.2">
      <c r="A314" s="1549"/>
      <c r="B314" s="1549"/>
      <c r="C314" s="1549"/>
      <c r="D314" s="1558"/>
      <c r="E314" s="1549"/>
      <c r="F314" s="1549"/>
      <c r="G314" s="1549"/>
      <c r="H314" s="1549"/>
      <c r="I314" s="1549"/>
      <c r="J314" s="1549"/>
      <c r="K314" s="1549"/>
      <c r="L314" s="1549"/>
      <c r="M314" s="1549"/>
      <c r="N314" s="1549"/>
      <c r="O314" s="1549"/>
      <c r="P314" s="1549"/>
      <c r="Q314" s="1549"/>
      <c r="R314" s="1549"/>
      <c r="S314" s="1549"/>
      <c r="T314" s="1549"/>
      <c r="U314" s="1549"/>
      <c r="V314" s="1549"/>
      <c r="W314" s="1549"/>
      <c r="X314" s="1549"/>
      <c r="Y314" s="1549"/>
      <c r="Z314" s="1549"/>
    </row>
    <row r="315" spans="1:26" ht="12.75" customHeight="1" x14ac:dyDescent="0.2">
      <c r="A315" s="1549"/>
      <c r="B315" s="1549"/>
      <c r="C315" s="1549"/>
      <c r="D315" s="1558"/>
      <c r="E315" s="1549"/>
      <c r="F315" s="1549"/>
      <c r="G315" s="1549"/>
      <c r="H315" s="1549"/>
      <c r="I315" s="1549"/>
      <c r="J315" s="1549"/>
      <c r="K315" s="1549"/>
      <c r="L315" s="1549"/>
      <c r="M315" s="1549"/>
      <c r="N315" s="1549"/>
      <c r="O315" s="1549"/>
      <c r="P315" s="1549"/>
      <c r="Q315" s="1549"/>
      <c r="R315" s="1549"/>
      <c r="S315" s="1549"/>
      <c r="T315" s="1549"/>
      <c r="U315" s="1549"/>
      <c r="V315" s="1549"/>
      <c r="W315" s="1549"/>
      <c r="X315" s="1549"/>
      <c r="Y315" s="1549"/>
      <c r="Z315" s="1549"/>
    </row>
    <row r="316" spans="1:26" ht="12.75" customHeight="1" x14ac:dyDescent="0.2">
      <c r="A316" s="1549"/>
      <c r="B316" s="1549"/>
      <c r="C316" s="1549"/>
      <c r="D316" s="1558"/>
      <c r="E316" s="1549"/>
      <c r="F316" s="1549"/>
      <c r="G316" s="1549"/>
      <c r="H316" s="1549"/>
      <c r="I316" s="1549"/>
      <c r="J316" s="1549"/>
      <c r="K316" s="1549"/>
      <c r="L316" s="1549"/>
      <c r="M316" s="1549"/>
      <c r="N316" s="1549"/>
      <c r="O316" s="1549"/>
      <c r="P316" s="1549"/>
      <c r="Q316" s="1549"/>
      <c r="R316" s="1549"/>
      <c r="S316" s="1549"/>
      <c r="T316" s="1549"/>
      <c r="U316" s="1549"/>
      <c r="V316" s="1549"/>
      <c r="W316" s="1549"/>
      <c r="X316" s="1549"/>
      <c r="Y316" s="1549"/>
      <c r="Z316" s="1549"/>
    </row>
    <row r="317" spans="1:26" ht="12.75" customHeight="1" x14ac:dyDescent="0.2">
      <c r="A317" s="1549"/>
      <c r="B317" s="1549"/>
      <c r="C317" s="1549"/>
      <c r="D317" s="1558"/>
      <c r="E317" s="1549"/>
      <c r="F317" s="1549"/>
      <c r="G317" s="1549"/>
      <c r="H317" s="1549"/>
      <c r="I317" s="1549"/>
      <c r="J317" s="1549"/>
      <c r="K317" s="1549"/>
      <c r="L317" s="1549"/>
      <c r="M317" s="1549"/>
      <c r="N317" s="1549"/>
      <c r="O317" s="1549"/>
      <c r="P317" s="1549"/>
      <c r="Q317" s="1549"/>
      <c r="R317" s="1549"/>
      <c r="S317" s="1549"/>
      <c r="T317" s="1549"/>
      <c r="U317" s="1549"/>
      <c r="V317" s="1549"/>
      <c r="W317" s="1549"/>
      <c r="X317" s="1549"/>
      <c r="Y317" s="1549"/>
      <c r="Z317" s="1549"/>
    </row>
    <row r="318" spans="1:26" ht="12.75" customHeight="1" x14ac:dyDescent="0.2">
      <c r="A318" s="1549"/>
      <c r="B318" s="1549"/>
      <c r="C318" s="1549"/>
      <c r="D318" s="1558"/>
      <c r="E318" s="1549"/>
      <c r="F318" s="1549"/>
      <c r="G318" s="1549"/>
      <c r="H318" s="1549"/>
      <c r="I318" s="1549"/>
      <c r="J318" s="1549"/>
      <c r="K318" s="1549"/>
      <c r="L318" s="1549"/>
      <c r="M318" s="1549"/>
      <c r="N318" s="1549"/>
      <c r="O318" s="1549"/>
      <c r="P318" s="1549"/>
      <c r="Q318" s="1549"/>
      <c r="R318" s="1549"/>
      <c r="S318" s="1549"/>
      <c r="T318" s="1549"/>
      <c r="U318" s="1549"/>
      <c r="V318" s="1549"/>
      <c r="W318" s="1549"/>
      <c r="X318" s="1549"/>
      <c r="Y318" s="1549"/>
      <c r="Z318" s="1549"/>
    </row>
    <row r="319" spans="1:26" ht="12.75" customHeight="1" x14ac:dyDescent="0.2">
      <c r="A319" s="1549"/>
      <c r="B319" s="1549"/>
      <c r="C319" s="1549"/>
      <c r="D319" s="1558"/>
      <c r="E319" s="1549"/>
      <c r="F319" s="1549"/>
      <c r="G319" s="1549"/>
      <c r="H319" s="1549"/>
      <c r="I319" s="1549"/>
      <c r="J319" s="1549"/>
      <c r="K319" s="1549"/>
      <c r="L319" s="1549"/>
      <c r="M319" s="1549"/>
      <c r="N319" s="1549"/>
      <c r="O319" s="1549"/>
      <c r="P319" s="1549"/>
      <c r="Q319" s="1549"/>
      <c r="R319" s="1549"/>
      <c r="S319" s="1549"/>
      <c r="T319" s="1549"/>
      <c r="U319" s="1549"/>
      <c r="V319" s="1549"/>
      <c r="W319" s="1549"/>
      <c r="X319" s="1549"/>
      <c r="Y319" s="1549"/>
      <c r="Z319" s="1549"/>
    </row>
    <row r="320" spans="1:26" ht="12.75" customHeight="1" x14ac:dyDescent="0.2">
      <c r="A320" s="1549"/>
      <c r="B320" s="1549"/>
      <c r="C320" s="1549"/>
      <c r="D320" s="1558"/>
      <c r="E320" s="1549"/>
      <c r="F320" s="1549"/>
      <c r="G320" s="1549"/>
      <c r="H320" s="1549"/>
      <c r="I320" s="1549"/>
      <c r="J320" s="1549"/>
      <c r="K320" s="1549"/>
      <c r="L320" s="1549"/>
      <c r="M320" s="1549"/>
      <c r="N320" s="1549"/>
      <c r="O320" s="1549"/>
      <c r="P320" s="1549"/>
      <c r="Q320" s="1549"/>
      <c r="R320" s="1549"/>
      <c r="S320" s="1549"/>
      <c r="T320" s="1549"/>
      <c r="U320" s="1549"/>
      <c r="V320" s="1549"/>
      <c r="W320" s="1549"/>
      <c r="X320" s="1549"/>
      <c r="Y320" s="1549"/>
      <c r="Z320" s="1549"/>
    </row>
    <row r="321" spans="1:26" ht="12.75" customHeight="1" x14ac:dyDescent="0.2">
      <c r="A321" s="1549"/>
      <c r="B321" s="1549"/>
      <c r="C321" s="1549"/>
      <c r="D321" s="1558"/>
      <c r="E321" s="1549"/>
      <c r="F321" s="1549"/>
      <c r="G321" s="1549"/>
      <c r="H321" s="1549"/>
      <c r="I321" s="1549"/>
      <c r="J321" s="1549"/>
      <c r="K321" s="1549"/>
      <c r="L321" s="1549"/>
      <c r="M321" s="1549"/>
      <c r="N321" s="1549"/>
      <c r="O321" s="1549"/>
      <c r="P321" s="1549"/>
      <c r="Q321" s="1549"/>
      <c r="R321" s="1549"/>
      <c r="S321" s="1549"/>
      <c r="T321" s="1549"/>
      <c r="U321" s="1549"/>
      <c r="V321" s="1549"/>
      <c r="W321" s="1549"/>
      <c r="X321" s="1549"/>
      <c r="Y321" s="1549"/>
      <c r="Z321" s="1549"/>
    </row>
    <row r="322" spans="1:26" ht="12.75" customHeight="1" x14ac:dyDescent="0.2">
      <c r="A322" s="1549"/>
      <c r="B322" s="1549"/>
      <c r="C322" s="1549"/>
      <c r="D322" s="1558"/>
      <c r="E322" s="1549"/>
      <c r="F322" s="1549"/>
      <c r="G322" s="1549"/>
      <c r="H322" s="1549"/>
      <c r="I322" s="1549"/>
      <c r="J322" s="1549"/>
      <c r="K322" s="1549"/>
      <c r="L322" s="1549"/>
      <c r="M322" s="1549"/>
      <c r="N322" s="1549"/>
      <c r="O322" s="1549"/>
      <c r="P322" s="1549"/>
      <c r="Q322" s="1549"/>
      <c r="R322" s="1549"/>
      <c r="S322" s="1549"/>
      <c r="T322" s="1549"/>
      <c r="U322" s="1549"/>
      <c r="V322" s="1549"/>
      <c r="W322" s="1549"/>
      <c r="X322" s="1549"/>
      <c r="Y322" s="1549"/>
      <c r="Z322" s="1549"/>
    </row>
    <row r="323" spans="1:26" ht="12.75" customHeight="1" x14ac:dyDescent="0.2">
      <c r="A323" s="1549"/>
      <c r="B323" s="1549"/>
      <c r="C323" s="1549"/>
      <c r="D323" s="1558"/>
      <c r="E323" s="1549"/>
      <c r="F323" s="1549"/>
      <c r="G323" s="1549"/>
      <c r="H323" s="1549"/>
      <c r="I323" s="1549"/>
      <c r="J323" s="1549"/>
      <c r="K323" s="1549"/>
      <c r="L323" s="1549"/>
      <c r="M323" s="1549"/>
      <c r="N323" s="1549"/>
      <c r="O323" s="1549"/>
      <c r="P323" s="1549"/>
      <c r="Q323" s="1549"/>
      <c r="R323" s="1549"/>
      <c r="S323" s="1549"/>
      <c r="T323" s="1549"/>
      <c r="U323" s="1549"/>
      <c r="V323" s="1549"/>
      <c r="W323" s="1549"/>
      <c r="X323" s="1549"/>
      <c r="Y323" s="1549"/>
      <c r="Z323" s="1549"/>
    </row>
    <row r="324" spans="1:26" ht="12.75" customHeight="1" x14ac:dyDescent="0.2">
      <c r="A324" s="1549"/>
      <c r="B324" s="1549"/>
      <c r="C324" s="1549"/>
      <c r="D324" s="1558"/>
      <c r="E324" s="1549"/>
      <c r="F324" s="1549"/>
      <c r="G324" s="1549"/>
      <c r="H324" s="1549"/>
      <c r="I324" s="1549"/>
      <c r="J324" s="1549"/>
      <c r="K324" s="1549"/>
      <c r="L324" s="1549"/>
      <c r="M324" s="1549"/>
      <c r="N324" s="1549"/>
      <c r="O324" s="1549"/>
      <c r="P324" s="1549"/>
      <c r="Q324" s="1549"/>
      <c r="R324" s="1549"/>
      <c r="S324" s="1549"/>
      <c r="T324" s="1549"/>
      <c r="U324" s="1549"/>
      <c r="V324" s="1549"/>
      <c r="W324" s="1549"/>
      <c r="X324" s="1549"/>
      <c r="Y324" s="1549"/>
      <c r="Z324" s="1549"/>
    </row>
    <row r="325" spans="1:26" ht="12.75" customHeight="1" x14ac:dyDescent="0.2">
      <c r="A325" s="1549"/>
      <c r="B325" s="1549"/>
      <c r="C325" s="1549"/>
      <c r="D325" s="1558"/>
      <c r="E325" s="1549"/>
      <c r="F325" s="1549"/>
      <c r="G325" s="1549"/>
      <c r="H325" s="1549"/>
      <c r="I325" s="1549"/>
      <c r="J325" s="1549"/>
      <c r="K325" s="1549"/>
      <c r="L325" s="1549"/>
      <c r="M325" s="1549"/>
      <c r="N325" s="1549"/>
      <c r="O325" s="1549"/>
      <c r="P325" s="1549"/>
      <c r="Q325" s="1549"/>
      <c r="R325" s="1549"/>
      <c r="S325" s="1549"/>
      <c r="T325" s="1549"/>
      <c r="U325" s="1549"/>
      <c r="V325" s="1549"/>
      <c r="W325" s="1549"/>
      <c r="X325" s="1549"/>
      <c r="Y325" s="1549"/>
      <c r="Z325" s="1549"/>
    </row>
    <row r="326" spans="1:26" ht="12.75" customHeight="1" x14ac:dyDescent="0.2">
      <c r="A326" s="1549"/>
      <c r="B326" s="1549"/>
      <c r="C326" s="1549"/>
      <c r="D326" s="1558"/>
      <c r="E326" s="1549"/>
      <c r="F326" s="1549"/>
      <c r="G326" s="1549"/>
      <c r="H326" s="1549"/>
      <c r="I326" s="1549"/>
      <c r="J326" s="1549"/>
      <c r="K326" s="1549"/>
      <c r="L326" s="1549"/>
      <c r="M326" s="1549"/>
      <c r="N326" s="1549"/>
      <c r="O326" s="1549"/>
      <c r="P326" s="1549"/>
      <c r="Q326" s="1549"/>
      <c r="R326" s="1549"/>
      <c r="S326" s="1549"/>
      <c r="T326" s="1549"/>
      <c r="U326" s="1549"/>
      <c r="V326" s="1549"/>
      <c r="W326" s="1549"/>
      <c r="X326" s="1549"/>
      <c r="Y326" s="1549"/>
      <c r="Z326" s="1549"/>
    </row>
    <row r="327" spans="1:26" ht="12.75" customHeight="1" x14ac:dyDescent="0.2">
      <c r="A327" s="1549"/>
      <c r="B327" s="1549"/>
      <c r="C327" s="1549"/>
      <c r="D327" s="1558"/>
      <c r="E327" s="1549"/>
      <c r="F327" s="1549"/>
      <c r="G327" s="1549"/>
      <c r="H327" s="1549"/>
      <c r="I327" s="1549"/>
      <c r="J327" s="1549"/>
      <c r="K327" s="1549"/>
      <c r="L327" s="1549"/>
      <c r="M327" s="1549"/>
      <c r="N327" s="1549"/>
      <c r="O327" s="1549"/>
      <c r="P327" s="1549"/>
      <c r="Q327" s="1549"/>
      <c r="R327" s="1549"/>
      <c r="S327" s="1549"/>
      <c r="T327" s="1549"/>
      <c r="U327" s="1549"/>
      <c r="V327" s="1549"/>
      <c r="W327" s="1549"/>
      <c r="X327" s="1549"/>
      <c r="Y327" s="1549"/>
      <c r="Z327" s="1549"/>
    </row>
    <row r="328" spans="1:26" ht="12.75" customHeight="1" x14ac:dyDescent="0.2">
      <c r="A328" s="1549"/>
      <c r="B328" s="1549"/>
      <c r="C328" s="1549"/>
      <c r="D328" s="1558"/>
      <c r="E328" s="1549"/>
      <c r="F328" s="1549"/>
      <c r="G328" s="1549"/>
      <c r="H328" s="1549"/>
      <c r="I328" s="1549"/>
      <c r="J328" s="1549"/>
      <c r="K328" s="1549"/>
      <c r="L328" s="1549"/>
      <c r="M328" s="1549"/>
      <c r="N328" s="1549"/>
      <c r="O328" s="1549"/>
      <c r="P328" s="1549"/>
      <c r="Q328" s="1549"/>
      <c r="R328" s="1549"/>
      <c r="S328" s="1549"/>
      <c r="T328" s="1549"/>
      <c r="U328" s="1549"/>
      <c r="V328" s="1549"/>
      <c r="W328" s="1549"/>
      <c r="X328" s="1549"/>
      <c r="Y328" s="1549"/>
      <c r="Z328" s="1549"/>
    </row>
    <row r="329" spans="1:26" ht="12.75" customHeight="1" x14ac:dyDescent="0.2">
      <c r="A329" s="1549"/>
      <c r="B329" s="1549"/>
      <c r="C329" s="1549"/>
      <c r="D329" s="1558"/>
      <c r="E329" s="1549"/>
      <c r="F329" s="1549"/>
      <c r="G329" s="1549"/>
      <c r="H329" s="1549"/>
      <c r="I329" s="1549"/>
      <c r="J329" s="1549"/>
      <c r="K329" s="1549"/>
      <c r="L329" s="1549"/>
      <c r="M329" s="1549"/>
      <c r="N329" s="1549"/>
      <c r="O329" s="1549"/>
      <c r="P329" s="1549"/>
      <c r="Q329" s="1549"/>
      <c r="R329" s="1549"/>
      <c r="S329" s="1549"/>
      <c r="T329" s="1549"/>
      <c r="U329" s="1549"/>
      <c r="V329" s="1549"/>
      <c r="W329" s="1549"/>
      <c r="X329" s="1549"/>
      <c r="Y329" s="1549"/>
      <c r="Z329" s="1549"/>
    </row>
    <row r="330" spans="1:26" ht="12.75" customHeight="1" x14ac:dyDescent="0.2">
      <c r="A330" s="1549"/>
      <c r="B330" s="1549"/>
      <c r="C330" s="1549"/>
      <c r="D330" s="1558"/>
      <c r="E330" s="1549"/>
      <c r="F330" s="1549"/>
      <c r="G330" s="1549"/>
      <c r="H330" s="1549"/>
      <c r="I330" s="1549"/>
      <c r="J330" s="1549"/>
      <c r="K330" s="1549"/>
      <c r="L330" s="1549"/>
      <c r="M330" s="1549"/>
      <c r="N330" s="1549"/>
      <c r="O330" s="1549"/>
      <c r="P330" s="1549"/>
      <c r="Q330" s="1549"/>
      <c r="R330" s="1549"/>
      <c r="S330" s="1549"/>
      <c r="T330" s="1549"/>
      <c r="U330" s="1549"/>
      <c r="V330" s="1549"/>
      <c r="W330" s="1549"/>
      <c r="X330" s="1549"/>
      <c r="Y330" s="1549"/>
      <c r="Z330" s="1549"/>
    </row>
    <row r="331" spans="1:26" ht="12.75" customHeight="1" x14ac:dyDescent="0.2">
      <c r="A331" s="1549"/>
      <c r="B331" s="1549"/>
      <c r="C331" s="1549"/>
      <c r="D331" s="1558"/>
      <c r="E331" s="1549"/>
      <c r="F331" s="1549"/>
      <c r="G331" s="1549"/>
      <c r="H331" s="1549"/>
      <c r="I331" s="1549"/>
      <c r="J331" s="1549"/>
      <c r="K331" s="1549"/>
      <c r="L331" s="1549"/>
      <c r="M331" s="1549"/>
      <c r="N331" s="1549"/>
      <c r="O331" s="1549"/>
      <c r="P331" s="1549"/>
      <c r="Q331" s="1549"/>
      <c r="R331" s="1549"/>
      <c r="S331" s="1549"/>
      <c r="T331" s="1549"/>
      <c r="U331" s="1549"/>
      <c r="V331" s="1549"/>
      <c r="W331" s="1549"/>
      <c r="X331" s="1549"/>
      <c r="Y331" s="1549"/>
      <c r="Z331" s="1549"/>
    </row>
    <row r="332" spans="1:26" ht="12.75" customHeight="1" x14ac:dyDescent="0.2">
      <c r="A332" s="1549"/>
      <c r="B332" s="1549"/>
      <c r="C332" s="1549"/>
      <c r="D332" s="1558"/>
      <c r="E332" s="1549"/>
      <c r="F332" s="1549"/>
      <c r="G332" s="1549"/>
      <c r="H332" s="1549"/>
      <c r="I332" s="1549"/>
      <c r="J332" s="1549"/>
      <c r="K332" s="1549"/>
      <c r="L332" s="1549"/>
      <c r="M332" s="1549"/>
      <c r="N332" s="1549"/>
      <c r="O332" s="1549"/>
      <c r="P332" s="1549"/>
      <c r="Q332" s="1549"/>
      <c r="R332" s="1549"/>
      <c r="S332" s="1549"/>
      <c r="T332" s="1549"/>
      <c r="U332" s="1549"/>
      <c r="V332" s="1549"/>
      <c r="W332" s="1549"/>
      <c r="X332" s="1549"/>
      <c r="Y332" s="1549"/>
      <c r="Z332" s="1549"/>
    </row>
    <row r="333" spans="1:26" ht="12.75" customHeight="1" x14ac:dyDescent="0.2">
      <c r="A333" s="1549"/>
      <c r="B333" s="1549"/>
      <c r="C333" s="1549"/>
      <c r="D333" s="1558"/>
      <c r="E333" s="1549"/>
      <c r="F333" s="1549"/>
      <c r="G333" s="1549"/>
      <c r="H333" s="1549"/>
      <c r="I333" s="1549"/>
      <c r="J333" s="1549"/>
      <c r="K333" s="1549"/>
      <c r="L333" s="1549"/>
      <c r="M333" s="1549"/>
      <c r="N333" s="1549"/>
      <c r="O333" s="1549"/>
      <c r="P333" s="1549"/>
      <c r="Q333" s="1549"/>
      <c r="R333" s="1549"/>
      <c r="S333" s="1549"/>
      <c r="T333" s="1549"/>
      <c r="U333" s="1549"/>
      <c r="V333" s="1549"/>
      <c r="W333" s="1549"/>
      <c r="X333" s="1549"/>
      <c r="Y333" s="1549"/>
      <c r="Z333" s="1549"/>
    </row>
    <row r="334" spans="1:26" ht="12.75" customHeight="1" x14ac:dyDescent="0.2">
      <c r="A334" s="1549"/>
      <c r="B334" s="1549"/>
      <c r="C334" s="1549"/>
      <c r="D334" s="1558"/>
      <c r="E334" s="1549"/>
      <c r="F334" s="1549"/>
      <c r="G334" s="1549"/>
      <c r="H334" s="1549"/>
      <c r="I334" s="1549"/>
      <c r="J334" s="1549"/>
      <c r="K334" s="1549"/>
      <c r="L334" s="1549"/>
      <c r="M334" s="1549"/>
      <c r="N334" s="1549"/>
      <c r="O334" s="1549"/>
      <c r="P334" s="1549"/>
      <c r="Q334" s="1549"/>
      <c r="R334" s="1549"/>
      <c r="S334" s="1549"/>
      <c r="T334" s="1549"/>
      <c r="U334" s="1549"/>
      <c r="V334" s="1549"/>
      <c r="W334" s="1549"/>
      <c r="X334" s="1549"/>
      <c r="Y334" s="1549"/>
      <c r="Z334" s="1549"/>
    </row>
    <row r="335" spans="1:26" ht="12.75" customHeight="1" x14ac:dyDescent="0.2">
      <c r="A335" s="1549"/>
      <c r="B335" s="1549"/>
      <c r="C335" s="1549"/>
      <c r="D335" s="1558"/>
      <c r="E335" s="1549"/>
      <c r="F335" s="1549"/>
      <c r="G335" s="1549"/>
      <c r="H335" s="1549"/>
      <c r="I335" s="1549"/>
      <c r="J335" s="1549"/>
      <c r="K335" s="1549"/>
      <c r="L335" s="1549"/>
      <c r="M335" s="1549"/>
      <c r="N335" s="1549"/>
      <c r="O335" s="1549"/>
      <c r="P335" s="1549"/>
      <c r="Q335" s="1549"/>
      <c r="R335" s="1549"/>
      <c r="S335" s="1549"/>
      <c r="T335" s="1549"/>
      <c r="U335" s="1549"/>
      <c r="V335" s="1549"/>
      <c r="W335" s="1549"/>
      <c r="X335" s="1549"/>
      <c r="Y335" s="1549"/>
      <c r="Z335" s="1549"/>
    </row>
    <row r="336" spans="1:26" ht="12.75" customHeight="1" x14ac:dyDescent="0.2">
      <c r="A336" s="1549"/>
      <c r="B336" s="1549"/>
      <c r="C336" s="1549"/>
      <c r="D336" s="1558"/>
      <c r="E336" s="1549"/>
      <c r="F336" s="1549"/>
      <c r="G336" s="1549"/>
      <c r="H336" s="1549"/>
      <c r="I336" s="1549"/>
      <c r="J336" s="1549"/>
      <c r="K336" s="1549"/>
      <c r="L336" s="1549"/>
      <c r="M336" s="1549"/>
      <c r="N336" s="1549"/>
      <c r="O336" s="1549"/>
      <c r="P336" s="1549"/>
      <c r="Q336" s="1549"/>
      <c r="R336" s="1549"/>
      <c r="S336" s="1549"/>
      <c r="T336" s="1549"/>
      <c r="U336" s="1549"/>
      <c r="V336" s="1549"/>
      <c r="W336" s="1549"/>
      <c r="X336" s="1549"/>
      <c r="Y336" s="1549"/>
      <c r="Z336" s="1549"/>
    </row>
    <row r="337" spans="1:26" ht="12.75" customHeight="1" x14ac:dyDescent="0.2">
      <c r="A337" s="1549"/>
      <c r="B337" s="1549"/>
      <c r="C337" s="1549"/>
      <c r="D337" s="1558"/>
      <c r="E337" s="1549"/>
      <c r="F337" s="1549"/>
      <c r="G337" s="1549"/>
      <c r="H337" s="1549"/>
      <c r="I337" s="1549"/>
      <c r="J337" s="1549"/>
      <c r="K337" s="1549"/>
      <c r="L337" s="1549"/>
      <c r="M337" s="1549"/>
      <c r="N337" s="1549"/>
      <c r="O337" s="1549"/>
      <c r="P337" s="1549"/>
      <c r="Q337" s="1549"/>
      <c r="R337" s="1549"/>
      <c r="S337" s="1549"/>
      <c r="T337" s="1549"/>
      <c r="U337" s="1549"/>
      <c r="V337" s="1549"/>
      <c r="W337" s="1549"/>
      <c r="X337" s="1549"/>
      <c r="Y337" s="1549"/>
      <c r="Z337" s="1549"/>
    </row>
    <row r="338" spans="1:26" ht="12.75" customHeight="1" x14ac:dyDescent="0.2">
      <c r="A338" s="1549"/>
      <c r="B338" s="1549"/>
      <c r="C338" s="1549"/>
      <c r="D338" s="1558"/>
      <c r="E338" s="1549"/>
      <c r="F338" s="1549"/>
      <c r="G338" s="1549"/>
      <c r="H338" s="1549"/>
      <c r="I338" s="1549"/>
      <c r="J338" s="1549"/>
      <c r="K338" s="1549"/>
      <c r="L338" s="1549"/>
      <c r="M338" s="1549"/>
      <c r="N338" s="1549"/>
      <c r="O338" s="1549"/>
      <c r="P338" s="1549"/>
      <c r="Q338" s="1549"/>
      <c r="R338" s="1549"/>
      <c r="S338" s="1549"/>
      <c r="T338" s="1549"/>
      <c r="U338" s="1549"/>
      <c r="V338" s="1549"/>
      <c r="W338" s="1549"/>
      <c r="X338" s="1549"/>
      <c r="Y338" s="1549"/>
      <c r="Z338" s="1549"/>
    </row>
    <row r="339" spans="1:26" ht="12.75" customHeight="1" x14ac:dyDescent="0.2">
      <c r="A339" s="1549"/>
      <c r="B339" s="1549"/>
      <c r="C339" s="1549"/>
      <c r="D339" s="1558"/>
      <c r="E339" s="1549"/>
      <c r="F339" s="1549"/>
      <c r="G339" s="1549"/>
      <c r="H339" s="1549"/>
      <c r="I339" s="1549"/>
      <c r="J339" s="1549"/>
      <c r="K339" s="1549"/>
      <c r="L339" s="1549"/>
      <c r="M339" s="1549"/>
      <c r="N339" s="1549"/>
      <c r="O339" s="1549"/>
      <c r="P339" s="1549"/>
      <c r="Q339" s="1549"/>
      <c r="R339" s="1549"/>
      <c r="S339" s="1549"/>
      <c r="T339" s="1549"/>
      <c r="U339" s="1549"/>
      <c r="V339" s="1549"/>
      <c r="W339" s="1549"/>
      <c r="X339" s="1549"/>
      <c r="Y339" s="1549"/>
      <c r="Z339" s="1549"/>
    </row>
    <row r="340" spans="1:26" ht="12.75" customHeight="1" x14ac:dyDescent="0.2">
      <c r="A340" s="1549"/>
      <c r="B340" s="1549"/>
      <c r="C340" s="1549"/>
      <c r="D340" s="1558"/>
      <c r="E340" s="1549"/>
      <c r="F340" s="1549"/>
      <c r="G340" s="1549"/>
      <c r="H340" s="1549"/>
      <c r="I340" s="1549"/>
      <c r="J340" s="1549"/>
      <c r="K340" s="1549"/>
      <c r="L340" s="1549"/>
      <c r="M340" s="1549"/>
      <c r="N340" s="1549"/>
      <c r="O340" s="1549"/>
      <c r="P340" s="1549"/>
      <c r="Q340" s="1549"/>
      <c r="R340" s="1549"/>
      <c r="S340" s="1549"/>
      <c r="T340" s="1549"/>
      <c r="U340" s="1549"/>
      <c r="V340" s="1549"/>
      <c r="W340" s="1549"/>
      <c r="X340" s="1549"/>
      <c r="Y340" s="1549"/>
      <c r="Z340" s="1549"/>
    </row>
    <row r="341" spans="1:26" ht="12.75" customHeight="1" x14ac:dyDescent="0.2">
      <c r="A341" s="1549"/>
      <c r="B341" s="1549"/>
      <c r="C341" s="1549"/>
      <c r="D341" s="1558"/>
      <c r="E341" s="1549"/>
      <c r="F341" s="1549"/>
      <c r="G341" s="1549"/>
      <c r="H341" s="1549"/>
      <c r="I341" s="1549"/>
      <c r="J341" s="1549"/>
      <c r="K341" s="1549"/>
      <c r="L341" s="1549"/>
      <c r="M341" s="1549"/>
      <c r="N341" s="1549"/>
      <c r="O341" s="1549"/>
      <c r="P341" s="1549"/>
      <c r="Q341" s="1549"/>
      <c r="R341" s="1549"/>
      <c r="S341" s="1549"/>
      <c r="T341" s="1549"/>
      <c r="U341" s="1549"/>
      <c r="V341" s="1549"/>
      <c r="W341" s="1549"/>
      <c r="X341" s="1549"/>
      <c r="Y341" s="1549"/>
      <c r="Z341" s="1549"/>
    </row>
    <row r="342" spans="1:26" ht="12.75" customHeight="1" x14ac:dyDescent="0.2">
      <c r="A342" s="1549"/>
      <c r="B342" s="1549"/>
      <c r="C342" s="1549"/>
      <c r="D342" s="1558"/>
      <c r="E342" s="1549"/>
      <c r="F342" s="1549"/>
      <c r="G342" s="1549"/>
      <c r="H342" s="1549"/>
      <c r="I342" s="1549"/>
      <c r="J342" s="1549"/>
      <c r="K342" s="1549"/>
      <c r="L342" s="1549"/>
      <c r="M342" s="1549"/>
      <c r="N342" s="1549"/>
      <c r="O342" s="1549"/>
      <c r="P342" s="1549"/>
      <c r="Q342" s="1549"/>
      <c r="R342" s="1549"/>
      <c r="S342" s="1549"/>
      <c r="T342" s="1549"/>
      <c r="U342" s="1549"/>
      <c r="V342" s="1549"/>
      <c r="W342" s="1549"/>
      <c r="X342" s="1549"/>
      <c r="Y342" s="1549"/>
      <c r="Z342" s="1549"/>
    </row>
    <row r="343" spans="1:26" ht="12.75" customHeight="1" x14ac:dyDescent="0.2">
      <c r="A343" s="1549"/>
      <c r="B343" s="1549"/>
      <c r="C343" s="1549"/>
      <c r="D343" s="1558"/>
      <c r="E343" s="1549"/>
      <c r="F343" s="1549"/>
      <c r="G343" s="1549"/>
      <c r="H343" s="1549"/>
      <c r="I343" s="1549"/>
      <c r="J343" s="1549"/>
      <c r="K343" s="1549"/>
      <c r="L343" s="1549"/>
      <c r="M343" s="1549"/>
      <c r="N343" s="1549"/>
      <c r="O343" s="1549"/>
      <c r="P343" s="1549"/>
      <c r="Q343" s="1549"/>
      <c r="R343" s="1549"/>
      <c r="S343" s="1549"/>
      <c r="T343" s="1549"/>
      <c r="U343" s="1549"/>
      <c r="V343" s="1549"/>
      <c r="W343" s="1549"/>
      <c r="X343" s="1549"/>
      <c r="Y343" s="1549"/>
      <c r="Z343" s="1549"/>
    </row>
    <row r="344" spans="1:26" ht="12.75" customHeight="1" x14ac:dyDescent="0.2">
      <c r="A344" s="1549"/>
      <c r="B344" s="1549"/>
      <c r="C344" s="1549"/>
      <c r="D344" s="1558"/>
      <c r="E344" s="1549"/>
      <c r="F344" s="1549"/>
      <c r="G344" s="1549"/>
      <c r="H344" s="1549"/>
      <c r="I344" s="1549"/>
      <c r="J344" s="1549"/>
      <c r="K344" s="1549"/>
      <c r="L344" s="1549"/>
      <c r="M344" s="1549"/>
      <c r="N344" s="1549"/>
      <c r="O344" s="1549"/>
      <c r="P344" s="1549"/>
      <c r="Q344" s="1549"/>
      <c r="R344" s="1549"/>
      <c r="S344" s="1549"/>
      <c r="T344" s="1549"/>
      <c r="U344" s="1549"/>
      <c r="V344" s="1549"/>
      <c r="W344" s="1549"/>
      <c r="X344" s="1549"/>
      <c r="Y344" s="1549"/>
      <c r="Z344" s="1549"/>
    </row>
    <row r="345" spans="1:26" ht="12.75" customHeight="1" x14ac:dyDescent="0.2">
      <c r="A345" s="1549"/>
      <c r="B345" s="1549"/>
      <c r="C345" s="1549"/>
      <c r="D345" s="1558"/>
      <c r="E345" s="1549"/>
      <c r="F345" s="1549"/>
      <c r="G345" s="1549"/>
      <c r="H345" s="1549"/>
      <c r="I345" s="1549"/>
      <c r="J345" s="1549"/>
      <c r="K345" s="1549"/>
      <c r="L345" s="1549"/>
      <c r="M345" s="1549"/>
      <c r="N345" s="1549"/>
      <c r="O345" s="1549"/>
      <c r="P345" s="1549"/>
      <c r="Q345" s="1549"/>
      <c r="R345" s="1549"/>
      <c r="S345" s="1549"/>
      <c r="T345" s="1549"/>
      <c r="U345" s="1549"/>
      <c r="V345" s="1549"/>
      <c r="W345" s="1549"/>
      <c r="X345" s="1549"/>
      <c r="Y345" s="1549"/>
      <c r="Z345" s="1549"/>
    </row>
    <row r="346" spans="1:26" ht="12.75" customHeight="1" x14ac:dyDescent="0.2">
      <c r="A346" s="1549"/>
      <c r="B346" s="1549"/>
      <c r="C346" s="1549"/>
      <c r="D346" s="1558"/>
      <c r="E346" s="1549"/>
      <c r="F346" s="1549"/>
      <c r="G346" s="1549"/>
      <c r="H346" s="1549"/>
      <c r="I346" s="1549"/>
      <c r="J346" s="1549"/>
      <c r="K346" s="1549"/>
      <c r="L346" s="1549"/>
      <c r="M346" s="1549"/>
      <c r="N346" s="1549"/>
      <c r="O346" s="1549"/>
      <c r="P346" s="1549"/>
      <c r="Q346" s="1549"/>
      <c r="R346" s="1549"/>
      <c r="S346" s="1549"/>
      <c r="T346" s="1549"/>
      <c r="U346" s="1549"/>
      <c r="V346" s="1549"/>
      <c r="W346" s="1549"/>
      <c r="X346" s="1549"/>
      <c r="Y346" s="1549"/>
      <c r="Z346" s="1549"/>
    </row>
    <row r="347" spans="1:26" ht="12.75" customHeight="1" x14ac:dyDescent="0.2">
      <c r="A347" s="1549"/>
      <c r="B347" s="1549"/>
      <c r="C347" s="1549"/>
      <c r="D347" s="1558"/>
      <c r="E347" s="1549"/>
      <c r="F347" s="1549"/>
      <c r="G347" s="1549"/>
      <c r="H347" s="1549"/>
      <c r="I347" s="1549"/>
      <c r="J347" s="1549"/>
      <c r="K347" s="1549"/>
      <c r="L347" s="1549"/>
      <c r="M347" s="1549"/>
      <c r="N347" s="1549"/>
      <c r="O347" s="1549"/>
      <c r="P347" s="1549"/>
      <c r="Q347" s="1549"/>
      <c r="R347" s="1549"/>
      <c r="S347" s="1549"/>
      <c r="T347" s="1549"/>
      <c r="U347" s="1549"/>
      <c r="V347" s="1549"/>
      <c r="W347" s="1549"/>
      <c r="X347" s="1549"/>
      <c r="Y347" s="1549"/>
      <c r="Z347" s="1549"/>
    </row>
    <row r="348" spans="1:26" ht="12.75" customHeight="1" x14ac:dyDescent="0.2">
      <c r="A348" s="1549"/>
      <c r="B348" s="1549"/>
      <c r="C348" s="1549"/>
      <c r="D348" s="1558"/>
      <c r="E348" s="1549"/>
      <c r="F348" s="1549"/>
      <c r="G348" s="1549"/>
      <c r="H348" s="1549"/>
      <c r="I348" s="1549"/>
      <c r="J348" s="1549"/>
      <c r="K348" s="1549"/>
      <c r="L348" s="1549"/>
      <c r="M348" s="1549"/>
      <c r="N348" s="1549"/>
      <c r="O348" s="1549"/>
      <c r="P348" s="1549"/>
      <c r="Q348" s="1549"/>
      <c r="R348" s="1549"/>
      <c r="S348" s="1549"/>
      <c r="T348" s="1549"/>
      <c r="U348" s="1549"/>
      <c r="V348" s="1549"/>
      <c r="W348" s="1549"/>
      <c r="X348" s="1549"/>
      <c r="Y348" s="1549"/>
      <c r="Z348" s="1549"/>
    </row>
    <row r="349" spans="1:26" ht="12.75" customHeight="1" x14ac:dyDescent="0.2">
      <c r="A349" s="1549"/>
      <c r="B349" s="1549"/>
      <c r="C349" s="1549"/>
      <c r="D349" s="1558"/>
      <c r="E349" s="1549"/>
      <c r="F349" s="1549"/>
      <c r="G349" s="1549"/>
      <c r="H349" s="1549"/>
      <c r="I349" s="1549"/>
      <c r="J349" s="1549"/>
      <c r="K349" s="1549"/>
      <c r="L349" s="1549"/>
      <c r="M349" s="1549"/>
      <c r="N349" s="1549"/>
      <c r="O349" s="1549"/>
      <c r="P349" s="1549"/>
      <c r="Q349" s="1549"/>
      <c r="R349" s="1549"/>
      <c r="S349" s="1549"/>
      <c r="T349" s="1549"/>
      <c r="U349" s="1549"/>
      <c r="V349" s="1549"/>
      <c r="W349" s="1549"/>
      <c r="X349" s="1549"/>
      <c r="Y349" s="1549"/>
      <c r="Z349" s="1549"/>
    </row>
    <row r="350" spans="1:26" ht="12.75" customHeight="1" x14ac:dyDescent="0.2">
      <c r="A350" s="1549"/>
      <c r="B350" s="1549"/>
      <c r="C350" s="1549"/>
      <c r="D350" s="1558"/>
      <c r="E350" s="1549"/>
      <c r="F350" s="1549"/>
      <c r="G350" s="1549"/>
      <c r="H350" s="1549"/>
      <c r="I350" s="1549"/>
      <c r="J350" s="1549"/>
      <c r="K350" s="1549"/>
      <c r="L350" s="1549"/>
      <c r="M350" s="1549"/>
      <c r="N350" s="1549"/>
      <c r="O350" s="1549"/>
      <c r="P350" s="1549"/>
      <c r="Q350" s="1549"/>
      <c r="R350" s="1549"/>
      <c r="S350" s="1549"/>
      <c r="T350" s="1549"/>
      <c r="U350" s="1549"/>
      <c r="V350" s="1549"/>
      <c r="W350" s="1549"/>
      <c r="X350" s="1549"/>
      <c r="Y350" s="1549"/>
      <c r="Z350" s="1549"/>
    </row>
    <row r="351" spans="1:26" ht="12.75" customHeight="1" x14ac:dyDescent="0.2">
      <c r="A351" s="1549"/>
      <c r="B351" s="1549"/>
      <c r="C351" s="1549"/>
      <c r="D351" s="1558"/>
      <c r="E351" s="1549"/>
      <c r="F351" s="1549"/>
      <c r="G351" s="1549"/>
      <c r="H351" s="1549"/>
      <c r="I351" s="1549"/>
      <c r="J351" s="1549"/>
      <c r="K351" s="1549"/>
      <c r="L351" s="1549"/>
      <c r="M351" s="1549"/>
      <c r="N351" s="1549"/>
      <c r="O351" s="1549"/>
      <c r="P351" s="1549"/>
      <c r="Q351" s="1549"/>
      <c r="R351" s="1549"/>
      <c r="S351" s="1549"/>
      <c r="T351" s="1549"/>
      <c r="U351" s="1549"/>
      <c r="V351" s="1549"/>
      <c r="W351" s="1549"/>
      <c r="X351" s="1549"/>
      <c r="Y351" s="1549"/>
      <c r="Z351" s="1549"/>
    </row>
    <row r="352" spans="1:26" ht="12.75" customHeight="1" x14ac:dyDescent="0.2">
      <c r="A352" s="1549"/>
      <c r="B352" s="1549"/>
      <c r="C352" s="1549"/>
      <c r="D352" s="1558"/>
      <c r="E352" s="1549"/>
      <c r="F352" s="1549"/>
      <c r="G352" s="1549"/>
      <c r="H352" s="1549"/>
      <c r="I352" s="1549"/>
      <c r="J352" s="1549"/>
      <c r="K352" s="1549"/>
      <c r="L352" s="1549"/>
      <c r="M352" s="1549"/>
      <c r="N352" s="1549"/>
      <c r="O352" s="1549"/>
      <c r="P352" s="1549"/>
      <c r="Q352" s="1549"/>
      <c r="R352" s="1549"/>
      <c r="S352" s="1549"/>
      <c r="T352" s="1549"/>
      <c r="U352" s="1549"/>
      <c r="V352" s="1549"/>
      <c r="W352" s="1549"/>
      <c r="X352" s="1549"/>
      <c r="Y352" s="1549"/>
      <c r="Z352" s="1549"/>
    </row>
    <row r="353" spans="1:26" ht="12.75" customHeight="1" x14ac:dyDescent="0.2">
      <c r="A353" s="1549"/>
      <c r="B353" s="1549"/>
      <c r="C353" s="1549"/>
      <c r="D353" s="1558"/>
      <c r="E353" s="1549"/>
      <c r="F353" s="1549"/>
      <c r="G353" s="1549"/>
      <c r="H353" s="1549"/>
      <c r="I353" s="1549"/>
      <c r="J353" s="1549"/>
      <c r="K353" s="1549"/>
      <c r="L353" s="1549"/>
      <c r="M353" s="1549"/>
      <c r="N353" s="1549"/>
      <c r="O353" s="1549"/>
      <c r="P353" s="1549"/>
      <c r="Q353" s="1549"/>
      <c r="R353" s="1549"/>
      <c r="S353" s="1549"/>
      <c r="T353" s="1549"/>
      <c r="U353" s="1549"/>
      <c r="V353" s="1549"/>
      <c r="W353" s="1549"/>
      <c r="X353" s="1549"/>
      <c r="Y353" s="1549"/>
      <c r="Z353" s="1549"/>
    </row>
    <row r="354" spans="1:26" ht="12.75" customHeight="1" x14ac:dyDescent="0.2">
      <c r="A354" s="1549"/>
      <c r="B354" s="1549"/>
      <c r="C354" s="1549"/>
      <c r="D354" s="1558"/>
      <c r="E354" s="1549"/>
      <c r="F354" s="1549"/>
      <c r="G354" s="1549"/>
      <c r="H354" s="1549"/>
      <c r="I354" s="1549"/>
      <c r="J354" s="1549"/>
      <c r="K354" s="1549"/>
      <c r="L354" s="1549"/>
      <c r="M354" s="1549"/>
      <c r="N354" s="1549"/>
      <c r="O354" s="1549"/>
      <c r="P354" s="1549"/>
      <c r="Q354" s="1549"/>
      <c r="R354" s="1549"/>
      <c r="S354" s="1549"/>
      <c r="T354" s="1549"/>
      <c r="U354" s="1549"/>
      <c r="V354" s="1549"/>
      <c r="W354" s="1549"/>
      <c r="X354" s="1549"/>
      <c r="Y354" s="1549"/>
      <c r="Z354" s="1549"/>
    </row>
    <row r="355" spans="1:26" ht="12.75" customHeight="1" x14ac:dyDescent="0.2">
      <c r="A355" s="1549"/>
      <c r="B355" s="1549"/>
      <c r="C355" s="1549"/>
      <c r="D355" s="1558"/>
      <c r="E355" s="1549"/>
      <c r="F355" s="1549"/>
      <c r="G355" s="1549"/>
      <c r="H355" s="1549"/>
      <c r="I355" s="1549"/>
      <c r="J355" s="1549"/>
      <c r="K355" s="1549"/>
      <c r="L355" s="1549"/>
      <c r="M355" s="1549"/>
      <c r="N355" s="1549"/>
      <c r="O355" s="1549"/>
      <c r="P355" s="1549"/>
      <c r="Q355" s="1549"/>
      <c r="R355" s="1549"/>
      <c r="S355" s="1549"/>
      <c r="T355" s="1549"/>
      <c r="U355" s="1549"/>
      <c r="V355" s="1549"/>
      <c r="W355" s="1549"/>
      <c r="X355" s="1549"/>
      <c r="Y355" s="1549"/>
      <c r="Z355" s="1549"/>
    </row>
    <row r="356" spans="1:26" ht="12.75" customHeight="1" x14ac:dyDescent="0.2">
      <c r="A356" s="1549"/>
      <c r="B356" s="1549"/>
      <c r="C356" s="1549"/>
      <c r="D356" s="1558"/>
      <c r="E356" s="1549"/>
      <c r="F356" s="1549"/>
      <c r="G356" s="1549"/>
      <c r="H356" s="1549"/>
      <c r="I356" s="1549"/>
      <c r="J356" s="1549"/>
      <c r="K356" s="1549"/>
      <c r="L356" s="1549"/>
      <c r="M356" s="1549"/>
      <c r="N356" s="1549"/>
      <c r="O356" s="1549"/>
      <c r="P356" s="1549"/>
      <c r="Q356" s="1549"/>
      <c r="R356" s="1549"/>
      <c r="S356" s="1549"/>
      <c r="T356" s="1549"/>
      <c r="U356" s="1549"/>
      <c r="V356" s="1549"/>
      <c r="W356" s="1549"/>
      <c r="X356" s="1549"/>
      <c r="Y356" s="1549"/>
      <c r="Z356" s="1549"/>
    </row>
    <row r="357" spans="1:26" ht="12.75" customHeight="1" x14ac:dyDescent="0.2">
      <c r="A357" s="1549"/>
      <c r="B357" s="1549"/>
      <c r="C357" s="1549"/>
      <c r="D357" s="1558"/>
      <c r="E357" s="1549"/>
      <c r="F357" s="1549"/>
      <c r="G357" s="1549"/>
      <c r="H357" s="1549"/>
      <c r="I357" s="1549"/>
      <c r="J357" s="1549"/>
      <c r="K357" s="1549"/>
      <c r="L357" s="1549"/>
      <c r="M357" s="1549"/>
      <c r="N357" s="1549"/>
      <c r="O357" s="1549"/>
      <c r="P357" s="1549"/>
      <c r="Q357" s="1549"/>
      <c r="R357" s="1549"/>
      <c r="S357" s="1549"/>
      <c r="T357" s="1549"/>
      <c r="U357" s="1549"/>
      <c r="V357" s="1549"/>
      <c r="W357" s="1549"/>
      <c r="X357" s="1549"/>
      <c r="Y357" s="1549"/>
      <c r="Z357" s="1549"/>
    </row>
    <row r="358" spans="1:26" ht="12.75" customHeight="1" x14ac:dyDescent="0.2">
      <c r="A358" s="1549"/>
      <c r="B358" s="1549"/>
      <c r="C358" s="1549"/>
      <c r="D358" s="1558"/>
      <c r="E358" s="1549"/>
      <c r="F358" s="1549"/>
      <c r="G358" s="1549"/>
      <c r="H358" s="1549"/>
      <c r="I358" s="1549"/>
      <c r="J358" s="1549"/>
      <c r="K358" s="1549"/>
      <c r="L358" s="1549"/>
      <c r="M358" s="1549"/>
      <c r="N358" s="1549"/>
      <c r="O358" s="1549"/>
      <c r="P358" s="1549"/>
      <c r="Q358" s="1549"/>
      <c r="R358" s="1549"/>
      <c r="S358" s="1549"/>
      <c r="T358" s="1549"/>
      <c r="U358" s="1549"/>
      <c r="V358" s="1549"/>
      <c r="W358" s="1549"/>
      <c r="X358" s="1549"/>
      <c r="Y358" s="1549"/>
      <c r="Z358" s="1549"/>
    </row>
    <row r="359" spans="1:26" ht="12.75" customHeight="1" x14ac:dyDescent="0.2">
      <c r="A359" s="1549"/>
      <c r="B359" s="1549"/>
      <c r="C359" s="1549"/>
      <c r="D359" s="1558"/>
      <c r="E359" s="1549"/>
      <c r="F359" s="1549"/>
      <c r="G359" s="1549"/>
      <c r="H359" s="1549"/>
      <c r="I359" s="1549"/>
      <c r="J359" s="1549"/>
      <c r="K359" s="1549"/>
      <c r="L359" s="1549"/>
      <c r="M359" s="1549"/>
      <c r="N359" s="1549"/>
      <c r="O359" s="1549"/>
      <c r="P359" s="1549"/>
      <c r="Q359" s="1549"/>
      <c r="R359" s="1549"/>
      <c r="S359" s="1549"/>
      <c r="T359" s="1549"/>
      <c r="U359" s="1549"/>
      <c r="V359" s="1549"/>
      <c r="W359" s="1549"/>
      <c r="X359" s="1549"/>
      <c r="Y359" s="1549"/>
      <c r="Z359" s="1549"/>
    </row>
    <row r="360" spans="1:26" ht="12.75" customHeight="1" x14ac:dyDescent="0.2">
      <c r="A360" s="1549"/>
      <c r="B360" s="1549"/>
      <c r="C360" s="1549"/>
      <c r="D360" s="1558"/>
      <c r="E360" s="1549"/>
      <c r="F360" s="1549"/>
      <c r="G360" s="1549"/>
      <c r="H360" s="1549"/>
      <c r="I360" s="1549"/>
      <c r="J360" s="1549"/>
      <c r="K360" s="1549"/>
      <c r="L360" s="1549"/>
      <c r="M360" s="1549"/>
      <c r="N360" s="1549"/>
      <c r="O360" s="1549"/>
      <c r="P360" s="1549"/>
      <c r="Q360" s="1549"/>
      <c r="R360" s="1549"/>
      <c r="S360" s="1549"/>
      <c r="T360" s="1549"/>
      <c r="U360" s="1549"/>
      <c r="V360" s="1549"/>
      <c r="W360" s="1549"/>
      <c r="X360" s="1549"/>
      <c r="Y360" s="1549"/>
      <c r="Z360" s="1549"/>
    </row>
    <row r="361" spans="1:26" ht="12.75" customHeight="1" x14ac:dyDescent="0.2">
      <c r="A361" s="1549"/>
      <c r="B361" s="1549"/>
      <c r="C361" s="1549"/>
      <c r="D361" s="1558"/>
      <c r="E361" s="1549"/>
      <c r="F361" s="1549"/>
      <c r="G361" s="1549"/>
      <c r="H361" s="1549"/>
      <c r="I361" s="1549"/>
      <c r="J361" s="1549"/>
      <c r="K361" s="1549"/>
      <c r="L361" s="1549"/>
      <c r="M361" s="1549"/>
      <c r="N361" s="1549"/>
      <c r="O361" s="1549"/>
      <c r="P361" s="1549"/>
      <c r="Q361" s="1549"/>
      <c r="R361" s="1549"/>
      <c r="S361" s="1549"/>
      <c r="T361" s="1549"/>
      <c r="U361" s="1549"/>
      <c r="V361" s="1549"/>
      <c r="W361" s="1549"/>
      <c r="X361" s="1549"/>
      <c r="Y361" s="1549"/>
      <c r="Z361" s="1549"/>
    </row>
    <row r="362" spans="1:26" ht="12.75" customHeight="1" x14ac:dyDescent="0.2">
      <c r="A362" s="1549"/>
      <c r="B362" s="1549"/>
      <c r="C362" s="1549"/>
      <c r="D362" s="1558"/>
      <c r="E362" s="1549"/>
      <c r="F362" s="1549"/>
      <c r="G362" s="1549"/>
      <c r="H362" s="1549"/>
      <c r="I362" s="1549"/>
      <c r="J362" s="1549"/>
      <c r="K362" s="1549"/>
      <c r="L362" s="1549"/>
      <c r="M362" s="1549"/>
      <c r="N362" s="1549"/>
      <c r="O362" s="1549"/>
      <c r="P362" s="1549"/>
      <c r="Q362" s="1549"/>
      <c r="R362" s="1549"/>
      <c r="S362" s="1549"/>
      <c r="T362" s="1549"/>
      <c r="U362" s="1549"/>
      <c r="V362" s="1549"/>
      <c r="W362" s="1549"/>
      <c r="X362" s="1549"/>
      <c r="Y362" s="1549"/>
      <c r="Z362" s="1549"/>
    </row>
    <row r="363" spans="1:26" ht="12.75" customHeight="1" x14ac:dyDescent="0.2">
      <c r="A363" s="1549"/>
      <c r="B363" s="1549"/>
      <c r="C363" s="1549"/>
      <c r="D363" s="1558"/>
      <c r="E363" s="1549"/>
      <c r="F363" s="1549"/>
      <c r="G363" s="1549"/>
      <c r="H363" s="1549"/>
      <c r="I363" s="1549"/>
      <c r="J363" s="1549"/>
      <c r="K363" s="1549"/>
      <c r="L363" s="1549"/>
      <c r="M363" s="1549"/>
      <c r="N363" s="1549"/>
      <c r="O363" s="1549"/>
      <c r="P363" s="1549"/>
      <c r="Q363" s="1549"/>
      <c r="R363" s="1549"/>
      <c r="S363" s="1549"/>
      <c r="T363" s="1549"/>
      <c r="U363" s="1549"/>
      <c r="V363" s="1549"/>
      <c r="W363" s="1549"/>
      <c r="X363" s="1549"/>
      <c r="Y363" s="1549"/>
      <c r="Z363" s="1549"/>
    </row>
    <row r="364" spans="1:26" ht="12.75" customHeight="1" x14ac:dyDescent="0.2">
      <c r="A364" s="1549"/>
      <c r="B364" s="1549"/>
      <c r="C364" s="1549"/>
      <c r="D364" s="1558"/>
      <c r="E364" s="1549"/>
      <c r="F364" s="1549"/>
      <c r="G364" s="1549"/>
      <c r="H364" s="1549"/>
      <c r="I364" s="1549"/>
      <c r="J364" s="1549"/>
      <c r="K364" s="1549"/>
      <c r="L364" s="1549"/>
      <c r="M364" s="1549"/>
      <c r="N364" s="1549"/>
      <c r="O364" s="1549"/>
      <c r="P364" s="1549"/>
      <c r="Q364" s="1549"/>
      <c r="R364" s="1549"/>
      <c r="S364" s="1549"/>
      <c r="T364" s="1549"/>
      <c r="U364" s="1549"/>
      <c r="V364" s="1549"/>
      <c r="W364" s="1549"/>
      <c r="X364" s="1549"/>
      <c r="Y364" s="1549"/>
      <c r="Z364" s="1549"/>
    </row>
    <row r="365" spans="1:26" ht="12.75" customHeight="1" x14ac:dyDescent="0.2">
      <c r="A365" s="1549"/>
      <c r="B365" s="1549"/>
      <c r="C365" s="1549"/>
      <c r="D365" s="1558"/>
      <c r="E365" s="1549"/>
      <c r="F365" s="1549"/>
      <c r="G365" s="1549"/>
      <c r="H365" s="1549"/>
      <c r="I365" s="1549"/>
      <c r="J365" s="1549"/>
      <c r="K365" s="1549"/>
      <c r="L365" s="1549"/>
      <c r="M365" s="1549"/>
      <c r="N365" s="1549"/>
      <c r="O365" s="1549"/>
      <c r="P365" s="1549"/>
      <c r="Q365" s="1549"/>
      <c r="R365" s="1549"/>
      <c r="S365" s="1549"/>
      <c r="T365" s="1549"/>
      <c r="U365" s="1549"/>
      <c r="V365" s="1549"/>
      <c r="W365" s="1549"/>
      <c r="X365" s="1549"/>
      <c r="Y365" s="1549"/>
      <c r="Z365" s="1549"/>
    </row>
    <row r="366" spans="1:26" ht="12.75" customHeight="1" x14ac:dyDescent="0.2">
      <c r="A366" s="1549"/>
      <c r="B366" s="1549"/>
      <c r="C366" s="1549"/>
      <c r="D366" s="1558"/>
      <c r="E366" s="1549"/>
      <c r="F366" s="1549"/>
      <c r="G366" s="1549"/>
      <c r="H366" s="1549"/>
      <c r="I366" s="1549"/>
      <c r="J366" s="1549"/>
      <c r="K366" s="1549"/>
      <c r="L366" s="1549"/>
      <c r="M366" s="1549"/>
      <c r="N366" s="1549"/>
      <c r="O366" s="1549"/>
      <c r="P366" s="1549"/>
      <c r="Q366" s="1549"/>
      <c r="R366" s="1549"/>
      <c r="S366" s="1549"/>
      <c r="T366" s="1549"/>
      <c r="U366" s="1549"/>
      <c r="V366" s="1549"/>
      <c r="W366" s="1549"/>
      <c r="X366" s="1549"/>
      <c r="Y366" s="1549"/>
      <c r="Z366" s="1549"/>
    </row>
    <row r="367" spans="1:26" ht="12.75" customHeight="1" x14ac:dyDescent="0.2">
      <c r="A367" s="1549"/>
      <c r="B367" s="1549"/>
      <c r="C367" s="1549"/>
      <c r="D367" s="1558"/>
      <c r="E367" s="1549"/>
      <c r="F367" s="1549"/>
      <c r="G367" s="1549"/>
      <c r="H367" s="1549"/>
      <c r="I367" s="1549"/>
      <c r="J367" s="1549"/>
      <c r="K367" s="1549"/>
      <c r="L367" s="1549"/>
      <c r="M367" s="1549"/>
      <c r="N367" s="1549"/>
      <c r="O367" s="1549"/>
      <c r="P367" s="1549"/>
      <c r="Q367" s="1549"/>
      <c r="R367" s="1549"/>
      <c r="S367" s="1549"/>
      <c r="T367" s="1549"/>
      <c r="U367" s="1549"/>
      <c r="V367" s="1549"/>
      <c r="W367" s="1549"/>
      <c r="X367" s="1549"/>
      <c r="Y367" s="1549"/>
      <c r="Z367" s="1549"/>
    </row>
    <row r="368" spans="1:26" ht="12.75" customHeight="1" x14ac:dyDescent="0.2">
      <c r="A368" s="1549"/>
      <c r="B368" s="1549"/>
      <c r="C368" s="1549"/>
      <c r="D368" s="1558"/>
      <c r="E368" s="1549"/>
      <c r="F368" s="1549"/>
      <c r="G368" s="1549"/>
      <c r="H368" s="1549"/>
      <c r="I368" s="1549"/>
      <c r="J368" s="1549"/>
      <c r="K368" s="1549"/>
      <c r="L368" s="1549"/>
      <c r="M368" s="1549"/>
      <c r="N368" s="1549"/>
      <c r="O368" s="1549"/>
      <c r="P368" s="1549"/>
      <c r="Q368" s="1549"/>
      <c r="R368" s="1549"/>
      <c r="S368" s="1549"/>
      <c r="T368" s="1549"/>
      <c r="U368" s="1549"/>
      <c r="V368" s="1549"/>
      <c r="W368" s="1549"/>
      <c r="X368" s="1549"/>
      <c r="Y368" s="1549"/>
      <c r="Z368" s="1549"/>
    </row>
    <row r="369" spans="1:26" ht="12.75" customHeight="1" x14ac:dyDescent="0.2">
      <c r="A369" s="1549"/>
      <c r="B369" s="1549"/>
      <c r="C369" s="1549"/>
      <c r="D369" s="1558"/>
      <c r="E369" s="1549"/>
      <c r="F369" s="1549"/>
      <c r="G369" s="1549"/>
      <c r="H369" s="1549"/>
      <c r="I369" s="1549"/>
      <c r="J369" s="1549"/>
      <c r="K369" s="1549"/>
      <c r="L369" s="1549"/>
      <c r="M369" s="1549"/>
      <c r="N369" s="1549"/>
      <c r="O369" s="1549"/>
      <c r="P369" s="1549"/>
      <c r="Q369" s="1549"/>
      <c r="R369" s="1549"/>
      <c r="S369" s="1549"/>
      <c r="T369" s="1549"/>
      <c r="U369" s="1549"/>
      <c r="V369" s="1549"/>
      <c r="W369" s="1549"/>
      <c r="X369" s="1549"/>
      <c r="Y369" s="1549"/>
      <c r="Z369" s="1549"/>
    </row>
    <row r="370" spans="1:26" ht="12.75" customHeight="1" x14ac:dyDescent="0.2">
      <c r="A370" s="1549"/>
      <c r="B370" s="1549"/>
      <c r="C370" s="1549"/>
      <c r="D370" s="1558"/>
      <c r="E370" s="1549"/>
      <c r="F370" s="1549"/>
      <c r="G370" s="1549"/>
      <c r="H370" s="1549"/>
      <c r="I370" s="1549"/>
      <c r="J370" s="1549"/>
      <c r="K370" s="1549"/>
      <c r="L370" s="1549"/>
      <c r="M370" s="1549"/>
      <c r="N370" s="1549"/>
      <c r="O370" s="1549"/>
      <c r="P370" s="1549"/>
      <c r="Q370" s="1549"/>
      <c r="R370" s="1549"/>
      <c r="S370" s="1549"/>
      <c r="T370" s="1549"/>
      <c r="U370" s="1549"/>
      <c r="V370" s="1549"/>
      <c r="W370" s="1549"/>
      <c r="X370" s="1549"/>
      <c r="Y370" s="1549"/>
      <c r="Z370" s="1549"/>
    </row>
    <row r="371" spans="1:26" ht="12.75" customHeight="1" x14ac:dyDescent="0.2">
      <c r="A371" s="1549"/>
      <c r="B371" s="1549"/>
      <c r="C371" s="1549"/>
      <c r="D371" s="1558"/>
      <c r="E371" s="1549"/>
      <c r="F371" s="1549"/>
      <c r="G371" s="1549"/>
      <c r="H371" s="1549"/>
      <c r="I371" s="1549"/>
      <c r="J371" s="1549"/>
      <c r="K371" s="1549"/>
      <c r="L371" s="1549"/>
      <c r="M371" s="1549"/>
      <c r="N371" s="1549"/>
      <c r="O371" s="1549"/>
      <c r="P371" s="1549"/>
      <c r="Q371" s="1549"/>
      <c r="R371" s="1549"/>
      <c r="S371" s="1549"/>
      <c r="T371" s="1549"/>
      <c r="U371" s="1549"/>
      <c r="V371" s="1549"/>
      <c r="W371" s="1549"/>
      <c r="X371" s="1549"/>
      <c r="Y371" s="1549"/>
      <c r="Z371" s="1549"/>
    </row>
    <row r="372" spans="1:26" ht="12.75" customHeight="1" x14ac:dyDescent="0.2">
      <c r="A372" s="1549"/>
      <c r="B372" s="1549"/>
      <c r="C372" s="1549"/>
      <c r="D372" s="1558"/>
      <c r="E372" s="1549"/>
      <c r="F372" s="1549"/>
      <c r="G372" s="1549"/>
      <c r="H372" s="1549"/>
      <c r="I372" s="1549"/>
      <c r="J372" s="1549"/>
      <c r="K372" s="1549"/>
      <c r="L372" s="1549"/>
      <c r="M372" s="1549"/>
      <c r="N372" s="1549"/>
      <c r="O372" s="1549"/>
      <c r="P372" s="1549"/>
      <c r="Q372" s="1549"/>
      <c r="R372" s="1549"/>
      <c r="S372" s="1549"/>
      <c r="T372" s="1549"/>
      <c r="U372" s="1549"/>
      <c r="V372" s="1549"/>
      <c r="W372" s="1549"/>
      <c r="X372" s="1549"/>
      <c r="Y372" s="1549"/>
      <c r="Z372" s="1549"/>
    </row>
    <row r="373" spans="1:26" ht="12.75" customHeight="1" x14ac:dyDescent="0.2">
      <c r="A373" s="1549"/>
      <c r="B373" s="1549"/>
      <c r="C373" s="1549"/>
      <c r="D373" s="1558"/>
      <c r="E373" s="1549"/>
      <c r="F373" s="1549"/>
      <c r="G373" s="1549"/>
      <c r="H373" s="1549"/>
      <c r="I373" s="1549"/>
      <c r="J373" s="1549"/>
      <c r="K373" s="1549"/>
      <c r="L373" s="1549"/>
      <c r="M373" s="1549"/>
      <c r="N373" s="1549"/>
      <c r="O373" s="1549"/>
      <c r="P373" s="1549"/>
      <c r="Q373" s="1549"/>
      <c r="R373" s="1549"/>
      <c r="S373" s="1549"/>
      <c r="T373" s="1549"/>
      <c r="U373" s="1549"/>
      <c r="V373" s="1549"/>
      <c r="W373" s="1549"/>
      <c r="X373" s="1549"/>
      <c r="Y373" s="1549"/>
      <c r="Z373" s="1549"/>
    </row>
    <row r="374" spans="1:26" ht="12.75" customHeight="1" x14ac:dyDescent="0.2">
      <c r="A374" s="1549"/>
      <c r="B374" s="1549"/>
      <c r="C374" s="1549"/>
      <c r="D374" s="1558"/>
      <c r="E374" s="1549"/>
      <c r="F374" s="1549"/>
      <c r="G374" s="1549"/>
      <c r="H374" s="1549"/>
      <c r="I374" s="1549"/>
      <c r="J374" s="1549"/>
      <c r="K374" s="1549"/>
      <c r="L374" s="1549"/>
      <c r="M374" s="1549"/>
      <c r="N374" s="1549"/>
      <c r="O374" s="1549"/>
      <c r="P374" s="1549"/>
      <c r="Q374" s="1549"/>
      <c r="R374" s="1549"/>
      <c r="S374" s="1549"/>
      <c r="T374" s="1549"/>
      <c r="U374" s="1549"/>
      <c r="V374" s="1549"/>
      <c r="W374" s="1549"/>
      <c r="X374" s="1549"/>
      <c r="Y374" s="1549"/>
      <c r="Z374" s="1549"/>
    </row>
    <row r="375" spans="1:26" ht="12.75" customHeight="1" x14ac:dyDescent="0.2">
      <c r="A375" s="1549"/>
      <c r="B375" s="1549"/>
      <c r="C375" s="1549"/>
      <c r="D375" s="1558"/>
      <c r="E375" s="1549"/>
      <c r="F375" s="1549"/>
      <c r="G375" s="1549"/>
      <c r="H375" s="1549"/>
      <c r="I375" s="1549"/>
      <c r="J375" s="1549"/>
      <c r="K375" s="1549"/>
      <c r="L375" s="1549"/>
      <c r="M375" s="1549"/>
      <c r="N375" s="1549"/>
      <c r="O375" s="1549"/>
      <c r="P375" s="1549"/>
      <c r="Q375" s="1549"/>
      <c r="R375" s="1549"/>
      <c r="S375" s="1549"/>
      <c r="T375" s="1549"/>
      <c r="U375" s="1549"/>
      <c r="V375" s="1549"/>
      <c r="W375" s="1549"/>
      <c r="X375" s="1549"/>
      <c r="Y375" s="1549"/>
      <c r="Z375" s="1549"/>
    </row>
    <row r="376" spans="1:26" ht="12.75" customHeight="1" x14ac:dyDescent="0.2">
      <c r="A376" s="1549"/>
      <c r="B376" s="1549"/>
      <c r="C376" s="1549"/>
      <c r="D376" s="1558"/>
      <c r="E376" s="1549"/>
      <c r="F376" s="1549"/>
      <c r="G376" s="1549"/>
      <c r="H376" s="1549"/>
      <c r="I376" s="1549"/>
      <c r="J376" s="1549"/>
      <c r="K376" s="1549"/>
      <c r="L376" s="1549"/>
      <c r="M376" s="1549"/>
      <c r="N376" s="1549"/>
      <c r="O376" s="1549"/>
      <c r="P376" s="1549"/>
      <c r="Q376" s="1549"/>
      <c r="R376" s="1549"/>
      <c r="S376" s="1549"/>
      <c r="T376" s="1549"/>
      <c r="U376" s="1549"/>
      <c r="V376" s="1549"/>
      <c r="W376" s="1549"/>
      <c r="X376" s="1549"/>
      <c r="Y376" s="1549"/>
      <c r="Z376" s="1549"/>
    </row>
    <row r="377" spans="1:26" ht="12.75" customHeight="1" x14ac:dyDescent="0.2">
      <c r="A377" s="1549"/>
      <c r="B377" s="1549"/>
      <c r="C377" s="1549"/>
      <c r="D377" s="1558"/>
      <c r="E377" s="1549"/>
      <c r="F377" s="1549"/>
      <c r="G377" s="1549"/>
      <c r="H377" s="1549"/>
      <c r="I377" s="1549"/>
      <c r="J377" s="1549"/>
      <c r="K377" s="1549"/>
      <c r="L377" s="1549"/>
      <c r="M377" s="1549"/>
      <c r="N377" s="1549"/>
      <c r="O377" s="1549"/>
      <c r="P377" s="1549"/>
      <c r="Q377" s="1549"/>
      <c r="R377" s="1549"/>
      <c r="S377" s="1549"/>
      <c r="T377" s="1549"/>
      <c r="U377" s="1549"/>
      <c r="V377" s="1549"/>
      <c r="W377" s="1549"/>
      <c r="X377" s="1549"/>
      <c r="Y377" s="1549"/>
      <c r="Z377" s="1549"/>
    </row>
    <row r="378" spans="1:26" ht="12.75" customHeight="1" x14ac:dyDescent="0.2">
      <c r="A378" s="1549"/>
      <c r="B378" s="1549"/>
      <c r="C378" s="1549"/>
      <c r="D378" s="1558"/>
      <c r="E378" s="1549"/>
      <c r="F378" s="1549"/>
      <c r="G378" s="1549"/>
      <c r="H378" s="1549"/>
      <c r="I378" s="1549"/>
      <c r="J378" s="1549"/>
      <c r="K378" s="1549"/>
      <c r="L378" s="1549"/>
      <c r="M378" s="1549"/>
      <c r="N378" s="1549"/>
      <c r="O378" s="1549"/>
      <c r="P378" s="1549"/>
      <c r="Q378" s="1549"/>
      <c r="R378" s="1549"/>
      <c r="S378" s="1549"/>
      <c r="T378" s="1549"/>
      <c r="U378" s="1549"/>
      <c r="V378" s="1549"/>
      <c r="W378" s="1549"/>
      <c r="X378" s="1549"/>
      <c r="Y378" s="1549"/>
      <c r="Z378" s="1549"/>
    </row>
    <row r="379" spans="1:26" ht="12.75" customHeight="1" x14ac:dyDescent="0.2">
      <c r="A379" s="1549"/>
      <c r="B379" s="1549"/>
      <c r="C379" s="1549"/>
      <c r="D379" s="1558"/>
      <c r="E379" s="1549"/>
      <c r="F379" s="1549"/>
      <c r="G379" s="1549"/>
      <c r="H379" s="1549"/>
      <c r="I379" s="1549"/>
      <c r="J379" s="1549"/>
      <c r="K379" s="1549"/>
      <c r="L379" s="1549"/>
      <c r="M379" s="1549"/>
      <c r="N379" s="1549"/>
      <c r="O379" s="1549"/>
      <c r="P379" s="1549"/>
      <c r="Q379" s="1549"/>
      <c r="R379" s="1549"/>
      <c r="S379" s="1549"/>
      <c r="T379" s="1549"/>
      <c r="U379" s="1549"/>
      <c r="V379" s="1549"/>
      <c r="W379" s="1549"/>
      <c r="X379" s="1549"/>
      <c r="Y379" s="1549"/>
      <c r="Z379" s="1549"/>
    </row>
    <row r="380" spans="1:26" ht="12.75" customHeight="1" x14ac:dyDescent="0.2">
      <c r="A380" s="1549"/>
      <c r="B380" s="1549"/>
      <c r="C380" s="1549"/>
      <c r="D380" s="1558"/>
      <c r="E380" s="1549"/>
      <c r="F380" s="1549"/>
      <c r="G380" s="1549"/>
      <c r="H380" s="1549"/>
      <c r="I380" s="1549"/>
      <c r="J380" s="1549"/>
      <c r="K380" s="1549"/>
      <c r="L380" s="1549"/>
      <c r="M380" s="1549"/>
      <c r="N380" s="1549"/>
      <c r="O380" s="1549"/>
      <c r="P380" s="1549"/>
      <c r="Q380" s="1549"/>
      <c r="R380" s="1549"/>
      <c r="S380" s="1549"/>
      <c r="T380" s="1549"/>
      <c r="U380" s="1549"/>
      <c r="V380" s="1549"/>
      <c r="W380" s="1549"/>
      <c r="X380" s="1549"/>
      <c r="Y380" s="1549"/>
      <c r="Z380" s="1549"/>
    </row>
    <row r="381" spans="1:26" ht="12.75" customHeight="1" x14ac:dyDescent="0.2">
      <c r="A381" s="1549"/>
      <c r="B381" s="1549"/>
      <c r="C381" s="1549"/>
      <c r="D381" s="1558"/>
      <c r="E381" s="1549"/>
      <c r="F381" s="1549"/>
      <c r="G381" s="1549"/>
      <c r="H381" s="1549"/>
      <c r="I381" s="1549"/>
      <c r="J381" s="1549"/>
      <c r="K381" s="1549"/>
      <c r="L381" s="1549"/>
      <c r="M381" s="1549"/>
      <c r="N381" s="1549"/>
      <c r="O381" s="1549"/>
      <c r="P381" s="1549"/>
      <c r="Q381" s="1549"/>
      <c r="R381" s="1549"/>
      <c r="S381" s="1549"/>
      <c r="T381" s="1549"/>
      <c r="U381" s="1549"/>
      <c r="V381" s="1549"/>
      <c r="W381" s="1549"/>
      <c r="X381" s="1549"/>
      <c r="Y381" s="1549"/>
      <c r="Z381" s="1549"/>
    </row>
    <row r="382" spans="1:26" ht="12.75" customHeight="1" x14ac:dyDescent="0.2">
      <c r="A382" s="1549"/>
      <c r="B382" s="1549"/>
      <c r="C382" s="1549"/>
      <c r="D382" s="1558"/>
      <c r="E382" s="1549"/>
      <c r="F382" s="1549"/>
      <c r="G382" s="1549"/>
      <c r="H382" s="1549"/>
      <c r="I382" s="1549"/>
      <c r="J382" s="1549"/>
      <c r="K382" s="1549"/>
      <c r="L382" s="1549"/>
      <c r="M382" s="1549"/>
      <c r="N382" s="1549"/>
      <c r="O382" s="1549"/>
      <c r="P382" s="1549"/>
      <c r="Q382" s="1549"/>
      <c r="R382" s="1549"/>
      <c r="S382" s="1549"/>
      <c r="T382" s="1549"/>
      <c r="U382" s="1549"/>
      <c r="V382" s="1549"/>
      <c r="W382" s="1549"/>
      <c r="X382" s="1549"/>
      <c r="Y382" s="1549"/>
      <c r="Z382" s="1549"/>
    </row>
    <row r="383" spans="1:26" ht="12.75" customHeight="1" x14ac:dyDescent="0.2">
      <c r="A383" s="1549"/>
      <c r="B383" s="1549"/>
      <c r="C383" s="1549"/>
      <c r="D383" s="1558"/>
      <c r="E383" s="1549"/>
      <c r="F383" s="1549"/>
      <c r="G383" s="1549"/>
      <c r="H383" s="1549"/>
      <c r="I383" s="1549"/>
      <c r="J383" s="1549"/>
      <c r="K383" s="1549"/>
      <c r="L383" s="1549"/>
      <c r="M383" s="1549"/>
      <c r="N383" s="1549"/>
      <c r="O383" s="1549"/>
      <c r="P383" s="1549"/>
      <c r="Q383" s="1549"/>
      <c r="R383" s="1549"/>
      <c r="S383" s="1549"/>
      <c r="T383" s="1549"/>
      <c r="U383" s="1549"/>
      <c r="V383" s="1549"/>
      <c r="W383" s="1549"/>
      <c r="X383" s="1549"/>
      <c r="Y383" s="1549"/>
      <c r="Z383" s="1549"/>
    </row>
    <row r="384" spans="1:26" ht="12.75" customHeight="1" x14ac:dyDescent="0.2">
      <c r="A384" s="1549"/>
      <c r="B384" s="1549"/>
      <c r="C384" s="1549"/>
      <c r="D384" s="1558"/>
      <c r="E384" s="1549"/>
      <c r="F384" s="1549"/>
      <c r="G384" s="1549"/>
      <c r="H384" s="1549"/>
      <c r="I384" s="1549"/>
      <c r="J384" s="1549"/>
      <c r="K384" s="1549"/>
      <c r="L384" s="1549"/>
      <c r="M384" s="1549"/>
      <c r="N384" s="1549"/>
      <c r="O384" s="1549"/>
      <c r="P384" s="1549"/>
      <c r="Q384" s="1549"/>
      <c r="R384" s="1549"/>
      <c r="S384" s="1549"/>
      <c r="T384" s="1549"/>
      <c r="U384" s="1549"/>
      <c r="V384" s="1549"/>
      <c r="W384" s="1549"/>
      <c r="X384" s="1549"/>
      <c r="Y384" s="1549"/>
      <c r="Z384" s="1549"/>
    </row>
    <row r="385" spans="1:26" ht="12.75" customHeight="1" x14ac:dyDescent="0.2">
      <c r="A385" s="1549"/>
      <c r="B385" s="1549"/>
      <c r="C385" s="1549"/>
      <c r="D385" s="1558"/>
      <c r="E385" s="1549"/>
      <c r="F385" s="1549"/>
      <c r="G385" s="1549"/>
      <c r="H385" s="1549"/>
      <c r="I385" s="1549"/>
      <c r="J385" s="1549"/>
      <c r="K385" s="1549"/>
      <c r="L385" s="1549"/>
      <c r="M385" s="1549"/>
      <c r="N385" s="1549"/>
      <c r="O385" s="1549"/>
      <c r="P385" s="1549"/>
      <c r="Q385" s="1549"/>
      <c r="R385" s="1549"/>
      <c r="S385" s="1549"/>
      <c r="T385" s="1549"/>
      <c r="U385" s="1549"/>
      <c r="V385" s="1549"/>
      <c r="W385" s="1549"/>
      <c r="X385" s="1549"/>
      <c r="Y385" s="1549"/>
      <c r="Z385" s="1549"/>
    </row>
    <row r="386" spans="1:26" ht="12.75" customHeight="1" x14ac:dyDescent="0.2">
      <c r="A386" s="1549"/>
      <c r="B386" s="1549"/>
      <c r="C386" s="1549"/>
      <c r="D386" s="1558"/>
      <c r="E386" s="1549"/>
      <c r="F386" s="1549"/>
      <c r="G386" s="1549"/>
      <c r="H386" s="1549"/>
      <c r="I386" s="1549"/>
      <c r="J386" s="1549"/>
      <c r="K386" s="1549"/>
      <c r="L386" s="1549"/>
      <c r="M386" s="1549"/>
      <c r="N386" s="1549"/>
      <c r="O386" s="1549"/>
      <c r="P386" s="1549"/>
      <c r="Q386" s="1549"/>
      <c r="R386" s="1549"/>
      <c r="S386" s="1549"/>
      <c r="T386" s="1549"/>
      <c r="U386" s="1549"/>
      <c r="V386" s="1549"/>
      <c r="W386" s="1549"/>
      <c r="X386" s="1549"/>
      <c r="Y386" s="1549"/>
      <c r="Z386" s="1549"/>
    </row>
    <row r="387" spans="1:26" ht="12.75" customHeight="1" x14ac:dyDescent="0.2">
      <c r="A387" s="1549"/>
      <c r="B387" s="1549"/>
      <c r="C387" s="1549"/>
      <c r="D387" s="1558"/>
      <c r="E387" s="1549"/>
      <c r="F387" s="1549"/>
      <c r="G387" s="1549"/>
      <c r="H387" s="1549"/>
      <c r="I387" s="1549"/>
      <c r="J387" s="1549"/>
      <c r="K387" s="1549"/>
      <c r="L387" s="1549"/>
      <c r="M387" s="1549"/>
      <c r="N387" s="1549"/>
      <c r="O387" s="1549"/>
      <c r="P387" s="1549"/>
      <c r="Q387" s="1549"/>
      <c r="R387" s="1549"/>
      <c r="S387" s="1549"/>
      <c r="T387" s="1549"/>
      <c r="U387" s="1549"/>
      <c r="V387" s="1549"/>
      <c r="W387" s="1549"/>
      <c r="X387" s="1549"/>
      <c r="Y387" s="1549"/>
      <c r="Z387" s="1549"/>
    </row>
    <row r="388" spans="1:26" ht="12.75" customHeight="1" x14ac:dyDescent="0.2">
      <c r="A388" s="1549"/>
      <c r="B388" s="1549"/>
      <c r="C388" s="1549"/>
      <c r="D388" s="1558"/>
      <c r="E388" s="1549"/>
      <c r="F388" s="1549"/>
      <c r="G388" s="1549"/>
      <c r="H388" s="1549"/>
      <c r="I388" s="1549"/>
      <c r="J388" s="1549"/>
      <c r="K388" s="1549"/>
      <c r="L388" s="1549"/>
      <c r="M388" s="1549"/>
      <c r="N388" s="1549"/>
      <c r="O388" s="1549"/>
      <c r="P388" s="1549"/>
      <c r="Q388" s="1549"/>
      <c r="R388" s="1549"/>
      <c r="S388" s="1549"/>
      <c r="T388" s="1549"/>
      <c r="U388" s="1549"/>
      <c r="V388" s="1549"/>
      <c r="W388" s="1549"/>
      <c r="X388" s="1549"/>
      <c r="Y388" s="1549"/>
      <c r="Z388" s="1549"/>
    </row>
    <row r="389" spans="1:26" ht="12.75" customHeight="1" x14ac:dyDescent="0.2">
      <c r="A389" s="1549"/>
      <c r="B389" s="1549"/>
      <c r="C389" s="1549"/>
      <c r="D389" s="1558"/>
      <c r="E389" s="1549"/>
      <c r="F389" s="1549"/>
      <c r="G389" s="1549"/>
      <c r="H389" s="1549"/>
      <c r="I389" s="1549"/>
      <c r="J389" s="1549"/>
      <c r="K389" s="1549"/>
      <c r="L389" s="1549"/>
      <c r="M389" s="1549"/>
      <c r="N389" s="1549"/>
      <c r="O389" s="1549"/>
      <c r="P389" s="1549"/>
      <c r="Q389" s="1549"/>
      <c r="R389" s="1549"/>
      <c r="S389" s="1549"/>
      <c r="T389" s="1549"/>
      <c r="U389" s="1549"/>
      <c r="V389" s="1549"/>
      <c r="W389" s="1549"/>
      <c r="X389" s="1549"/>
      <c r="Y389" s="1549"/>
      <c r="Z389" s="1549"/>
    </row>
    <row r="390" spans="1:26" ht="12.75" customHeight="1" x14ac:dyDescent="0.2">
      <c r="A390" s="1549"/>
      <c r="B390" s="1549"/>
      <c r="C390" s="1549"/>
      <c r="D390" s="1558"/>
      <c r="E390" s="1549"/>
      <c r="F390" s="1549"/>
      <c r="G390" s="1549"/>
      <c r="H390" s="1549"/>
      <c r="I390" s="1549"/>
      <c r="J390" s="1549"/>
      <c r="K390" s="1549"/>
      <c r="L390" s="1549"/>
      <c r="M390" s="1549"/>
      <c r="N390" s="1549"/>
      <c r="O390" s="1549"/>
      <c r="P390" s="1549"/>
      <c r="Q390" s="1549"/>
      <c r="R390" s="1549"/>
      <c r="S390" s="1549"/>
      <c r="T390" s="1549"/>
      <c r="U390" s="1549"/>
      <c r="V390" s="1549"/>
      <c r="W390" s="1549"/>
      <c r="X390" s="1549"/>
      <c r="Y390" s="1549"/>
      <c r="Z390" s="1549"/>
    </row>
    <row r="391" spans="1:26" ht="12.75" customHeight="1" x14ac:dyDescent="0.2">
      <c r="A391" s="1549"/>
      <c r="B391" s="1549"/>
      <c r="C391" s="1549"/>
      <c r="D391" s="1558"/>
      <c r="E391" s="1549"/>
      <c r="F391" s="1549"/>
      <c r="G391" s="1549"/>
      <c r="H391" s="1549"/>
      <c r="I391" s="1549"/>
      <c r="J391" s="1549"/>
      <c r="K391" s="1549"/>
      <c r="L391" s="1549"/>
      <c r="M391" s="1549"/>
      <c r="N391" s="1549"/>
      <c r="O391" s="1549"/>
      <c r="P391" s="1549"/>
      <c r="Q391" s="1549"/>
      <c r="R391" s="1549"/>
      <c r="S391" s="1549"/>
      <c r="T391" s="1549"/>
      <c r="U391" s="1549"/>
      <c r="V391" s="1549"/>
      <c r="W391" s="1549"/>
      <c r="X391" s="1549"/>
      <c r="Y391" s="1549"/>
      <c r="Z391" s="1549"/>
    </row>
    <row r="392" spans="1:26" ht="12.75" customHeight="1" x14ac:dyDescent="0.2">
      <c r="A392" s="1549"/>
      <c r="B392" s="1549"/>
      <c r="C392" s="1549"/>
      <c r="D392" s="1558"/>
      <c r="E392" s="1549"/>
      <c r="F392" s="1549"/>
      <c r="G392" s="1549"/>
      <c r="H392" s="1549"/>
      <c r="I392" s="1549"/>
      <c r="J392" s="1549"/>
      <c r="K392" s="1549"/>
      <c r="L392" s="1549"/>
      <c r="M392" s="1549"/>
      <c r="N392" s="1549"/>
      <c r="O392" s="1549"/>
      <c r="P392" s="1549"/>
      <c r="Q392" s="1549"/>
      <c r="R392" s="1549"/>
      <c r="S392" s="1549"/>
      <c r="T392" s="1549"/>
      <c r="U392" s="1549"/>
      <c r="V392" s="1549"/>
      <c r="W392" s="1549"/>
      <c r="X392" s="1549"/>
      <c r="Y392" s="1549"/>
      <c r="Z392" s="1549"/>
    </row>
    <row r="393" spans="1:26" ht="12.75" customHeight="1" x14ac:dyDescent="0.2">
      <c r="A393" s="1549"/>
      <c r="B393" s="1549"/>
      <c r="C393" s="1549"/>
      <c r="D393" s="1558"/>
      <c r="E393" s="1549"/>
      <c r="F393" s="1549"/>
      <c r="G393" s="1549"/>
      <c r="H393" s="1549"/>
      <c r="I393" s="1549"/>
      <c r="J393" s="1549"/>
      <c r="K393" s="1549"/>
      <c r="L393" s="1549"/>
      <c r="M393" s="1549"/>
      <c r="N393" s="1549"/>
      <c r="O393" s="1549"/>
      <c r="P393" s="1549"/>
      <c r="Q393" s="1549"/>
      <c r="R393" s="1549"/>
      <c r="S393" s="1549"/>
      <c r="T393" s="1549"/>
      <c r="U393" s="1549"/>
      <c r="V393" s="1549"/>
      <c r="W393" s="1549"/>
      <c r="X393" s="1549"/>
      <c r="Y393" s="1549"/>
      <c r="Z393" s="1549"/>
    </row>
    <row r="394" spans="1:26" ht="12.75" customHeight="1" x14ac:dyDescent="0.2">
      <c r="A394" s="1549"/>
      <c r="B394" s="1549"/>
      <c r="C394" s="1549"/>
      <c r="D394" s="1558"/>
      <c r="E394" s="1549"/>
      <c r="F394" s="1549"/>
      <c r="G394" s="1549"/>
      <c r="H394" s="1549"/>
      <c r="I394" s="1549"/>
      <c r="J394" s="1549"/>
      <c r="K394" s="1549"/>
      <c r="L394" s="1549"/>
      <c r="M394" s="1549"/>
      <c r="N394" s="1549"/>
      <c r="O394" s="1549"/>
      <c r="P394" s="1549"/>
      <c r="Q394" s="1549"/>
      <c r="R394" s="1549"/>
      <c r="S394" s="1549"/>
      <c r="T394" s="1549"/>
      <c r="U394" s="1549"/>
      <c r="V394" s="1549"/>
      <c r="W394" s="1549"/>
      <c r="X394" s="1549"/>
      <c r="Y394" s="1549"/>
      <c r="Z394" s="1549"/>
    </row>
    <row r="395" spans="1:26" ht="12.75" customHeight="1" x14ac:dyDescent="0.2">
      <c r="A395" s="1549"/>
      <c r="B395" s="1549"/>
      <c r="C395" s="1549"/>
      <c r="D395" s="1558"/>
      <c r="E395" s="1549"/>
      <c r="F395" s="1549"/>
      <c r="G395" s="1549"/>
      <c r="H395" s="1549"/>
      <c r="I395" s="1549"/>
      <c r="J395" s="1549"/>
      <c r="K395" s="1549"/>
      <c r="L395" s="1549"/>
      <c r="M395" s="1549"/>
      <c r="N395" s="1549"/>
      <c r="O395" s="1549"/>
      <c r="P395" s="1549"/>
      <c r="Q395" s="1549"/>
      <c r="R395" s="1549"/>
      <c r="S395" s="1549"/>
      <c r="T395" s="1549"/>
      <c r="U395" s="1549"/>
      <c r="V395" s="1549"/>
      <c r="W395" s="1549"/>
      <c r="X395" s="1549"/>
      <c r="Y395" s="1549"/>
      <c r="Z395" s="1549"/>
    </row>
    <row r="396" spans="1:26" ht="12.75" customHeight="1" x14ac:dyDescent="0.2">
      <c r="A396" s="1549"/>
      <c r="B396" s="1549"/>
      <c r="C396" s="1549"/>
      <c r="D396" s="1558"/>
      <c r="E396" s="1549"/>
      <c r="F396" s="1549"/>
      <c r="G396" s="1549"/>
      <c r="H396" s="1549"/>
      <c r="I396" s="1549"/>
      <c r="J396" s="1549"/>
      <c r="K396" s="1549"/>
      <c r="L396" s="1549"/>
      <c r="M396" s="1549"/>
      <c r="N396" s="1549"/>
      <c r="O396" s="1549"/>
      <c r="P396" s="1549"/>
      <c r="Q396" s="1549"/>
      <c r="R396" s="1549"/>
      <c r="S396" s="1549"/>
      <c r="T396" s="1549"/>
      <c r="U396" s="1549"/>
      <c r="V396" s="1549"/>
      <c r="W396" s="1549"/>
      <c r="X396" s="1549"/>
      <c r="Y396" s="1549"/>
      <c r="Z396" s="1549"/>
    </row>
    <row r="397" spans="1:26" ht="12.75" customHeight="1" x14ac:dyDescent="0.2">
      <c r="A397" s="1549"/>
      <c r="B397" s="1549"/>
      <c r="C397" s="1549"/>
      <c r="D397" s="1558"/>
      <c r="E397" s="1549"/>
      <c r="F397" s="1549"/>
      <c r="G397" s="1549"/>
      <c r="H397" s="1549"/>
      <c r="I397" s="1549"/>
      <c r="J397" s="1549"/>
      <c r="K397" s="1549"/>
      <c r="L397" s="1549"/>
      <c r="M397" s="1549"/>
      <c r="N397" s="1549"/>
      <c r="O397" s="1549"/>
      <c r="P397" s="1549"/>
      <c r="Q397" s="1549"/>
      <c r="R397" s="1549"/>
      <c r="S397" s="1549"/>
      <c r="T397" s="1549"/>
      <c r="U397" s="1549"/>
      <c r="V397" s="1549"/>
      <c r="W397" s="1549"/>
      <c r="X397" s="1549"/>
      <c r="Y397" s="1549"/>
      <c r="Z397" s="1549"/>
    </row>
    <row r="398" spans="1:26" ht="12.75" customHeight="1" x14ac:dyDescent="0.2">
      <c r="A398" s="1549"/>
      <c r="B398" s="1549"/>
      <c r="C398" s="1549"/>
      <c r="D398" s="1558"/>
      <c r="E398" s="1549"/>
      <c r="F398" s="1549"/>
      <c r="G398" s="1549"/>
      <c r="H398" s="1549"/>
      <c r="I398" s="1549"/>
      <c r="J398" s="1549"/>
      <c r="K398" s="1549"/>
      <c r="L398" s="1549"/>
      <c r="M398" s="1549"/>
      <c r="N398" s="1549"/>
      <c r="O398" s="1549"/>
      <c r="P398" s="1549"/>
      <c r="Q398" s="1549"/>
      <c r="R398" s="1549"/>
      <c r="S398" s="1549"/>
      <c r="T398" s="1549"/>
      <c r="U398" s="1549"/>
      <c r="V398" s="1549"/>
      <c r="W398" s="1549"/>
      <c r="X398" s="1549"/>
      <c r="Y398" s="1549"/>
      <c r="Z398" s="1549"/>
    </row>
    <row r="399" spans="1:26" ht="12.75" customHeight="1" x14ac:dyDescent="0.2">
      <c r="A399" s="1549"/>
      <c r="B399" s="1549"/>
      <c r="C399" s="1549"/>
      <c r="D399" s="1558"/>
      <c r="E399" s="1549"/>
      <c r="F399" s="1549"/>
      <c r="G399" s="1549"/>
      <c r="H399" s="1549"/>
      <c r="I399" s="1549"/>
      <c r="J399" s="1549"/>
      <c r="K399" s="1549"/>
      <c r="L399" s="1549"/>
      <c r="M399" s="1549"/>
      <c r="N399" s="1549"/>
      <c r="O399" s="1549"/>
      <c r="P399" s="1549"/>
      <c r="Q399" s="1549"/>
      <c r="R399" s="1549"/>
      <c r="S399" s="1549"/>
      <c r="T399" s="1549"/>
      <c r="U399" s="1549"/>
      <c r="V399" s="1549"/>
      <c r="W399" s="1549"/>
      <c r="X399" s="1549"/>
      <c r="Y399" s="1549"/>
      <c r="Z399" s="1549"/>
    </row>
    <row r="400" spans="1:26" ht="12.75" customHeight="1" x14ac:dyDescent="0.2">
      <c r="A400" s="1549"/>
      <c r="B400" s="1549"/>
      <c r="C400" s="1549"/>
      <c r="D400" s="1558"/>
      <c r="E400" s="1549"/>
      <c r="F400" s="1549"/>
      <c r="G400" s="1549"/>
      <c r="H400" s="1549"/>
      <c r="I400" s="1549"/>
      <c r="J400" s="1549"/>
      <c r="K400" s="1549"/>
      <c r="L400" s="1549"/>
      <c r="M400" s="1549"/>
      <c r="N400" s="1549"/>
      <c r="O400" s="1549"/>
      <c r="P400" s="1549"/>
      <c r="Q400" s="1549"/>
      <c r="R400" s="1549"/>
      <c r="S400" s="1549"/>
      <c r="T400" s="1549"/>
      <c r="U400" s="1549"/>
      <c r="V400" s="1549"/>
      <c r="W400" s="1549"/>
      <c r="X400" s="1549"/>
      <c r="Y400" s="1549"/>
      <c r="Z400" s="1549"/>
    </row>
    <row r="401" spans="1:26" ht="12.75" customHeight="1" x14ac:dyDescent="0.2">
      <c r="A401" s="1549"/>
      <c r="B401" s="1549"/>
      <c r="C401" s="1549"/>
      <c r="D401" s="1558"/>
      <c r="E401" s="1549"/>
      <c r="F401" s="1549"/>
      <c r="G401" s="1549"/>
      <c r="H401" s="1549"/>
      <c r="I401" s="1549"/>
      <c r="J401" s="1549"/>
      <c r="K401" s="1549"/>
      <c r="L401" s="1549"/>
      <c r="M401" s="1549"/>
      <c r="N401" s="1549"/>
      <c r="O401" s="1549"/>
      <c r="P401" s="1549"/>
      <c r="Q401" s="1549"/>
      <c r="R401" s="1549"/>
      <c r="S401" s="1549"/>
      <c r="T401" s="1549"/>
      <c r="U401" s="1549"/>
      <c r="V401" s="1549"/>
      <c r="W401" s="1549"/>
      <c r="X401" s="1549"/>
      <c r="Y401" s="1549"/>
      <c r="Z401" s="1549"/>
    </row>
    <row r="402" spans="1:26" ht="12.75" customHeight="1" x14ac:dyDescent="0.2">
      <c r="A402" s="1549"/>
      <c r="B402" s="1549"/>
      <c r="C402" s="1549"/>
      <c r="D402" s="1558"/>
      <c r="E402" s="1549"/>
      <c r="F402" s="1549"/>
      <c r="G402" s="1549"/>
      <c r="H402" s="1549"/>
      <c r="I402" s="1549"/>
      <c r="J402" s="1549"/>
      <c r="K402" s="1549"/>
      <c r="L402" s="1549"/>
      <c r="M402" s="1549"/>
      <c r="N402" s="1549"/>
      <c r="O402" s="1549"/>
      <c r="P402" s="1549"/>
      <c r="Q402" s="1549"/>
      <c r="R402" s="1549"/>
      <c r="S402" s="1549"/>
      <c r="T402" s="1549"/>
      <c r="U402" s="1549"/>
      <c r="V402" s="1549"/>
      <c r="W402" s="1549"/>
      <c r="X402" s="1549"/>
      <c r="Y402" s="1549"/>
      <c r="Z402" s="1549"/>
    </row>
    <row r="403" spans="1:26" ht="12.75" customHeight="1" x14ac:dyDescent="0.2">
      <c r="A403" s="1549"/>
      <c r="B403" s="1549"/>
      <c r="C403" s="1549"/>
      <c r="D403" s="1558"/>
      <c r="E403" s="1549"/>
      <c r="F403" s="1549"/>
      <c r="G403" s="1549"/>
      <c r="H403" s="1549"/>
      <c r="I403" s="1549"/>
      <c r="J403" s="1549"/>
      <c r="K403" s="1549"/>
      <c r="L403" s="1549"/>
      <c r="M403" s="1549"/>
      <c r="N403" s="1549"/>
      <c r="O403" s="1549"/>
      <c r="P403" s="1549"/>
      <c r="Q403" s="1549"/>
      <c r="R403" s="1549"/>
      <c r="S403" s="1549"/>
      <c r="T403" s="1549"/>
      <c r="U403" s="1549"/>
      <c r="V403" s="1549"/>
      <c r="W403" s="1549"/>
      <c r="X403" s="1549"/>
      <c r="Y403" s="1549"/>
      <c r="Z403" s="1549"/>
    </row>
    <row r="404" spans="1:26" ht="12.75" customHeight="1" x14ac:dyDescent="0.2">
      <c r="A404" s="1549"/>
      <c r="B404" s="1549"/>
      <c r="C404" s="1549"/>
      <c r="D404" s="1558"/>
      <c r="E404" s="1549"/>
      <c r="F404" s="1549"/>
      <c r="G404" s="1549"/>
      <c r="H404" s="1549"/>
      <c r="I404" s="1549"/>
      <c r="J404" s="1549"/>
      <c r="K404" s="1549"/>
      <c r="L404" s="1549"/>
      <c r="M404" s="1549"/>
      <c r="N404" s="1549"/>
      <c r="O404" s="1549"/>
      <c r="P404" s="1549"/>
      <c r="Q404" s="1549"/>
      <c r="R404" s="1549"/>
      <c r="S404" s="1549"/>
      <c r="T404" s="1549"/>
      <c r="U404" s="1549"/>
      <c r="V404" s="1549"/>
      <c r="W404" s="1549"/>
      <c r="X404" s="1549"/>
      <c r="Y404" s="1549"/>
      <c r="Z404" s="1549"/>
    </row>
    <row r="405" spans="1:26" ht="12.75" customHeight="1" x14ac:dyDescent="0.2">
      <c r="A405" s="1549"/>
      <c r="B405" s="1549"/>
      <c r="C405" s="1549"/>
      <c r="D405" s="1558"/>
      <c r="E405" s="1549"/>
      <c r="F405" s="1549"/>
      <c r="G405" s="1549"/>
      <c r="H405" s="1549"/>
      <c r="I405" s="1549"/>
      <c r="J405" s="1549"/>
      <c r="K405" s="1549"/>
      <c r="L405" s="1549"/>
      <c r="M405" s="1549"/>
      <c r="N405" s="1549"/>
      <c r="O405" s="1549"/>
      <c r="P405" s="1549"/>
      <c r="Q405" s="1549"/>
      <c r="R405" s="1549"/>
      <c r="S405" s="1549"/>
      <c r="T405" s="1549"/>
      <c r="U405" s="1549"/>
      <c r="V405" s="1549"/>
      <c r="W405" s="1549"/>
      <c r="X405" s="1549"/>
      <c r="Y405" s="1549"/>
      <c r="Z405" s="1549"/>
    </row>
    <row r="406" spans="1:26" ht="12.75" customHeight="1" x14ac:dyDescent="0.2">
      <c r="A406" s="1549"/>
      <c r="B406" s="1549"/>
      <c r="C406" s="1549"/>
      <c r="D406" s="1558"/>
      <c r="E406" s="1549"/>
      <c r="F406" s="1549"/>
      <c r="G406" s="1549"/>
      <c r="H406" s="1549"/>
      <c r="I406" s="1549"/>
      <c r="J406" s="1549"/>
      <c r="K406" s="1549"/>
      <c r="L406" s="1549"/>
      <c r="M406" s="1549"/>
      <c r="N406" s="1549"/>
      <c r="O406" s="1549"/>
      <c r="P406" s="1549"/>
      <c r="Q406" s="1549"/>
      <c r="R406" s="1549"/>
      <c r="S406" s="1549"/>
      <c r="T406" s="1549"/>
      <c r="U406" s="1549"/>
      <c r="V406" s="1549"/>
      <c r="W406" s="1549"/>
      <c r="X406" s="1549"/>
      <c r="Y406" s="1549"/>
      <c r="Z406" s="1549"/>
    </row>
    <row r="407" spans="1:26" ht="12.75" customHeight="1" x14ac:dyDescent="0.2">
      <c r="A407" s="1549"/>
      <c r="B407" s="1549"/>
      <c r="C407" s="1549"/>
      <c r="D407" s="1558"/>
      <c r="E407" s="1549"/>
      <c r="F407" s="1549"/>
      <c r="G407" s="1549"/>
      <c r="H407" s="1549"/>
      <c r="I407" s="1549"/>
      <c r="J407" s="1549"/>
      <c r="K407" s="1549"/>
      <c r="L407" s="1549"/>
      <c r="M407" s="1549"/>
      <c r="N407" s="1549"/>
      <c r="O407" s="1549"/>
      <c r="P407" s="1549"/>
      <c r="Q407" s="1549"/>
      <c r="R407" s="1549"/>
      <c r="S407" s="1549"/>
      <c r="T407" s="1549"/>
      <c r="U407" s="1549"/>
      <c r="V407" s="1549"/>
      <c r="W407" s="1549"/>
      <c r="X407" s="1549"/>
      <c r="Y407" s="1549"/>
      <c r="Z407" s="1549"/>
    </row>
    <row r="408" spans="1:26" ht="12.75" customHeight="1" x14ac:dyDescent="0.2">
      <c r="A408" s="1549"/>
      <c r="B408" s="1549"/>
      <c r="C408" s="1549"/>
      <c r="D408" s="1558"/>
      <c r="E408" s="1549"/>
      <c r="F408" s="1549"/>
      <c r="G408" s="1549"/>
      <c r="H408" s="1549"/>
      <c r="I408" s="1549"/>
      <c r="J408" s="1549"/>
      <c r="K408" s="1549"/>
      <c r="L408" s="1549"/>
      <c r="M408" s="1549"/>
      <c r="N408" s="1549"/>
      <c r="O408" s="1549"/>
      <c r="P408" s="1549"/>
      <c r="Q408" s="1549"/>
      <c r="R408" s="1549"/>
      <c r="S408" s="1549"/>
      <c r="T408" s="1549"/>
      <c r="U408" s="1549"/>
      <c r="V408" s="1549"/>
      <c r="W408" s="1549"/>
      <c r="X408" s="1549"/>
      <c r="Y408" s="1549"/>
      <c r="Z408" s="1549"/>
    </row>
    <row r="409" spans="1:26" ht="12.75" customHeight="1" x14ac:dyDescent="0.2">
      <c r="A409" s="1549"/>
      <c r="B409" s="1549"/>
      <c r="C409" s="1549"/>
      <c r="D409" s="1558"/>
      <c r="E409" s="1549"/>
      <c r="F409" s="1549"/>
      <c r="G409" s="1549"/>
      <c r="H409" s="1549"/>
      <c r="I409" s="1549"/>
      <c r="J409" s="1549"/>
      <c r="K409" s="1549"/>
      <c r="L409" s="1549"/>
      <c r="M409" s="1549"/>
      <c r="N409" s="1549"/>
      <c r="O409" s="1549"/>
      <c r="P409" s="1549"/>
      <c r="Q409" s="1549"/>
      <c r="R409" s="1549"/>
      <c r="S409" s="1549"/>
      <c r="T409" s="1549"/>
      <c r="U409" s="1549"/>
      <c r="V409" s="1549"/>
      <c r="W409" s="1549"/>
      <c r="X409" s="1549"/>
      <c r="Y409" s="1549"/>
      <c r="Z409" s="1549"/>
    </row>
    <row r="410" spans="1:26" ht="12.75" customHeight="1" x14ac:dyDescent="0.2">
      <c r="A410" s="1549"/>
      <c r="B410" s="1549"/>
      <c r="C410" s="1549"/>
      <c r="D410" s="1558"/>
      <c r="E410" s="1549"/>
      <c r="F410" s="1549"/>
      <c r="G410" s="1549"/>
      <c r="H410" s="1549"/>
      <c r="I410" s="1549"/>
      <c r="J410" s="1549"/>
      <c r="K410" s="1549"/>
      <c r="L410" s="1549"/>
      <c r="M410" s="1549"/>
      <c r="N410" s="1549"/>
      <c r="O410" s="1549"/>
      <c r="P410" s="1549"/>
      <c r="Q410" s="1549"/>
      <c r="R410" s="1549"/>
      <c r="S410" s="1549"/>
      <c r="T410" s="1549"/>
      <c r="U410" s="1549"/>
      <c r="V410" s="1549"/>
      <c r="W410" s="1549"/>
      <c r="X410" s="1549"/>
      <c r="Y410" s="1549"/>
      <c r="Z410" s="1549"/>
    </row>
    <row r="411" spans="1:26" ht="12.75" customHeight="1" x14ac:dyDescent="0.2">
      <c r="A411" s="1549"/>
      <c r="B411" s="1549"/>
      <c r="C411" s="1549"/>
      <c r="D411" s="1558"/>
      <c r="E411" s="1549"/>
      <c r="F411" s="1549"/>
      <c r="G411" s="1549"/>
      <c r="H411" s="1549"/>
      <c r="I411" s="1549"/>
      <c r="J411" s="1549"/>
      <c r="K411" s="1549"/>
      <c r="L411" s="1549"/>
      <c r="M411" s="1549"/>
      <c r="N411" s="1549"/>
      <c r="O411" s="1549"/>
      <c r="P411" s="1549"/>
      <c r="Q411" s="1549"/>
      <c r="R411" s="1549"/>
      <c r="S411" s="1549"/>
      <c r="T411" s="1549"/>
      <c r="U411" s="1549"/>
      <c r="V411" s="1549"/>
      <c r="W411" s="1549"/>
      <c r="X411" s="1549"/>
      <c r="Y411" s="1549"/>
      <c r="Z411" s="1549"/>
    </row>
    <row r="412" spans="1:26" ht="12.75" customHeight="1" x14ac:dyDescent="0.2">
      <c r="A412" s="1549"/>
      <c r="B412" s="1549"/>
      <c r="C412" s="1549"/>
      <c r="D412" s="1558"/>
      <c r="E412" s="1549"/>
      <c r="F412" s="1549"/>
      <c r="G412" s="1549"/>
      <c r="H412" s="1549"/>
      <c r="I412" s="1549"/>
      <c r="J412" s="1549"/>
      <c r="K412" s="1549"/>
      <c r="L412" s="1549"/>
      <c r="M412" s="1549"/>
      <c r="N412" s="1549"/>
      <c r="O412" s="1549"/>
      <c r="P412" s="1549"/>
      <c r="Q412" s="1549"/>
      <c r="R412" s="1549"/>
      <c r="S412" s="1549"/>
      <c r="T412" s="1549"/>
      <c r="U412" s="1549"/>
      <c r="V412" s="1549"/>
      <c r="W412" s="1549"/>
      <c r="X412" s="1549"/>
      <c r="Y412" s="1549"/>
      <c r="Z412" s="1549"/>
    </row>
    <row r="413" spans="1:26" ht="12.75" customHeight="1" x14ac:dyDescent="0.2">
      <c r="A413" s="1549"/>
      <c r="B413" s="1549"/>
      <c r="C413" s="1549"/>
      <c r="D413" s="1558"/>
      <c r="E413" s="1549"/>
      <c r="F413" s="1549"/>
      <c r="G413" s="1549"/>
      <c r="H413" s="1549"/>
      <c r="I413" s="1549"/>
      <c r="J413" s="1549"/>
      <c r="K413" s="1549"/>
      <c r="L413" s="1549"/>
      <c r="M413" s="1549"/>
      <c r="N413" s="1549"/>
      <c r="O413" s="1549"/>
      <c r="P413" s="1549"/>
      <c r="Q413" s="1549"/>
      <c r="R413" s="1549"/>
      <c r="S413" s="1549"/>
      <c r="T413" s="1549"/>
      <c r="U413" s="1549"/>
      <c r="V413" s="1549"/>
      <c r="W413" s="1549"/>
      <c r="X413" s="1549"/>
      <c r="Y413" s="1549"/>
      <c r="Z413" s="1549"/>
    </row>
    <row r="414" spans="1:26" ht="12.75" customHeight="1" x14ac:dyDescent="0.2">
      <c r="A414" s="1549"/>
      <c r="B414" s="1549"/>
      <c r="C414" s="1549"/>
      <c r="D414" s="1558"/>
      <c r="E414" s="1549"/>
      <c r="F414" s="1549"/>
      <c r="G414" s="1549"/>
      <c r="H414" s="1549"/>
      <c r="I414" s="1549"/>
      <c r="J414" s="1549"/>
      <c r="K414" s="1549"/>
      <c r="L414" s="1549"/>
      <c r="M414" s="1549"/>
      <c r="N414" s="1549"/>
      <c r="O414" s="1549"/>
      <c r="P414" s="1549"/>
      <c r="Q414" s="1549"/>
      <c r="R414" s="1549"/>
      <c r="S414" s="1549"/>
      <c r="T414" s="1549"/>
      <c r="U414" s="1549"/>
      <c r="V414" s="1549"/>
      <c r="W414" s="1549"/>
      <c r="X414" s="1549"/>
      <c r="Y414" s="1549"/>
      <c r="Z414" s="1549"/>
    </row>
    <row r="415" spans="1:26" ht="12.75" customHeight="1" x14ac:dyDescent="0.2">
      <c r="A415" s="1549"/>
      <c r="B415" s="1549"/>
      <c r="C415" s="1549"/>
      <c r="D415" s="1558"/>
      <c r="E415" s="1549"/>
      <c r="F415" s="1549"/>
      <c r="G415" s="1549"/>
      <c r="H415" s="1549"/>
      <c r="I415" s="1549"/>
      <c r="J415" s="1549"/>
      <c r="K415" s="1549"/>
      <c r="L415" s="1549"/>
      <c r="M415" s="1549"/>
      <c r="N415" s="1549"/>
      <c r="O415" s="1549"/>
      <c r="P415" s="1549"/>
      <c r="Q415" s="1549"/>
      <c r="R415" s="1549"/>
      <c r="S415" s="1549"/>
      <c r="T415" s="1549"/>
      <c r="U415" s="1549"/>
      <c r="V415" s="1549"/>
      <c r="W415" s="1549"/>
      <c r="X415" s="1549"/>
      <c r="Y415" s="1549"/>
      <c r="Z415" s="1549"/>
    </row>
    <row r="416" spans="1:26" ht="12.75" customHeight="1" x14ac:dyDescent="0.2">
      <c r="A416" s="1549"/>
      <c r="B416" s="1549"/>
      <c r="C416" s="1549"/>
      <c r="D416" s="1558"/>
      <c r="E416" s="1549"/>
      <c r="F416" s="1549"/>
      <c r="G416" s="1549"/>
      <c r="H416" s="1549"/>
      <c r="I416" s="1549"/>
      <c r="J416" s="1549"/>
      <c r="K416" s="1549"/>
      <c r="L416" s="1549"/>
      <c r="M416" s="1549"/>
      <c r="N416" s="1549"/>
      <c r="O416" s="1549"/>
      <c r="P416" s="1549"/>
      <c r="Q416" s="1549"/>
      <c r="R416" s="1549"/>
      <c r="S416" s="1549"/>
      <c r="T416" s="1549"/>
      <c r="U416" s="1549"/>
      <c r="V416" s="1549"/>
      <c r="W416" s="1549"/>
      <c r="X416" s="1549"/>
      <c r="Y416" s="1549"/>
      <c r="Z416" s="1549"/>
    </row>
    <row r="417" spans="1:26" ht="12.75" customHeight="1" x14ac:dyDescent="0.2">
      <c r="A417" s="1549"/>
      <c r="B417" s="1549"/>
      <c r="C417" s="1549"/>
      <c r="D417" s="1558"/>
      <c r="E417" s="1549"/>
      <c r="F417" s="1549"/>
      <c r="G417" s="1549"/>
      <c r="H417" s="1549"/>
      <c r="I417" s="1549"/>
      <c r="J417" s="1549"/>
      <c r="K417" s="1549"/>
      <c r="L417" s="1549"/>
      <c r="M417" s="1549"/>
      <c r="N417" s="1549"/>
      <c r="O417" s="1549"/>
      <c r="P417" s="1549"/>
      <c r="Q417" s="1549"/>
      <c r="R417" s="1549"/>
      <c r="S417" s="1549"/>
      <c r="T417" s="1549"/>
      <c r="U417" s="1549"/>
      <c r="V417" s="1549"/>
      <c r="W417" s="1549"/>
      <c r="X417" s="1549"/>
      <c r="Y417" s="1549"/>
      <c r="Z417" s="1549"/>
    </row>
    <row r="418" spans="1:26" ht="12.75" customHeight="1" x14ac:dyDescent="0.2">
      <c r="A418" s="1549"/>
      <c r="B418" s="1549"/>
      <c r="C418" s="1549"/>
      <c r="D418" s="1558"/>
      <c r="E418" s="1549"/>
      <c r="F418" s="1549"/>
      <c r="G418" s="1549"/>
      <c r="H418" s="1549"/>
      <c r="I418" s="1549"/>
      <c r="J418" s="1549"/>
      <c r="K418" s="1549"/>
      <c r="L418" s="1549"/>
      <c r="M418" s="1549"/>
      <c r="N418" s="1549"/>
      <c r="O418" s="1549"/>
      <c r="P418" s="1549"/>
      <c r="Q418" s="1549"/>
      <c r="R418" s="1549"/>
      <c r="S418" s="1549"/>
      <c r="T418" s="1549"/>
      <c r="U418" s="1549"/>
      <c r="V418" s="1549"/>
      <c r="W418" s="1549"/>
      <c r="X418" s="1549"/>
      <c r="Y418" s="1549"/>
      <c r="Z418" s="1549"/>
    </row>
    <row r="419" spans="1:26" ht="12.75" customHeight="1" x14ac:dyDescent="0.2">
      <c r="A419" s="1549"/>
      <c r="B419" s="1549"/>
      <c r="C419" s="1549"/>
      <c r="D419" s="1558"/>
      <c r="E419" s="1549"/>
      <c r="F419" s="1549"/>
      <c r="G419" s="1549"/>
      <c r="H419" s="1549"/>
      <c r="I419" s="1549"/>
      <c r="J419" s="1549"/>
      <c r="K419" s="1549"/>
      <c r="L419" s="1549"/>
      <c r="M419" s="1549"/>
      <c r="N419" s="1549"/>
      <c r="O419" s="1549"/>
      <c r="P419" s="1549"/>
      <c r="Q419" s="1549"/>
      <c r="R419" s="1549"/>
      <c r="S419" s="1549"/>
      <c r="T419" s="1549"/>
      <c r="U419" s="1549"/>
      <c r="V419" s="1549"/>
      <c r="W419" s="1549"/>
      <c r="X419" s="1549"/>
      <c r="Y419" s="1549"/>
      <c r="Z419" s="1549"/>
    </row>
    <row r="420" spans="1:26" ht="12.75" customHeight="1" x14ac:dyDescent="0.2">
      <c r="A420" s="1549"/>
      <c r="B420" s="1549"/>
      <c r="C420" s="1549"/>
      <c r="D420" s="1558"/>
      <c r="E420" s="1549"/>
      <c r="F420" s="1549"/>
      <c r="G420" s="1549"/>
      <c r="H420" s="1549"/>
      <c r="I420" s="1549"/>
      <c r="J420" s="1549"/>
      <c r="K420" s="1549"/>
      <c r="L420" s="1549"/>
      <c r="M420" s="1549"/>
      <c r="N420" s="1549"/>
      <c r="O420" s="1549"/>
      <c r="P420" s="1549"/>
      <c r="Q420" s="1549"/>
      <c r="R420" s="1549"/>
      <c r="S420" s="1549"/>
      <c r="T420" s="1549"/>
      <c r="U420" s="1549"/>
      <c r="V420" s="1549"/>
      <c r="W420" s="1549"/>
      <c r="X420" s="1549"/>
      <c r="Y420" s="1549"/>
      <c r="Z420" s="1549"/>
    </row>
    <row r="421" spans="1:26" ht="12.75" customHeight="1" x14ac:dyDescent="0.2">
      <c r="A421" s="1549"/>
      <c r="B421" s="1549"/>
      <c r="C421" s="1549"/>
      <c r="D421" s="1558"/>
      <c r="E421" s="1549"/>
      <c r="F421" s="1549"/>
      <c r="G421" s="1549"/>
      <c r="H421" s="1549"/>
      <c r="I421" s="1549"/>
      <c r="J421" s="1549"/>
      <c r="K421" s="1549"/>
      <c r="L421" s="1549"/>
      <c r="M421" s="1549"/>
      <c r="N421" s="1549"/>
      <c r="O421" s="1549"/>
      <c r="P421" s="1549"/>
      <c r="Q421" s="1549"/>
      <c r="R421" s="1549"/>
      <c r="S421" s="1549"/>
      <c r="T421" s="1549"/>
      <c r="U421" s="1549"/>
      <c r="V421" s="1549"/>
      <c r="W421" s="1549"/>
      <c r="X421" s="1549"/>
      <c r="Y421" s="1549"/>
      <c r="Z421" s="1549"/>
    </row>
    <row r="422" spans="1:26" ht="12.75" customHeight="1" x14ac:dyDescent="0.2">
      <c r="A422" s="1549"/>
      <c r="B422" s="1549"/>
      <c r="C422" s="1549"/>
      <c r="D422" s="1558"/>
      <c r="E422" s="1549"/>
      <c r="F422" s="1549"/>
      <c r="G422" s="1549"/>
      <c r="H422" s="1549"/>
      <c r="I422" s="1549"/>
      <c r="J422" s="1549"/>
      <c r="K422" s="1549"/>
      <c r="L422" s="1549"/>
      <c r="M422" s="1549"/>
      <c r="N422" s="1549"/>
      <c r="O422" s="1549"/>
      <c r="P422" s="1549"/>
      <c r="Q422" s="1549"/>
      <c r="R422" s="1549"/>
      <c r="S422" s="1549"/>
      <c r="T422" s="1549"/>
      <c r="U422" s="1549"/>
      <c r="V422" s="1549"/>
      <c r="W422" s="1549"/>
      <c r="X422" s="1549"/>
      <c r="Y422" s="1549"/>
      <c r="Z422" s="1549"/>
    </row>
    <row r="423" spans="1:26" ht="12.75" customHeight="1" x14ac:dyDescent="0.2">
      <c r="A423" s="1549"/>
      <c r="B423" s="1549"/>
      <c r="C423" s="1549"/>
      <c r="D423" s="1558"/>
      <c r="E423" s="1549"/>
      <c r="F423" s="1549"/>
      <c r="G423" s="1549"/>
      <c r="H423" s="1549"/>
      <c r="I423" s="1549"/>
      <c r="J423" s="1549"/>
      <c r="K423" s="1549"/>
      <c r="L423" s="1549"/>
      <c r="M423" s="1549"/>
      <c r="N423" s="1549"/>
      <c r="O423" s="1549"/>
      <c r="P423" s="1549"/>
      <c r="Q423" s="1549"/>
      <c r="R423" s="1549"/>
      <c r="S423" s="1549"/>
      <c r="T423" s="1549"/>
      <c r="U423" s="1549"/>
      <c r="V423" s="1549"/>
      <c r="W423" s="1549"/>
      <c r="X423" s="1549"/>
      <c r="Y423" s="1549"/>
      <c r="Z423" s="1549"/>
    </row>
    <row r="424" spans="1:26" ht="12.75" customHeight="1" x14ac:dyDescent="0.2">
      <c r="A424" s="1549"/>
      <c r="B424" s="1549"/>
      <c r="C424" s="1549"/>
      <c r="D424" s="1558"/>
      <c r="E424" s="1549"/>
      <c r="F424" s="1549"/>
      <c r="G424" s="1549"/>
      <c r="H424" s="1549"/>
      <c r="I424" s="1549"/>
      <c r="J424" s="1549"/>
      <c r="K424" s="1549"/>
      <c r="L424" s="1549"/>
      <c r="M424" s="1549"/>
      <c r="N424" s="1549"/>
      <c r="O424" s="1549"/>
      <c r="P424" s="1549"/>
      <c r="Q424" s="1549"/>
      <c r="R424" s="1549"/>
      <c r="S424" s="1549"/>
      <c r="T424" s="1549"/>
      <c r="U424" s="1549"/>
      <c r="V424" s="1549"/>
      <c r="W424" s="1549"/>
      <c r="X424" s="1549"/>
      <c r="Y424" s="1549"/>
      <c r="Z424" s="1549"/>
    </row>
    <row r="425" spans="1:26" ht="12.75" customHeight="1" x14ac:dyDescent="0.2">
      <c r="A425" s="1549"/>
      <c r="B425" s="1549"/>
      <c r="C425" s="1549"/>
      <c r="D425" s="1558"/>
      <c r="E425" s="1549"/>
      <c r="F425" s="1549"/>
      <c r="G425" s="1549"/>
      <c r="H425" s="1549"/>
      <c r="I425" s="1549"/>
      <c r="J425" s="1549"/>
      <c r="K425" s="1549"/>
      <c r="L425" s="1549"/>
      <c r="M425" s="1549"/>
      <c r="N425" s="1549"/>
      <c r="O425" s="1549"/>
      <c r="P425" s="1549"/>
      <c r="Q425" s="1549"/>
      <c r="R425" s="1549"/>
      <c r="S425" s="1549"/>
      <c r="T425" s="1549"/>
      <c r="U425" s="1549"/>
      <c r="V425" s="1549"/>
      <c r="W425" s="1549"/>
      <c r="X425" s="1549"/>
      <c r="Y425" s="1549"/>
      <c r="Z425" s="1549"/>
    </row>
    <row r="426" spans="1:26" ht="12.75" customHeight="1" x14ac:dyDescent="0.2">
      <c r="A426" s="1549"/>
      <c r="B426" s="1549"/>
      <c r="C426" s="1549"/>
      <c r="D426" s="1558"/>
      <c r="E426" s="1549"/>
      <c r="F426" s="1549"/>
      <c r="G426" s="1549"/>
      <c r="H426" s="1549"/>
      <c r="I426" s="1549"/>
      <c r="J426" s="1549"/>
      <c r="K426" s="1549"/>
      <c r="L426" s="1549"/>
      <c r="M426" s="1549"/>
      <c r="N426" s="1549"/>
      <c r="O426" s="1549"/>
      <c r="P426" s="1549"/>
      <c r="Q426" s="1549"/>
      <c r="R426" s="1549"/>
      <c r="S426" s="1549"/>
      <c r="T426" s="1549"/>
      <c r="U426" s="1549"/>
      <c r="V426" s="1549"/>
      <c r="W426" s="1549"/>
      <c r="X426" s="1549"/>
      <c r="Y426" s="1549"/>
      <c r="Z426" s="1549"/>
    </row>
    <row r="427" spans="1:26" ht="12.75" customHeight="1" x14ac:dyDescent="0.2">
      <c r="A427" s="1549"/>
      <c r="B427" s="1549"/>
      <c r="C427" s="1549"/>
      <c r="D427" s="1558"/>
      <c r="E427" s="1549"/>
      <c r="F427" s="1549"/>
      <c r="G427" s="1549"/>
      <c r="H427" s="1549"/>
      <c r="I427" s="1549"/>
      <c r="J427" s="1549"/>
      <c r="K427" s="1549"/>
      <c r="L427" s="1549"/>
      <c r="M427" s="1549"/>
      <c r="N427" s="1549"/>
      <c r="O427" s="1549"/>
      <c r="P427" s="1549"/>
      <c r="Q427" s="1549"/>
      <c r="R427" s="1549"/>
      <c r="S427" s="1549"/>
      <c r="T427" s="1549"/>
      <c r="U427" s="1549"/>
      <c r="V427" s="1549"/>
      <c r="W427" s="1549"/>
      <c r="X427" s="1549"/>
      <c r="Y427" s="1549"/>
      <c r="Z427" s="1549"/>
    </row>
    <row r="428" spans="1:26" ht="12.75" customHeight="1" x14ac:dyDescent="0.2">
      <c r="A428" s="1549"/>
      <c r="B428" s="1549"/>
      <c r="C428" s="1549"/>
      <c r="D428" s="1558"/>
      <c r="E428" s="1549"/>
      <c r="F428" s="1549"/>
      <c r="G428" s="1549"/>
      <c r="H428" s="1549"/>
      <c r="I428" s="1549"/>
      <c r="J428" s="1549"/>
      <c r="K428" s="1549"/>
      <c r="L428" s="1549"/>
      <c r="M428" s="1549"/>
      <c r="N428" s="1549"/>
      <c r="O428" s="1549"/>
      <c r="P428" s="1549"/>
      <c r="Q428" s="1549"/>
      <c r="R428" s="1549"/>
      <c r="S428" s="1549"/>
      <c r="T428" s="1549"/>
      <c r="U428" s="1549"/>
      <c r="V428" s="1549"/>
      <c r="W428" s="1549"/>
      <c r="X428" s="1549"/>
      <c r="Y428" s="1549"/>
      <c r="Z428" s="1549"/>
    </row>
    <row r="429" spans="1:26" ht="12.75" customHeight="1" x14ac:dyDescent="0.2">
      <c r="A429" s="1549"/>
      <c r="B429" s="1549"/>
      <c r="C429" s="1549"/>
      <c r="D429" s="1558"/>
      <c r="E429" s="1549"/>
      <c r="F429" s="1549"/>
      <c r="G429" s="1549"/>
      <c r="H429" s="1549"/>
      <c r="I429" s="1549"/>
      <c r="J429" s="1549"/>
      <c r="K429" s="1549"/>
      <c r="L429" s="1549"/>
      <c r="M429" s="1549"/>
      <c r="N429" s="1549"/>
      <c r="O429" s="1549"/>
      <c r="P429" s="1549"/>
      <c r="Q429" s="1549"/>
      <c r="R429" s="1549"/>
      <c r="S429" s="1549"/>
      <c r="T429" s="1549"/>
      <c r="U429" s="1549"/>
      <c r="V429" s="1549"/>
      <c r="W429" s="1549"/>
      <c r="X429" s="1549"/>
      <c r="Y429" s="1549"/>
      <c r="Z429" s="1549"/>
    </row>
    <row r="430" spans="1:26" ht="12.75" customHeight="1" x14ac:dyDescent="0.2">
      <c r="A430" s="1549"/>
      <c r="B430" s="1549"/>
      <c r="C430" s="1549"/>
      <c r="D430" s="1558"/>
      <c r="E430" s="1549"/>
      <c r="F430" s="1549"/>
      <c r="G430" s="1549"/>
      <c r="H430" s="1549"/>
      <c r="I430" s="1549"/>
      <c r="J430" s="1549"/>
      <c r="K430" s="1549"/>
      <c r="L430" s="1549"/>
      <c r="M430" s="1549"/>
      <c r="N430" s="1549"/>
      <c r="O430" s="1549"/>
      <c r="P430" s="1549"/>
      <c r="Q430" s="1549"/>
      <c r="R430" s="1549"/>
      <c r="S430" s="1549"/>
      <c r="T430" s="1549"/>
      <c r="U430" s="1549"/>
      <c r="V430" s="1549"/>
      <c r="W430" s="1549"/>
      <c r="X430" s="1549"/>
      <c r="Y430" s="1549"/>
      <c r="Z430" s="1549"/>
    </row>
    <row r="431" spans="1:26" ht="12.75" customHeight="1" x14ac:dyDescent="0.2">
      <c r="A431" s="1549"/>
      <c r="B431" s="1549"/>
      <c r="C431" s="1549"/>
      <c r="D431" s="1558"/>
      <c r="E431" s="1549"/>
      <c r="F431" s="1549"/>
      <c r="G431" s="1549"/>
      <c r="H431" s="1549"/>
      <c r="I431" s="1549"/>
      <c r="J431" s="1549"/>
      <c r="K431" s="1549"/>
      <c r="L431" s="1549"/>
      <c r="M431" s="1549"/>
      <c r="N431" s="1549"/>
      <c r="O431" s="1549"/>
      <c r="P431" s="1549"/>
      <c r="Q431" s="1549"/>
      <c r="R431" s="1549"/>
      <c r="S431" s="1549"/>
      <c r="T431" s="1549"/>
      <c r="U431" s="1549"/>
      <c r="V431" s="1549"/>
      <c r="W431" s="1549"/>
      <c r="X431" s="1549"/>
      <c r="Y431" s="1549"/>
      <c r="Z431" s="1549"/>
    </row>
    <row r="432" spans="1:26" ht="12.75" customHeight="1" x14ac:dyDescent="0.2">
      <c r="A432" s="1549"/>
      <c r="B432" s="1549"/>
      <c r="C432" s="1549"/>
      <c r="D432" s="1558"/>
      <c r="E432" s="1549"/>
      <c r="F432" s="1549"/>
      <c r="G432" s="1549"/>
      <c r="H432" s="1549"/>
      <c r="I432" s="1549"/>
      <c r="J432" s="1549"/>
      <c r="K432" s="1549"/>
      <c r="L432" s="1549"/>
      <c r="M432" s="1549"/>
      <c r="N432" s="1549"/>
      <c r="O432" s="1549"/>
      <c r="P432" s="1549"/>
      <c r="Q432" s="1549"/>
      <c r="R432" s="1549"/>
      <c r="S432" s="1549"/>
      <c r="T432" s="1549"/>
      <c r="U432" s="1549"/>
      <c r="V432" s="1549"/>
      <c r="W432" s="1549"/>
      <c r="X432" s="1549"/>
      <c r="Y432" s="1549"/>
      <c r="Z432" s="1549"/>
    </row>
    <row r="433" spans="1:26" ht="12.75" customHeight="1" x14ac:dyDescent="0.2">
      <c r="A433" s="1549"/>
      <c r="B433" s="1549"/>
      <c r="C433" s="1549"/>
      <c r="D433" s="1558"/>
      <c r="E433" s="1549"/>
      <c r="F433" s="1549"/>
      <c r="G433" s="1549"/>
      <c r="H433" s="1549"/>
      <c r="I433" s="1549"/>
      <c r="J433" s="1549"/>
      <c r="K433" s="1549"/>
      <c r="L433" s="1549"/>
      <c r="M433" s="1549"/>
      <c r="N433" s="1549"/>
      <c r="O433" s="1549"/>
      <c r="P433" s="1549"/>
      <c r="Q433" s="1549"/>
      <c r="R433" s="1549"/>
      <c r="S433" s="1549"/>
      <c r="T433" s="1549"/>
      <c r="U433" s="1549"/>
      <c r="V433" s="1549"/>
      <c r="W433" s="1549"/>
      <c r="X433" s="1549"/>
      <c r="Y433" s="1549"/>
      <c r="Z433" s="1549"/>
    </row>
    <row r="434" spans="1:26" ht="12.75" customHeight="1" x14ac:dyDescent="0.2">
      <c r="A434" s="1549"/>
      <c r="B434" s="1549"/>
      <c r="C434" s="1549"/>
      <c r="D434" s="1558"/>
      <c r="E434" s="1549"/>
      <c r="F434" s="1549"/>
      <c r="G434" s="1549"/>
      <c r="H434" s="1549"/>
      <c r="I434" s="1549"/>
      <c r="J434" s="1549"/>
      <c r="K434" s="1549"/>
      <c r="L434" s="1549"/>
      <c r="M434" s="1549"/>
      <c r="N434" s="1549"/>
      <c r="O434" s="1549"/>
      <c r="P434" s="1549"/>
      <c r="Q434" s="1549"/>
      <c r="R434" s="1549"/>
      <c r="S434" s="1549"/>
      <c r="T434" s="1549"/>
      <c r="U434" s="1549"/>
      <c r="V434" s="1549"/>
      <c r="W434" s="1549"/>
      <c r="X434" s="1549"/>
      <c r="Y434" s="1549"/>
      <c r="Z434" s="1549"/>
    </row>
    <row r="435" spans="1:26" ht="12.75" customHeight="1" x14ac:dyDescent="0.2">
      <c r="A435" s="1549"/>
      <c r="B435" s="1549"/>
      <c r="C435" s="1549"/>
      <c r="D435" s="1558"/>
      <c r="E435" s="1549"/>
      <c r="F435" s="1549"/>
      <c r="G435" s="1549"/>
      <c r="H435" s="1549"/>
      <c r="I435" s="1549"/>
      <c r="J435" s="1549"/>
      <c r="K435" s="1549"/>
      <c r="L435" s="1549"/>
      <c r="M435" s="1549"/>
      <c r="N435" s="1549"/>
      <c r="O435" s="1549"/>
      <c r="P435" s="1549"/>
      <c r="Q435" s="1549"/>
      <c r="R435" s="1549"/>
      <c r="S435" s="1549"/>
      <c r="T435" s="1549"/>
      <c r="U435" s="1549"/>
      <c r="V435" s="1549"/>
      <c r="W435" s="1549"/>
      <c r="X435" s="1549"/>
      <c r="Y435" s="1549"/>
      <c r="Z435" s="1549"/>
    </row>
    <row r="436" spans="1:26" ht="12.75" customHeight="1" x14ac:dyDescent="0.2">
      <c r="A436" s="1549"/>
      <c r="B436" s="1549"/>
      <c r="C436" s="1549"/>
      <c r="D436" s="1558"/>
      <c r="E436" s="1549"/>
      <c r="F436" s="1549"/>
      <c r="G436" s="1549"/>
      <c r="H436" s="1549"/>
      <c r="I436" s="1549"/>
      <c r="J436" s="1549"/>
      <c r="K436" s="1549"/>
      <c r="L436" s="1549"/>
      <c r="M436" s="1549"/>
      <c r="N436" s="1549"/>
      <c r="O436" s="1549"/>
      <c r="P436" s="1549"/>
      <c r="Q436" s="1549"/>
      <c r="R436" s="1549"/>
      <c r="S436" s="1549"/>
      <c r="T436" s="1549"/>
      <c r="U436" s="1549"/>
      <c r="V436" s="1549"/>
      <c r="W436" s="1549"/>
      <c r="X436" s="1549"/>
      <c r="Y436" s="1549"/>
      <c r="Z436" s="1549"/>
    </row>
    <row r="437" spans="1:26" ht="12.75" customHeight="1" x14ac:dyDescent="0.2">
      <c r="A437" s="1549"/>
      <c r="B437" s="1549"/>
      <c r="C437" s="1549"/>
      <c r="D437" s="1558"/>
      <c r="E437" s="1549"/>
      <c r="F437" s="1549"/>
      <c r="G437" s="1549"/>
      <c r="H437" s="1549"/>
      <c r="I437" s="1549"/>
      <c r="J437" s="1549"/>
      <c r="K437" s="1549"/>
      <c r="L437" s="1549"/>
      <c r="M437" s="1549"/>
      <c r="N437" s="1549"/>
      <c r="O437" s="1549"/>
      <c r="P437" s="1549"/>
      <c r="Q437" s="1549"/>
      <c r="R437" s="1549"/>
      <c r="S437" s="1549"/>
      <c r="T437" s="1549"/>
      <c r="U437" s="1549"/>
      <c r="V437" s="1549"/>
      <c r="W437" s="1549"/>
      <c r="X437" s="1549"/>
      <c r="Y437" s="1549"/>
      <c r="Z437" s="1549"/>
    </row>
    <row r="438" spans="1:26" ht="12.75" customHeight="1" x14ac:dyDescent="0.2">
      <c r="A438" s="1549"/>
      <c r="B438" s="1549"/>
      <c r="C438" s="1549"/>
      <c r="D438" s="1558"/>
      <c r="E438" s="1549"/>
      <c r="F438" s="1549"/>
      <c r="G438" s="1549"/>
      <c r="H438" s="1549"/>
      <c r="I438" s="1549"/>
      <c r="J438" s="1549"/>
      <c r="K438" s="1549"/>
      <c r="L438" s="1549"/>
      <c r="M438" s="1549"/>
      <c r="N438" s="1549"/>
      <c r="O438" s="1549"/>
      <c r="P438" s="1549"/>
      <c r="Q438" s="1549"/>
      <c r="R438" s="1549"/>
      <c r="S438" s="1549"/>
      <c r="T438" s="1549"/>
      <c r="U438" s="1549"/>
      <c r="V438" s="1549"/>
      <c r="W438" s="1549"/>
      <c r="X438" s="1549"/>
      <c r="Y438" s="1549"/>
      <c r="Z438" s="1549"/>
    </row>
    <row r="439" spans="1:26" ht="12.75" customHeight="1" x14ac:dyDescent="0.2">
      <c r="A439" s="1549"/>
      <c r="B439" s="1549"/>
      <c r="C439" s="1549"/>
      <c r="D439" s="1558"/>
      <c r="E439" s="1549"/>
      <c r="F439" s="1549"/>
      <c r="G439" s="1549"/>
      <c r="H439" s="1549"/>
      <c r="I439" s="1549"/>
      <c r="J439" s="1549"/>
      <c r="K439" s="1549"/>
      <c r="L439" s="1549"/>
      <c r="M439" s="1549"/>
      <c r="N439" s="1549"/>
      <c r="O439" s="1549"/>
      <c r="P439" s="1549"/>
      <c r="Q439" s="1549"/>
      <c r="R439" s="1549"/>
      <c r="S439" s="1549"/>
      <c r="T439" s="1549"/>
      <c r="U439" s="1549"/>
      <c r="V439" s="1549"/>
      <c r="W439" s="1549"/>
      <c r="X439" s="1549"/>
      <c r="Y439" s="1549"/>
      <c r="Z439" s="1549"/>
    </row>
    <row r="440" spans="1:26" ht="12.75" customHeight="1" x14ac:dyDescent="0.2">
      <c r="A440" s="1549"/>
      <c r="B440" s="1549"/>
      <c r="C440" s="1549"/>
      <c r="D440" s="1558"/>
      <c r="E440" s="1549"/>
      <c r="F440" s="1549"/>
      <c r="G440" s="1549"/>
      <c r="H440" s="1549"/>
      <c r="I440" s="1549"/>
      <c r="J440" s="1549"/>
      <c r="K440" s="1549"/>
      <c r="L440" s="1549"/>
      <c r="M440" s="1549"/>
      <c r="N440" s="1549"/>
      <c r="O440" s="1549"/>
      <c r="P440" s="1549"/>
      <c r="Q440" s="1549"/>
      <c r="R440" s="1549"/>
      <c r="S440" s="1549"/>
      <c r="T440" s="1549"/>
      <c r="U440" s="1549"/>
      <c r="V440" s="1549"/>
      <c r="W440" s="1549"/>
      <c r="X440" s="1549"/>
      <c r="Y440" s="1549"/>
      <c r="Z440" s="1549"/>
    </row>
    <row r="441" spans="1:26" ht="12.75" customHeight="1" x14ac:dyDescent="0.2">
      <c r="A441" s="1549"/>
      <c r="B441" s="1549"/>
      <c r="C441" s="1549"/>
      <c r="D441" s="1558"/>
      <c r="E441" s="1549"/>
      <c r="F441" s="1549"/>
      <c r="G441" s="1549"/>
      <c r="H441" s="1549"/>
      <c r="I441" s="1549"/>
      <c r="J441" s="1549"/>
      <c r="K441" s="1549"/>
      <c r="L441" s="1549"/>
      <c r="M441" s="1549"/>
      <c r="N441" s="1549"/>
      <c r="O441" s="1549"/>
      <c r="P441" s="1549"/>
      <c r="Q441" s="1549"/>
      <c r="R441" s="1549"/>
      <c r="S441" s="1549"/>
      <c r="T441" s="1549"/>
      <c r="U441" s="1549"/>
      <c r="V441" s="1549"/>
      <c r="W441" s="1549"/>
      <c r="X441" s="1549"/>
      <c r="Y441" s="1549"/>
      <c r="Z441" s="1549"/>
    </row>
    <row r="442" spans="1:26" ht="12.75" customHeight="1" x14ac:dyDescent="0.2">
      <c r="A442" s="1549"/>
      <c r="B442" s="1549"/>
      <c r="C442" s="1549"/>
      <c r="D442" s="1558"/>
      <c r="E442" s="1549"/>
      <c r="F442" s="1549"/>
      <c r="G442" s="1549"/>
      <c r="H442" s="1549"/>
      <c r="I442" s="1549"/>
      <c r="J442" s="1549"/>
      <c r="K442" s="1549"/>
      <c r="L442" s="1549"/>
      <c r="M442" s="1549"/>
      <c r="N442" s="1549"/>
      <c r="O442" s="1549"/>
      <c r="P442" s="1549"/>
      <c r="Q442" s="1549"/>
      <c r="R442" s="1549"/>
      <c r="S442" s="1549"/>
      <c r="T442" s="1549"/>
      <c r="U442" s="1549"/>
      <c r="V442" s="1549"/>
      <c r="W442" s="1549"/>
      <c r="X442" s="1549"/>
      <c r="Y442" s="1549"/>
      <c r="Z442" s="1549"/>
    </row>
    <row r="443" spans="1:26" ht="12.75" customHeight="1" x14ac:dyDescent="0.2">
      <c r="A443" s="1549"/>
      <c r="B443" s="1549"/>
      <c r="C443" s="1549"/>
      <c r="D443" s="1558"/>
      <c r="E443" s="1549"/>
      <c r="F443" s="1549"/>
      <c r="G443" s="1549"/>
      <c r="H443" s="1549"/>
      <c r="I443" s="1549"/>
      <c r="J443" s="1549"/>
      <c r="K443" s="1549"/>
      <c r="L443" s="1549"/>
      <c r="M443" s="1549"/>
      <c r="N443" s="1549"/>
      <c r="O443" s="1549"/>
      <c r="P443" s="1549"/>
      <c r="Q443" s="1549"/>
      <c r="R443" s="1549"/>
      <c r="S443" s="1549"/>
      <c r="T443" s="1549"/>
      <c r="U443" s="1549"/>
      <c r="V443" s="1549"/>
      <c r="W443" s="1549"/>
      <c r="X443" s="1549"/>
      <c r="Y443" s="1549"/>
      <c r="Z443" s="1549"/>
    </row>
    <row r="444" spans="1:26" ht="12.75" customHeight="1" x14ac:dyDescent="0.2">
      <c r="A444" s="1549"/>
      <c r="B444" s="1549"/>
      <c r="C444" s="1549"/>
      <c r="D444" s="1558"/>
      <c r="E444" s="1549"/>
      <c r="F444" s="1549"/>
      <c r="G444" s="1549"/>
      <c r="H444" s="1549"/>
      <c r="I444" s="1549"/>
      <c r="J444" s="1549"/>
      <c r="K444" s="1549"/>
      <c r="L444" s="1549"/>
      <c r="M444" s="1549"/>
      <c r="N444" s="1549"/>
      <c r="O444" s="1549"/>
      <c r="P444" s="1549"/>
      <c r="Q444" s="1549"/>
      <c r="R444" s="1549"/>
      <c r="S444" s="1549"/>
      <c r="T444" s="1549"/>
      <c r="U444" s="1549"/>
      <c r="V444" s="1549"/>
      <c r="W444" s="1549"/>
      <c r="X444" s="1549"/>
      <c r="Y444" s="1549"/>
      <c r="Z444" s="1549"/>
    </row>
    <row r="445" spans="1:26" ht="12.75" customHeight="1" x14ac:dyDescent="0.2">
      <c r="A445" s="1549"/>
      <c r="B445" s="1549"/>
      <c r="C445" s="1549"/>
      <c r="D445" s="1558"/>
      <c r="E445" s="1549"/>
      <c r="F445" s="1549"/>
      <c r="G445" s="1549"/>
      <c r="H445" s="1549"/>
      <c r="I445" s="1549"/>
      <c r="J445" s="1549"/>
      <c r="K445" s="1549"/>
      <c r="L445" s="1549"/>
      <c r="M445" s="1549"/>
      <c r="N445" s="1549"/>
      <c r="O445" s="1549"/>
      <c r="P445" s="1549"/>
      <c r="Q445" s="1549"/>
      <c r="R445" s="1549"/>
      <c r="S445" s="1549"/>
      <c r="T445" s="1549"/>
      <c r="U445" s="1549"/>
      <c r="V445" s="1549"/>
      <c r="W445" s="1549"/>
      <c r="X445" s="1549"/>
      <c r="Y445" s="1549"/>
      <c r="Z445" s="1549"/>
    </row>
    <row r="446" spans="1:26" ht="12.75" customHeight="1" x14ac:dyDescent="0.2">
      <c r="A446" s="1549"/>
      <c r="B446" s="1549"/>
      <c r="C446" s="1549"/>
      <c r="D446" s="1558"/>
      <c r="E446" s="1549"/>
      <c r="F446" s="1549"/>
      <c r="G446" s="1549"/>
      <c r="H446" s="1549"/>
      <c r="I446" s="1549"/>
      <c r="J446" s="1549"/>
      <c r="K446" s="1549"/>
      <c r="L446" s="1549"/>
      <c r="M446" s="1549"/>
      <c r="N446" s="1549"/>
      <c r="O446" s="1549"/>
      <c r="P446" s="1549"/>
      <c r="Q446" s="1549"/>
      <c r="R446" s="1549"/>
      <c r="S446" s="1549"/>
      <c r="T446" s="1549"/>
      <c r="U446" s="1549"/>
      <c r="V446" s="1549"/>
      <c r="W446" s="1549"/>
      <c r="X446" s="1549"/>
      <c r="Y446" s="1549"/>
      <c r="Z446" s="1549"/>
    </row>
    <row r="447" spans="1:26" ht="12.75" customHeight="1" x14ac:dyDescent="0.2">
      <c r="A447" s="1549"/>
      <c r="B447" s="1549"/>
      <c r="C447" s="1549"/>
      <c r="D447" s="1558"/>
      <c r="E447" s="1549"/>
      <c r="F447" s="1549"/>
      <c r="G447" s="1549"/>
      <c r="H447" s="1549"/>
      <c r="I447" s="1549"/>
      <c r="J447" s="1549"/>
      <c r="K447" s="1549"/>
      <c r="L447" s="1549"/>
      <c r="M447" s="1549"/>
      <c r="N447" s="1549"/>
      <c r="O447" s="1549"/>
      <c r="P447" s="1549"/>
      <c r="Q447" s="1549"/>
      <c r="R447" s="1549"/>
      <c r="S447" s="1549"/>
      <c r="T447" s="1549"/>
      <c r="U447" s="1549"/>
      <c r="V447" s="1549"/>
      <c r="W447" s="1549"/>
      <c r="X447" s="1549"/>
      <c r="Y447" s="1549"/>
      <c r="Z447" s="1549"/>
    </row>
    <row r="448" spans="1:26" ht="12.75" customHeight="1" x14ac:dyDescent="0.2">
      <c r="A448" s="1549"/>
      <c r="B448" s="1549"/>
      <c r="C448" s="1549"/>
      <c r="D448" s="1558"/>
      <c r="E448" s="1549"/>
      <c r="F448" s="1549"/>
      <c r="G448" s="1549"/>
      <c r="H448" s="1549"/>
      <c r="I448" s="1549"/>
      <c r="J448" s="1549"/>
      <c r="K448" s="1549"/>
      <c r="L448" s="1549"/>
      <c r="M448" s="1549"/>
      <c r="N448" s="1549"/>
      <c r="O448" s="1549"/>
      <c r="P448" s="1549"/>
      <c r="Q448" s="1549"/>
      <c r="R448" s="1549"/>
      <c r="S448" s="1549"/>
      <c r="T448" s="1549"/>
      <c r="U448" s="1549"/>
      <c r="V448" s="1549"/>
      <c r="W448" s="1549"/>
      <c r="X448" s="1549"/>
      <c r="Y448" s="1549"/>
      <c r="Z448" s="1549"/>
    </row>
    <row r="449" spans="1:26" ht="12.75" customHeight="1" x14ac:dyDescent="0.2">
      <c r="A449" s="1549"/>
      <c r="B449" s="1549"/>
      <c r="C449" s="1549"/>
      <c r="D449" s="1558"/>
      <c r="E449" s="1549"/>
      <c r="F449" s="1549"/>
      <c r="G449" s="1549"/>
      <c r="H449" s="1549"/>
      <c r="I449" s="1549"/>
      <c r="J449" s="1549"/>
      <c r="K449" s="1549"/>
      <c r="L449" s="1549"/>
      <c r="M449" s="1549"/>
      <c r="N449" s="1549"/>
      <c r="O449" s="1549"/>
      <c r="P449" s="1549"/>
      <c r="Q449" s="1549"/>
      <c r="R449" s="1549"/>
      <c r="S449" s="1549"/>
      <c r="T449" s="1549"/>
      <c r="U449" s="1549"/>
      <c r="V449" s="1549"/>
      <c r="W449" s="1549"/>
      <c r="X449" s="1549"/>
      <c r="Y449" s="1549"/>
      <c r="Z449" s="1549"/>
    </row>
    <row r="450" spans="1:26" ht="12.75" customHeight="1" x14ac:dyDescent="0.2">
      <c r="A450" s="1549"/>
      <c r="B450" s="1549"/>
      <c r="C450" s="1549"/>
      <c r="D450" s="1558"/>
      <c r="E450" s="1549"/>
      <c r="F450" s="1549"/>
      <c r="G450" s="1549"/>
      <c r="H450" s="1549"/>
      <c r="I450" s="1549"/>
      <c r="J450" s="1549"/>
      <c r="K450" s="1549"/>
      <c r="L450" s="1549"/>
      <c r="M450" s="1549"/>
      <c r="N450" s="1549"/>
      <c r="O450" s="1549"/>
      <c r="P450" s="1549"/>
      <c r="Q450" s="1549"/>
      <c r="R450" s="1549"/>
      <c r="S450" s="1549"/>
      <c r="T450" s="1549"/>
      <c r="U450" s="1549"/>
      <c r="V450" s="1549"/>
      <c r="W450" s="1549"/>
      <c r="X450" s="1549"/>
      <c r="Y450" s="1549"/>
      <c r="Z450" s="1549"/>
    </row>
    <row r="451" spans="1:26" ht="12.75" customHeight="1" x14ac:dyDescent="0.2">
      <c r="A451" s="1549"/>
      <c r="B451" s="1549"/>
      <c r="C451" s="1549"/>
      <c r="D451" s="1558"/>
      <c r="E451" s="1549"/>
      <c r="F451" s="1549"/>
      <c r="G451" s="1549"/>
      <c r="H451" s="1549"/>
      <c r="I451" s="1549"/>
      <c r="J451" s="1549"/>
      <c r="K451" s="1549"/>
      <c r="L451" s="1549"/>
      <c r="M451" s="1549"/>
      <c r="N451" s="1549"/>
      <c r="O451" s="1549"/>
      <c r="P451" s="1549"/>
      <c r="Q451" s="1549"/>
      <c r="R451" s="1549"/>
      <c r="S451" s="1549"/>
      <c r="T451" s="1549"/>
      <c r="U451" s="1549"/>
      <c r="V451" s="1549"/>
      <c r="W451" s="1549"/>
      <c r="X451" s="1549"/>
      <c r="Y451" s="1549"/>
      <c r="Z451" s="1549"/>
    </row>
    <row r="452" spans="1:26" ht="12.75" customHeight="1" x14ac:dyDescent="0.2">
      <c r="A452" s="1549"/>
      <c r="B452" s="1549"/>
      <c r="C452" s="1549"/>
      <c r="D452" s="1558"/>
      <c r="E452" s="1549"/>
      <c r="F452" s="1549"/>
      <c r="G452" s="1549"/>
      <c r="H452" s="1549"/>
      <c r="I452" s="1549"/>
      <c r="J452" s="1549"/>
      <c r="K452" s="1549"/>
      <c r="L452" s="1549"/>
      <c r="M452" s="1549"/>
      <c r="N452" s="1549"/>
      <c r="O452" s="1549"/>
      <c r="P452" s="1549"/>
      <c r="Q452" s="1549"/>
      <c r="R452" s="1549"/>
      <c r="S452" s="1549"/>
      <c r="T452" s="1549"/>
      <c r="U452" s="1549"/>
      <c r="V452" s="1549"/>
      <c r="W452" s="1549"/>
      <c r="X452" s="1549"/>
      <c r="Y452" s="1549"/>
      <c r="Z452" s="1549"/>
    </row>
    <row r="453" spans="1:26" ht="12.75" customHeight="1" x14ac:dyDescent="0.2">
      <c r="A453" s="1549"/>
      <c r="B453" s="1549"/>
      <c r="C453" s="1549"/>
      <c r="D453" s="1558"/>
      <c r="E453" s="1549"/>
      <c r="F453" s="1549"/>
      <c r="G453" s="1549"/>
      <c r="H453" s="1549"/>
      <c r="I453" s="1549"/>
      <c r="J453" s="1549"/>
      <c r="K453" s="1549"/>
      <c r="L453" s="1549"/>
      <c r="M453" s="1549"/>
      <c r="N453" s="1549"/>
      <c r="O453" s="1549"/>
      <c r="P453" s="1549"/>
      <c r="Q453" s="1549"/>
      <c r="R453" s="1549"/>
      <c r="S453" s="1549"/>
      <c r="T453" s="1549"/>
      <c r="U453" s="1549"/>
      <c r="V453" s="1549"/>
      <c r="W453" s="1549"/>
      <c r="X453" s="1549"/>
      <c r="Y453" s="1549"/>
      <c r="Z453" s="1549"/>
    </row>
    <row r="454" spans="1:26" ht="12.75" customHeight="1" x14ac:dyDescent="0.2">
      <c r="A454" s="1549"/>
      <c r="B454" s="1549"/>
      <c r="C454" s="1549"/>
      <c r="D454" s="1558"/>
      <c r="E454" s="1549"/>
      <c r="F454" s="1549"/>
      <c r="G454" s="1549"/>
      <c r="H454" s="1549"/>
      <c r="I454" s="1549"/>
      <c r="J454" s="1549"/>
      <c r="K454" s="1549"/>
      <c r="L454" s="1549"/>
      <c r="M454" s="1549"/>
      <c r="N454" s="1549"/>
      <c r="O454" s="1549"/>
      <c r="P454" s="1549"/>
      <c r="Q454" s="1549"/>
      <c r="R454" s="1549"/>
      <c r="S454" s="1549"/>
      <c r="T454" s="1549"/>
      <c r="U454" s="1549"/>
      <c r="V454" s="1549"/>
      <c r="W454" s="1549"/>
      <c r="X454" s="1549"/>
      <c r="Y454" s="1549"/>
      <c r="Z454" s="1549"/>
    </row>
    <row r="455" spans="1:26" ht="12.75" customHeight="1" x14ac:dyDescent="0.2">
      <c r="A455" s="1549"/>
      <c r="B455" s="1549"/>
      <c r="C455" s="1549"/>
      <c r="D455" s="1558"/>
      <c r="E455" s="1549"/>
      <c r="F455" s="1549"/>
      <c r="G455" s="1549"/>
      <c r="H455" s="1549"/>
      <c r="I455" s="1549"/>
      <c r="J455" s="1549"/>
      <c r="K455" s="1549"/>
      <c r="L455" s="1549"/>
      <c r="M455" s="1549"/>
      <c r="N455" s="1549"/>
      <c r="O455" s="1549"/>
      <c r="P455" s="1549"/>
      <c r="Q455" s="1549"/>
      <c r="R455" s="1549"/>
      <c r="S455" s="1549"/>
      <c r="T455" s="1549"/>
      <c r="U455" s="1549"/>
      <c r="V455" s="1549"/>
      <c r="W455" s="1549"/>
      <c r="X455" s="1549"/>
      <c r="Y455" s="1549"/>
      <c r="Z455" s="1549"/>
    </row>
    <row r="456" spans="1:26" ht="12.75" customHeight="1" x14ac:dyDescent="0.2">
      <c r="A456" s="1549"/>
      <c r="B456" s="1549"/>
      <c r="C456" s="1549"/>
      <c r="D456" s="1558"/>
      <c r="E456" s="1549"/>
      <c r="F456" s="1549"/>
      <c r="G456" s="1549"/>
      <c r="H456" s="1549"/>
      <c r="I456" s="1549"/>
      <c r="J456" s="1549"/>
      <c r="K456" s="1549"/>
      <c r="L456" s="1549"/>
      <c r="M456" s="1549"/>
      <c r="N456" s="1549"/>
      <c r="O456" s="1549"/>
      <c r="P456" s="1549"/>
      <c r="Q456" s="1549"/>
      <c r="R456" s="1549"/>
      <c r="S456" s="1549"/>
      <c r="T456" s="1549"/>
      <c r="U456" s="1549"/>
      <c r="V456" s="1549"/>
      <c r="W456" s="1549"/>
      <c r="X456" s="1549"/>
      <c r="Y456" s="1549"/>
      <c r="Z456" s="1549"/>
    </row>
    <row r="457" spans="1:26" ht="12.75" customHeight="1" x14ac:dyDescent="0.2">
      <c r="A457" s="1549"/>
      <c r="B457" s="1549"/>
      <c r="C457" s="1549"/>
      <c r="D457" s="1558"/>
      <c r="E457" s="1549"/>
      <c r="F457" s="1549"/>
      <c r="G457" s="1549"/>
      <c r="H457" s="1549"/>
      <c r="I457" s="1549"/>
      <c r="J457" s="1549"/>
      <c r="K457" s="1549"/>
      <c r="L457" s="1549"/>
      <c r="M457" s="1549"/>
      <c r="N457" s="1549"/>
      <c r="O457" s="1549"/>
      <c r="P457" s="1549"/>
      <c r="Q457" s="1549"/>
      <c r="R457" s="1549"/>
      <c r="S457" s="1549"/>
      <c r="T457" s="1549"/>
      <c r="U457" s="1549"/>
      <c r="V457" s="1549"/>
      <c r="W457" s="1549"/>
      <c r="X457" s="1549"/>
      <c r="Y457" s="1549"/>
      <c r="Z457" s="1549"/>
    </row>
    <row r="458" spans="1:26" ht="12.75" customHeight="1" x14ac:dyDescent="0.2">
      <c r="A458" s="1549"/>
      <c r="B458" s="1549"/>
      <c r="C458" s="1549"/>
      <c r="D458" s="1558"/>
      <c r="E458" s="1549"/>
      <c r="F458" s="1549"/>
      <c r="G458" s="1549"/>
      <c r="H458" s="1549"/>
      <c r="I458" s="1549"/>
      <c r="J458" s="1549"/>
      <c r="K458" s="1549"/>
      <c r="L458" s="1549"/>
      <c r="M458" s="1549"/>
      <c r="N458" s="1549"/>
      <c r="O458" s="1549"/>
      <c r="P458" s="1549"/>
      <c r="Q458" s="1549"/>
      <c r="R458" s="1549"/>
      <c r="S458" s="1549"/>
      <c r="T458" s="1549"/>
      <c r="U458" s="1549"/>
      <c r="V458" s="1549"/>
      <c r="W458" s="1549"/>
      <c r="X458" s="1549"/>
      <c r="Y458" s="1549"/>
      <c r="Z458" s="1549"/>
    </row>
    <row r="459" spans="1:26" ht="12.75" customHeight="1" x14ac:dyDescent="0.2">
      <c r="A459" s="1549"/>
      <c r="B459" s="1549"/>
      <c r="C459" s="1549"/>
      <c r="D459" s="1558"/>
      <c r="E459" s="1549"/>
      <c r="F459" s="1549"/>
      <c r="G459" s="1549"/>
      <c r="H459" s="1549"/>
      <c r="I459" s="1549"/>
      <c r="J459" s="1549"/>
      <c r="K459" s="1549"/>
      <c r="L459" s="1549"/>
      <c r="M459" s="1549"/>
      <c r="N459" s="1549"/>
      <c r="O459" s="1549"/>
      <c r="P459" s="1549"/>
      <c r="Q459" s="1549"/>
      <c r="R459" s="1549"/>
      <c r="S459" s="1549"/>
      <c r="T459" s="1549"/>
      <c r="U459" s="1549"/>
      <c r="V459" s="1549"/>
      <c r="W459" s="1549"/>
      <c r="X459" s="1549"/>
      <c r="Y459" s="1549"/>
      <c r="Z459" s="1549"/>
    </row>
    <row r="460" spans="1:26" ht="12.75" customHeight="1" x14ac:dyDescent="0.2">
      <c r="A460" s="1549"/>
      <c r="B460" s="1549"/>
      <c r="C460" s="1549"/>
      <c r="D460" s="1558"/>
      <c r="E460" s="1549"/>
      <c r="F460" s="1549"/>
      <c r="G460" s="1549"/>
      <c r="H460" s="1549"/>
      <c r="I460" s="1549"/>
      <c r="J460" s="1549"/>
      <c r="K460" s="1549"/>
      <c r="L460" s="1549"/>
      <c r="M460" s="1549"/>
      <c r="N460" s="1549"/>
      <c r="O460" s="1549"/>
      <c r="P460" s="1549"/>
      <c r="Q460" s="1549"/>
      <c r="R460" s="1549"/>
      <c r="S460" s="1549"/>
      <c r="T460" s="1549"/>
      <c r="U460" s="1549"/>
      <c r="V460" s="1549"/>
      <c r="W460" s="1549"/>
      <c r="X460" s="1549"/>
      <c r="Y460" s="1549"/>
      <c r="Z460" s="1549"/>
    </row>
    <row r="461" spans="1:26" ht="12.75" customHeight="1" x14ac:dyDescent="0.2">
      <c r="A461" s="1549"/>
      <c r="B461" s="1549"/>
      <c r="C461" s="1549"/>
      <c r="D461" s="1558"/>
      <c r="E461" s="1549"/>
      <c r="F461" s="1549"/>
      <c r="G461" s="1549"/>
      <c r="H461" s="1549"/>
      <c r="I461" s="1549"/>
      <c r="J461" s="1549"/>
      <c r="K461" s="1549"/>
      <c r="L461" s="1549"/>
      <c r="M461" s="1549"/>
      <c r="N461" s="1549"/>
      <c r="O461" s="1549"/>
      <c r="P461" s="1549"/>
      <c r="Q461" s="1549"/>
      <c r="R461" s="1549"/>
      <c r="S461" s="1549"/>
      <c r="T461" s="1549"/>
      <c r="U461" s="1549"/>
      <c r="V461" s="1549"/>
      <c r="W461" s="1549"/>
      <c r="X461" s="1549"/>
      <c r="Y461" s="1549"/>
      <c r="Z461" s="1549"/>
    </row>
    <row r="462" spans="1:26" ht="12.75" customHeight="1" x14ac:dyDescent="0.2">
      <c r="A462" s="1549"/>
      <c r="B462" s="1549"/>
      <c r="C462" s="1549"/>
      <c r="D462" s="1558"/>
      <c r="E462" s="1549"/>
      <c r="F462" s="1549"/>
      <c r="G462" s="1549"/>
      <c r="H462" s="1549"/>
      <c r="I462" s="1549"/>
      <c r="J462" s="1549"/>
      <c r="K462" s="1549"/>
      <c r="L462" s="1549"/>
      <c r="M462" s="1549"/>
      <c r="N462" s="1549"/>
      <c r="O462" s="1549"/>
      <c r="P462" s="1549"/>
      <c r="Q462" s="1549"/>
      <c r="R462" s="1549"/>
      <c r="S462" s="1549"/>
      <c r="T462" s="1549"/>
      <c r="U462" s="1549"/>
      <c r="V462" s="1549"/>
      <c r="W462" s="1549"/>
      <c r="X462" s="1549"/>
      <c r="Y462" s="1549"/>
      <c r="Z462" s="1549"/>
    </row>
    <row r="463" spans="1:26" ht="12.75" customHeight="1" x14ac:dyDescent="0.2">
      <c r="A463" s="1549"/>
      <c r="B463" s="1549"/>
      <c r="C463" s="1549"/>
      <c r="D463" s="1558"/>
      <c r="E463" s="1549"/>
      <c r="F463" s="1549"/>
      <c r="G463" s="1549"/>
      <c r="H463" s="1549"/>
      <c r="I463" s="1549"/>
      <c r="J463" s="1549"/>
      <c r="K463" s="1549"/>
      <c r="L463" s="1549"/>
      <c r="M463" s="1549"/>
      <c r="N463" s="1549"/>
      <c r="O463" s="1549"/>
      <c r="P463" s="1549"/>
      <c r="Q463" s="1549"/>
      <c r="R463" s="1549"/>
      <c r="S463" s="1549"/>
      <c r="T463" s="1549"/>
      <c r="U463" s="1549"/>
      <c r="V463" s="1549"/>
      <c r="W463" s="1549"/>
      <c r="X463" s="1549"/>
      <c r="Y463" s="1549"/>
      <c r="Z463" s="1549"/>
    </row>
    <row r="464" spans="1:26" ht="12.75" customHeight="1" x14ac:dyDescent="0.2">
      <c r="A464" s="1549"/>
      <c r="B464" s="1549"/>
      <c r="C464" s="1549"/>
      <c r="D464" s="1558"/>
      <c r="E464" s="1549"/>
      <c r="F464" s="1549"/>
      <c r="G464" s="1549"/>
      <c r="H464" s="1549"/>
      <c r="I464" s="1549"/>
      <c r="J464" s="1549"/>
      <c r="K464" s="1549"/>
      <c r="L464" s="1549"/>
      <c r="M464" s="1549"/>
      <c r="N464" s="1549"/>
      <c r="O464" s="1549"/>
      <c r="P464" s="1549"/>
      <c r="Q464" s="1549"/>
      <c r="R464" s="1549"/>
      <c r="S464" s="1549"/>
      <c r="T464" s="1549"/>
      <c r="U464" s="1549"/>
      <c r="V464" s="1549"/>
      <c r="W464" s="1549"/>
      <c r="X464" s="1549"/>
      <c r="Y464" s="1549"/>
      <c r="Z464" s="1549"/>
    </row>
    <row r="465" spans="1:26" ht="12.75" customHeight="1" x14ac:dyDescent="0.2">
      <c r="A465" s="1549"/>
      <c r="B465" s="1549"/>
      <c r="C465" s="1549"/>
      <c r="D465" s="1558"/>
      <c r="E465" s="1549"/>
      <c r="F465" s="1549"/>
      <c r="G465" s="1549"/>
      <c r="H465" s="1549"/>
      <c r="I465" s="1549"/>
      <c r="J465" s="1549"/>
      <c r="K465" s="1549"/>
      <c r="L465" s="1549"/>
      <c r="M465" s="1549"/>
      <c r="N465" s="1549"/>
      <c r="O465" s="1549"/>
      <c r="P465" s="1549"/>
      <c r="Q465" s="1549"/>
      <c r="R465" s="1549"/>
      <c r="S465" s="1549"/>
      <c r="T465" s="1549"/>
      <c r="U465" s="1549"/>
      <c r="V465" s="1549"/>
      <c r="W465" s="1549"/>
      <c r="X465" s="1549"/>
      <c r="Y465" s="1549"/>
      <c r="Z465" s="1549"/>
    </row>
    <row r="466" spans="1:26" ht="12.75" customHeight="1" x14ac:dyDescent="0.2">
      <c r="A466" s="1549"/>
      <c r="B466" s="1549"/>
      <c r="C466" s="1549"/>
      <c r="D466" s="1558"/>
      <c r="E466" s="1549"/>
      <c r="F466" s="1549"/>
      <c r="G466" s="1549"/>
      <c r="H466" s="1549"/>
      <c r="I466" s="1549"/>
      <c r="J466" s="1549"/>
      <c r="K466" s="1549"/>
      <c r="L466" s="1549"/>
      <c r="M466" s="1549"/>
      <c r="N466" s="1549"/>
      <c r="O466" s="1549"/>
      <c r="P466" s="1549"/>
      <c r="Q466" s="1549"/>
      <c r="R466" s="1549"/>
      <c r="S466" s="1549"/>
      <c r="T466" s="1549"/>
      <c r="U466" s="1549"/>
      <c r="V466" s="1549"/>
      <c r="W466" s="1549"/>
      <c r="X466" s="1549"/>
      <c r="Y466" s="1549"/>
      <c r="Z466" s="1549"/>
    </row>
    <row r="467" spans="1:26" ht="12.75" customHeight="1" x14ac:dyDescent="0.2">
      <c r="A467" s="1549"/>
      <c r="B467" s="1549"/>
      <c r="C467" s="1549"/>
      <c r="D467" s="1558"/>
      <c r="E467" s="1549"/>
      <c r="F467" s="1549"/>
      <c r="G467" s="1549"/>
      <c r="H467" s="1549"/>
      <c r="I467" s="1549"/>
      <c r="J467" s="1549"/>
      <c r="K467" s="1549"/>
      <c r="L467" s="1549"/>
      <c r="M467" s="1549"/>
      <c r="N467" s="1549"/>
      <c r="O467" s="1549"/>
      <c r="P467" s="1549"/>
      <c r="Q467" s="1549"/>
      <c r="R467" s="1549"/>
      <c r="S467" s="1549"/>
      <c r="T467" s="1549"/>
      <c r="U467" s="1549"/>
      <c r="V467" s="1549"/>
      <c r="W467" s="1549"/>
      <c r="X467" s="1549"/>
      <c r="Y467" s="1549"/>
      <c r="Z467" s="1549"/>
    </row>
    <row r="468" spans="1:26" ht="12.75" customHeight="1" x14ac:dyDescent="0.2">
      <c r="A468" s="1549"/>
      <c r="B468" s="1549"/>
      <c r="C468" s="1549"/>
      <c r="D468" s="1558"/>
      <c r="E468" s="1549"/>
      <c r="F468" s="1549"/>
      <c r="G468" s="1549"/>
      <c r="H468" s="1549"/>
      <c r="I468" s="1549"/>
      <c r="J468" s="1549"/>
      <c r="K468" s="1549"/>
      <c r="L468" s="1549"/>
      <c r="M468" s="1549"/>
      <c r="N468" s="1549"/>
      <c r="O468" s="1549"/>
      <c r="P468" s="1549"/>
      <c r="Q468" s="1549"/>
      <c r="R468" s="1549"/>
      <c r="S468" s="1549"/>
      <c r="T468" s="1549"/>
      <c r="U468" s="1549"/>
      <c r="V468" s="1549"/>
      <c r="W468" s="1549"/>
      <c r="X468" s="1549"/>
      <c r="Y468" s="1549"/>
      <c r="Z468" s="1549"/>
    </row>
    <row r="469" spans="1:26" ht="12.75" customHeight="1" x14ac:dyDescent="0.2">
      <c r="A469" s="1549"/>
      <c r="B469" s="1549"/>
      <c r="C469" s="1549"/>
      <c r="D469" s="1558"/>
      <c r="E469" s="1549"/>
      <c r="F469" s="1549"/>
      <c r="G469" s="1549"/>
      <c r="H469" s="1549"/>
      <c r="I469" s="1549"/>
      <c r="J469" s="1549"/>
      <c r="K469" s="1549"/>
      <c r="L469" s="1549"/>
      <c r="M469" s="1549"/>
      <c r="N469" s="1549"/>
      <c r="O469" s="1549"/>
      <c r="P469" s="1549"/>
      <c r="Q469" s="1549"/>
      <c r="R469" s="1549"/>
      <c r="S469" s="1549"/>
      <c r="T469" s="1549"/>
      <c r="U469" s="1549"/>
      <c r="V469" s="1549"/>
      <c r="W469" s="1549"/>
      <c r="X469" s="1549"/>
      <c r="Y469" s="1549"/>
      <c r="Z469" s="1549"/>
    </row>
    <row r="470" spans="1:26" ht="12.75" customHeight="1" x14ac:dyDescent="0.2">
      <c r="A470" s="1549"/>
      <c r="B470" s="1549"/>
      <c r="C470" s="1549"/>
      <c r="D470" s="1558"/>
      <c r="E470" s="1549"/>
      <c r="F470" s="1549"/>
      <c r="G470" s="1549"/>
      <c r="H470" s="1549"/>
      <c r="I470" s="1549"/>
      <c r="J470" s="1549"/>
      <c r="K470" s="1549"/>
      <c r="L470" s="1549"/>
      <c r="M470" s="1549"/>
      <c r="N470" s="1549"/>
      <c r="O470" s="1549"/>
      <c r="P470" s="1549"/>
      <c r="Q470" s="1549"/>
      <c r="R470" s="1549"/>
      <c r="S470" s="1549"/>
      <c r="T470" s="1549"/>
      <c r="U470" s="1549"/>
      <c r="V470" s="1549"/>
      <c r="W470" s="1549"/>
      <c r="X470" s="1549"/>
      <c r="Y470" s="1549"/>
      <c r="Z470" s="1549"/>
    </row>
    <row r="471" spans="1:26" ht="12.75" customHeight="1" x14ac:dyDescent="0.2">
      <c r="A471" s="1549"/>
      <c r="B471" s="1549"/>
      <c r="C471" s="1549"/>
      <c r="D471" s="1558"/>
      <c r="E471" s="1549"/>
      <c r="F471" s="1549"/>
      <c r="G471" s="1549"/>
      <c r="H471" s="1549"/>
      <c r="I471" s="1549"/>
      <c r="J471" s="1549"/>
      <c r="K471" s="1549"/>
      <c r="L471" s="1549"/>
      <c r="M471" s="1549"/>
      <c r="N471" s="1549"/>
      <c r="O471" s="1549"/>
      <c r="P471" s="1549"/>
      <c r="Q471" s="1549"/>
      <c r="R471" s="1549"/>
      <c r="S471" s="1549"/>
      <c r="T471" s="1549"/>
      <c r="U471" s="1549"/>
      <c r="V471" s="1549"/>
      <c r="W471" s="1549"/>
      <c r="X471" s="1549"/>
      <c r="Y471" s="1549"/>
      <c r="Z471" s="1549"/>
    </row>
    <row r="472" spans="1:26" ht="12.75" customHeight="1" x14ac:dyDescent="0.2">
      <c r="A472" s="1549"/>
      <c r="B472" s="1549"/>
      <c r="C472" s="1549"/>
      <c r="D472" s="1558"/>
      <c r="E472" s="1549"/>
      <c r="F472" s="1549"/>
      <c r="G472" s="1549"/>
      <c r="H472" s="1549"/>
      <c r="I472" s="1549"/>
      <c r="J472" s="1549"/>
      <c r="K472" s="1549"/>
      <c r="L472" s="1549"/>
      <c r="M472" s="1549"/>
      <c r="N472" s="1549"/>
      <c r="O472" s="1549"/>
      <c r="P472" s="1549"/>
      <c r="Q472" s="1549"/>
      <c r="R472" s="1549"/>
      <c r="S472" s="1549"/>
      <c r="T472" s="1549"/>
      <c r="U472" s="1549"/>
      <c r="V472" s="1549"/>
      <c r="W472" s="1549"/>
      <c r="X472" s="1549"/>
      <c r="Y472" s="1549"/>
      <c r="Z472" s="1549"/>
    </row>
    <row r="473" spans="1:26" ht="12.75" customHeight="1" x14ac:dyDescent="0.2">
      <c r="A473" s="1549"/>
      <c r="B473" s="1549"/>
      <c r="C473" s="1549"/>
      <c r="D473" s="1558"/>
      <c r="E473" s="1549"/>
      <c r="F473" s="1549"/>
      <c r="G473" s="1549"/>
      <c r="H473" s="1549"/>
      <c r="I473" s="1549"/>
      <c r="J473" s="1549"/>
      <c r="K473" s="1549"/>
      <c r="L473" s="1549"/>
      <c r="M473" s="1549"/>
      <c r="N473" s="1549"/>
      <c r="O473" s="1549"/>
      <c r="P473" s="1549"/>
      <c r="Q473" s="1549"/>
      <c r="R473" s="1549"/>
      <c r="S473" s="1549"/>
      <c r="T473" s="1549"/>
      <c r="U473" s="1549"/>
      <c r="V473" s="1549"/>
      <c r="W473" s="1549"/>
      <c r="X473" s="1549"/>
      <c r="Y473" s="1549"/>
      <c r="Z473" s="1549"/>
    </row>
    <row r="474" spans="1:26" ht="12.75" customHeight="1" x14ac:dyDescent="0.2">
      <c r="A474" s="1549"/>
      <c r="B474" s="1549"/>
      <c r="C474" s="1549"/>
      <c r="D474" s="1558"/>
      <c r="E474" s="1549"/>
      <c r="F474" s="1549"/>
      <c r="G474" s="1549"/>
      <c r="H474" s="1549"/>
      <c r="I474" s="1549"/>
      <c r="J474" s="1549"/>
      <c r="K474" s="1549"/>
      <c r="L474" s="1549"/>
      <c r="M474" s="1549"/>
      <c r="N474" s="1549"/>
      <c r="O474" s="1549"/>
      <c r="P474" s="1549"/>
      <c r="Q474" s="1549"/>
      <c r="R474" s="1549"/>
      <c r="S474" s="1549"/>
      <c r="T474" s="1549"/>
      <c r="U474" s="1549"/>
      <c r="V474" s="1549"/>
      <c r="W474" s="1549"/>
      <c r="X474" s="1549"/>
      <c r="Y474" s="1549"/>
      <c r="Z474" s="1549"/>
    </row>
    <row r="475" spans="1:26" ht="12.75" customHeight="1" x14ac:dyDescent="0.2">
      <c r="A475" s="1549"/>
      <c r="B475" s="1549"/>
      <c r="C475" s="1549"/>
      <c r="D475" s="1558"/>
      <c r="E475" s="1549"/>
      <c r="F475" s="1549"/>
      <c r="G475" s="1549"/>
      <c r="H475" s="1549"/>
      <c r="I475" s="1549"/>
      <c r="J475" s="1549"/>
      <c r="K475" s="1549"/>
      <c r="L475" s="1549"/>
      <c r="M475" s="1549"/>
      <c r="N475" s="1549"/>
      <c r="O475" s="1549"/>
      <c r="P475" s="1549"/>
      <c r="Q475" s="1549"/>
      <c r="R475" s="1549"/>
      <c r="S475" s="1549"/>
      <c r="T475" s="1549"/>
      <c r="U475" s="1549"/>
      <c r="V475" s="1549"/>
      <c r="W475" s="1549"/>
      <c r="X475" s="1549"/>
      <c r="Y475" s="1549"/>
      <c r="Z475" s="1549"/>
    </row>
    <row r="476" spans="1:26" ht="12.75" customHeight="1" x14ac:dyDescent="0.2">
      <c r="A476" s="1549"/>
      <c r="B476" s="1549"/>
      <c r="C476" s="1549"/>
      <c r="D476" s="1558"/>
      <c r="E476" s="1549"/>
      <c r="F476" s="1549"/>
      <c r="G476" s="1549"/>
      <c r="H476" s="1549"/>
      <c r="I476" s="1549"/>
      <c r="J476" s="1549"/>
      <c r="K476" s="1549"/>
      <c r="L476" s="1549"/>
      <c r="M476" s="1549"/>
      <c r="N476" s="1549"/>
      <c r="O476" s="1549"/>
      <c r="P476" s="1549"/>
      <c r="Q476" s="1549"/>
      <c r="R476" s="1549"/>
      <c r="S476" s="1549"/>
      <c r="T476" s="1549"/>
      <c r="U476" s="1549"/>
      <c r="V476" s="1549"/>
      <c r="W476" s="1549"/>
      <c r="X476" s="1549"/>
      <c r="Y476" s="1549"/>
      <c r="Z476" s="1549"/>
    </row>
    <row r="477" spans="1:26" ht="12.75" customHeight="1" x14ac:dyDescent="0.2">
      <c r="A477" s="1549"/>
      <c r="B477" s="1549"/>
      <c r="C477" s="1549"/>
      <c r="D477" s="1558"/>
      <c r="E477" s="1549"/>
      <c r="F477" s="1549"/>
      <c r="G477" s="1549"/>
      <c r="H477" s="1549"/>
      <c r="I477" s="1549"/>
      <c r="J477" s="1549"/>
      <c r="K477" s="1549"/>
      <c r="L477" s="1549"/>
      <c r="M477" s="1549"/>
      <c r="N477" s="1549"/>
      <c r="O477" s="1549"/>
      <c r="P477" s="1549"/>
      <c r="Q477" s="1549"/>
      <c r="R477" s="1549"/>
      <c r="S477" s="1549"/>
      <c r="T477" s="1549"/>
      <c r="U477" s="1549"/>
      <c r="V477" s="1549"/>
      <c r="W477" s="1549"/>
      <c r="X477" s="1549"/>
      <c r="Y477" s="1549"/>
      <c r="Z477" s="1549"/>
    </row>
    <row r="478" spans="1:26" ht="12.75" customHeight="1" x14ac:dyDescent="0.2">
      <c r="A478" s="1549"/>
      <c r="B478" s="1549"/>
      <c r="C478" s="1549"/>
      <c r="D478" s="1558"/>
      <c r="E478" s="1549"/>
      <c r="F478" s="1549"/>
      <c r="G478" s="1549"/>
      <c r="H478" s="1549"/>
      <c r="I478" s="1549"/>
      <c r="J478" s="1549"/>
      <c r="K478" s="1549"/>
      <c r="L478" s="1549"/>
      <c r="M478" s="1549"/>
      <c r="N478" s="1549"/>
      <c r="O478" s="1549"/>
      <c r="P478" s="1549"/>
      <c r="Q478" s="1549"/>
      <c r="R478" s="1549"/>
      <c r="S478" s="1549"/>
      <c r="T478" s="1549"/>
      <c r="U478" s="1549"/>
      <c r="V478" s="1549"/>
      <c r="W478" s="1549"/>
      <c r="X478" s="1549"/>
      <c r="Y478" s="1549"/>
      <c r="Z478" s="1549"/>
    </row>
    <row r="479" spans="1:26" ht="12.75" customHeight="1" x14ac:dyDescent="0.2">
      <c r="A479" s="1549"/>
      <c r="B479" s="1549"/>
      <c r="C479" s="1549"/>
      <c r="D479" s="1558"/>
      <c r="E479" s="1549"/>
      <c r="F479" s="1549"/>
      <c r="G479" s="1549"/>
      <c r="H479" s="1549"/>
      <c r="I479" s="1549"/>
      <c r="J479" s="1549"/>
      <c r="K479" s="1549"/>
      <c r="L479" s="1549"/>
      <c r="M479" s="1549"/>
      <c r="N479" s="1549"/>
      <c r="O479" s="1549"/>
      <c r="P479" s="1549"/>
      <c r="Q479" s="1549"/>
      <c r="R479" s="1549"/>
      <c r="S479" s="1549"/>
      <c r="T479" s="1549"/>
      <c r="U479" s="1549"/>
      <c r="V479" s="1549"/>
      <c r="W479" s="1549"/>
      <c r="X479" s="1549"/>
      <c r="Y479" s="1549"/>
      <c r="Z479" s="1549"/>
    </row>
    <row r="480" spans="1:26" ht="12.75" customHeight="1" x14ac:dyDescent="0.2">
      <c r="A480" s="1549"/>
      <c r="B480" s="1549"/>
      <c r="C480" s="1549"/>
      <c r="D480" s="1558"/>
      <c r="E480" s="1549"/>
      <c r="F480" s="1549"/>
      <c r="G480" s="1549"/>
      <c r="H480" s="1549"/>
      <c r="I480" s="1549"/>
      <c r="J480" s="1549"/>
      <c r="K480" s="1549"/>
      <c r="L480" s="1549"/>
      <c r="M480" s="1549"/>
      <c r="N480" s="1549"/>
      <c r="O480" s="1549"/>
      <c r="P480" s="1549"/>
      <c r="Q480" s="1549"/>
      <c r="R480" s="1549"/>
      <c r="S480" s="1549"/>
      <c r="T480" s="1549"/>
      <c r="U480" s="1549"/>
      <c r="V480" s="1549"/>
      <c r="W480" s="1549"/>
      <c r="X480" s="1549"/>
      <c r="Y480" s="1549"/>
      <c r="Z480" s="1549"/>
    </row>
    <row r="481" spans="1:26" ht="12.75" customHeight="1" x14ac:dyDescent="0.2">
      <c r="A481" s="1549"/>
      <c r="B481" s="1549"/>
      <c r="C481" s="1549"/>
      <c r="D481" s="1558"/>
      <c r="E481" s="1549"/>
      <c r="F481" s="1549"/>
      <c r="G481" s="1549"/>
      <c r="H481" s="1549"/>
      <c r="I481" s="1549"/>
      <c r="J481" s="1549"/>
      <c r="K481" s="1549"/>
      <c r="L481" s="1549"/>
      <c r="M481" s="1549"/>
      <c r="N481" s="1549"/>
      <c r="O481" s="1549"/>
      <c r="P481" s="1549"/>
      <c r="Q481" s="1549"/>
      <c r="R481" s="1549"/>
      <c r="S481" s="1549"/>
      <c r="T481" s="1549"/>
      <c r="U481" s="1549"/>
      <c r="V481" s="1549"/>
      <c r="W481" s="1549"/>
      <c r="X481" s="1549"/>
      <c r="Y481" s="1549"/>
      <c r="Z481" s="1549"/>
    </row>
    <row r="482" spans="1:26" ht="12.75" customHeight="1" x14ac:dyDescent="0.2">
      <c r="A482" s="1549"/>
      <c r="B482" s="1549"/>
      <c r="C482" s="1549"/>
      <c r="D482" s="1558"/>
      <c r="E482" s="1549"/>
      <c r="F482" s="1549"/>
      <c r="G482" s="1549"/>
      <c r="H482" s="1549"/>
      <c r="I482" s="1549"/>
      <c r="J482" s="1549"/>
      <c r="K482" s="1549"/>
      <c r="L482" s="1549"/>
      <c r="M482" s="1549"/>
      <c r="N482" s="1549"/>
      <c r="O482" s="1549"/>
      <c r="P482" s="1549"/>
      <c r="Q482" s="1549"/>
      <c r="R482" s="1549"/>
      <c r="S482" s="1549"/>
      <c r="T482" s="1549"/>
      <c r="U482" s="1549"/>
      <c r="V482" s="1549"/>
      <c r="W482" s="1549"/>
      <c r="X482" s="1549"/>
      <c r="Y482" s="1549"/>
      <c r="Z482" s="1549"/>
    </row>
    <row r="483" spans="1:26" ht="12.75" customHeight="1" x14ac:dyDescent="0.2">
      <c r="A483" s="1549"/>
      <c r="B483" s="1549"/>
      <c r="C483" s="1549"/>
      <c r="D483" s="1558"/>
      <c r="E483" s="1549"/>
      <c r="F483" s="1549"/>
      <c r="G483" s="1549"/>
      <c r="H483" s="1549"/>
      <c r="I483" s="1549"/>
      <c r="J483" s="1549"/>
      <c r="K483" s="1549"/>
      <c r="L483" s="1549"/>
      <c r="M483" s="1549"/>
      <c r="N483" s="1549"/>
      <c r="O483" s="1549"/>
      <c r="P483" s="1549"/>
      <c r="Q483" s="1549"/>
      <c r="R483" s="1549"/>
      <c r="S483" s="1549"/>
      <c r="T483" s="1549"/>
      <c r="U483" s="1549"/>
      <c r="V483" s="1549"/>
      <c r="W483" s="1549"/>
      <c r="X483" s="1549"/>
      <c r="Y483" s="1549"/>
      <c r="Z483" s="1549"/>
    </row>
    <row r="484" spans="1:26" ht="12.75" customHeight="1" x14ac:dyDescent="0.2">
      <c r="A484" s="1549"/>
      <c r="B484" s="1549"/>
      <c r="C484" s="1549"/>
      <c r="D484" s="1558"/>
      <c r="E484" s="1549"/>
      <c r="F484" s="1549"/>
      <c r="G484" s="1549"/>
      <c r="H484" s="1549"/>
      <c r="I484" s="1549"/>
      <c r="J484" s="1549"/>
      <c r="K484" s="1549"/>
      <c r="L484" s="1549"/>
      <c r="M484" s="1549"/>
      <c r="N484" s="1549"/>
      <c r="O484" s="1549"/>
      <c r="P484" s="1549"/>
      <c r="Q484" s="1549"/>
      <c r="R484" s="1549"/>
      <c r="S484" s="1549"/>
      <c r="T484" s="1549"/>
      <c r="U484" s="1549"/>
      <c r="V484" s="1549"/>
      <c r="W484" s="1549"/>
      <c r="X484" s="1549"/>
      <c r="Y484" s="1549"/>
      <c r="Z484" s="1549"/>
    </row>
    <row r="485" spans="1:26" ht="12.75" customHeight="1" x14ac:dyDescent="0.2">
      <c r="A485" s="1549"/>
      <c r="B485" s="1549"/>
      <c r="C485" s="1549"/>
      <c r="D485" s="1558"/>
      <c r="E485" s="1549"/>
      <c r="F485" s="1549"/>
      <c r="G485" s="1549"/>
      <c r="H485" s="1549"/>
      <c r="I485" s="1549"/>
      <c r="J485" s="1549"/>
      <c r="K485" s="1549"/>
      <c r="L485" s="1549"/>
      <c r="M485" s="1549"/>
      <c r="N485" s="1549"/>
      <c r="O485" s="1549"/>
      <c r="P485" s="1549"/>
      <c r="Q485" s="1549"/>
      <c r="R485" s="1549"/>
      <c r="S485" s="1549"/>
      <c r="T485" s="1549"/>
      <c r="U485" s="1549"/>
      <c r="V485" s="1549"/>
      <c r="W485" s="1549"/>
      <c r="X485" s="1549"/>
      <c r="Y485" s="1549"/>
      <c r="Z485" s="1549"/>
    </row>
    <row r="486" spans="1:26" ht="12.75" customHeight="1" x14ac:dyDescent="0.2">
      <c r="A486" s="1549"/>
      <c r="B486" s="1549"/>
      <c r="C486" s="1549"/>
      <c r="D486" s="1558"/>
      <c r="E486" s="1549"/>
      <c r="F486" s="1549"/>
      <c r="G486" s="1549"/>
      <c r="H486" s="1549"/>
      <c r="I486" s="1549"/>
      <c r="J486" s="1549"/>
      <c r="K486" s="1549"/>
      <c r="L486" s="1549"/>
      <c r="M486" s="1549"/>
      <c r="N486" s="1549"/>
      <c r="O486" s="1549"/>
      <c r="P486" s="1549"/>
      <c r="Q486" s="1549"/>
      <c r="R486" s="1549"/>
      <c r="S486" s="1549"/>
      <c r="T486" s="1549"/>
      <c r="U486" s="1549"/>
      <c r="V486" s="1549"/>
      <c r="W486" s="1549"/>
      <c r="X486" s="1549"/>
      <c r="Y486" s="1549"/>
      <c r="Z486" s="1549"/>
    </row>
    <row r="487" spans="1:26" ht="12.75" customHeight="1" x14ac:dyDescent="0.2">
      <c r="A487" s="1549"/>
      <c r="B487" s="1549"/>
      <c r="C487" s="1549"/>
      <c r="D487" s="1558"/>
      <c r="E487" s="1549"/>
      <c r="F487" s="1549"/>
      <c r="G487" s="1549"/>
      <c r="H487" s="1549"/>
      <c r="I487" s="1549"/>
      <c r="J487" s="1549"/>
      <c r="K487" s="1549"/>
      <c r="L487" s="1549"/>
      <c r="M487" s="1549"/>
      <c r="N487" s="1549"/>
      <c r="O487" s="1549"/>
      <c r="P487" s="1549"/>
      <c r="Q487" s="1549"/>
      <c r="R487" s="1549"/>
      <c r="S487" s="1549"/>
      <c r="T487" s="1549"/>
      <c r="U487" s="1549"/>
      <c r="V487" s="1549"/>
      <c r="W487" s="1549"/>
      <c r="X487" s="1549"/>
      <c r="Y487" s="1549"/>
      <c r="Z487" s="1549"/>
    </row>
    <row r="488" spans="1:26" ht="12.75" customHeight="1" x14ac:dyDescent="0.2">
      <c r="A488" s="1549"/>
      <c r="B488" s="1549"/>
      <c r="C488" s="1549"/>
      <c r="D488" s="1558"/>
      <c r="E488" s="1549"/>
      <c r="F488" s="1549"/>
      <c r="G488" s="1549"/>
      <c r="H488" s="1549"/>
      <c r="I488" s="1549"/>
      <c r="J488" s="1549"/>
      <c r="K488" s="1549"/>
      <c r="L488" s="1549"/>
      <c r="M488" s="1549"/>
      <c r="N488" s="1549"/>
      <c r="O488" s="1549"/>
      <c r="P488" s="1549"/>
      <c r="Q488" s="1549"/>
      <c r="R488" s="1549"/>
      <c r="S488" s="1549"/>
      <c r="T488" s="1549"/>
      <c r="U488" s="1549"/>
      <c r="V488" s="1549"/>
      <c r="W488" s="1549"/>
      <c r="X488" s="1549"/>
      <c r="Y488" s="1549"/>
      <c r="Z488" s="1549"/>
    </row>
    <row r="489" spans="1:26" ht="12.75" customHeight="1" x14ac:dyDescent="0.2">
      <c r="A489" s="1549"/>
      <c r="B489" s="1549"/>
      <c r="C489" s="1549"/>
      <c r="D489" s="1558"/>
      <c r="E489" s="1549"/>
      <c r="F489" s="1549"/>
      <c r="G489" s="1549"/>
      <c r="H489" s="1549"/>
      <c r="I489" s="1549"/>
      <c r="J489" s="1549"/>
      <c r="K489" s="1549"/>
      <c r="L489" s="1549"/>
      <c r="M489" s="1549"/>
      <c r="N489" s="1549"/>
      <c r="O489" s="1549"/>
      <c r="P489" s="1549"/>
      <c r="Q489" s="1549"/>
      <c r="R489" s="1549"/>
      <c r="S489" s="1549"/>
      <c r="T489" s="1549"/>
      <c r="U489" s="1549"/>
      <c r="V489" s="1549"/>
      <c r="W489" s="1549"/>
      <c r="X489" s="1549"/>
      <c r="Y489" s="1549"/>
      <c r="Z489" s="1549"/>
    </row>
    <row r="490" spans="1:26" ht="12.75" customHeight="1" x14ac:dyDescent="0.2">
      <c r="A490" s="1549"/>
      <c r="B490" s="1549"/>
      <c r="C490" s="1549"/>
      <c r="D490" s="1558"/>
      <c r="E490" s="1549"/>
      <c r="F490" s="1549"/>
      <c r="G490" s="1549"/>
      <c r="H490" s="1549"/>
      <c r="I490" s="1549"/>
      <c r="J490" s="1549"/>
      <c r="K490" s="1549"/>
      <c r="L490" s="1549"/>
      <c r="M490" s="1549"/>
      <c r="N490" s="1549"/>
      <c r="O490" s="1549"/>
      <c r="P490" s="1549"/>
      <c r="Q490" s="1549"/>
      <c r="R490" s="1549"/>
      <c r="S490" s="1549"/>
      <c r="T490" s="1549"/>
      <c r="U490" s="1549"/>
      <c r="V490" s="1549"/>
      <c r="W490" s="1549"/>
      <c r="X490" s="1549"/>
      <c r="Y490" s="1549"/>
      <c r="Z490" s="1549"/>
    </row>
    <row r="491" spans="1:26" ht="12.75" customHeight="1" x14ac:dyDescent="0.2">
      <c r="A491" s="1549"/>
      <c r="B491" s="1549"/>
      <c r="C491" s="1549"/>
      <c r="D491" s="1558"/>
      <c r="E491" s="1549"/>
      <c r="F491" s="1549"/>
      <c r="G491" s="1549"/>
      <c r="H491" s="1549"/>
      <c r="I491" s="1549"/>
      <c r="J491" s="1549"/>
      <c r="K491" s="1549"/>
      <c r="L491" s="1549"/>
      <c r="M491" s="1549"/>
      <c r="N491" s="1549"/>
      <c r="O491" s="1549"/>
      <c r="P491" s="1549"/>
      <c r="Q491" s="1549"/>
      <c r="R491" s="1549"/>
      <c r="S491" s="1549"/>
      <c r="T491" s="1549"/>
      <c r="U491" s="1549"/>
      <c r="V491" s="1549"/>
      <c r="W491" s="1549"/>
      <c r="X491" s="1549"/>
      <c r="Y491" s="1549"/>
      <c r="Z491" s="1549"/>
    </row>
    <row r="492" spans="1:26" ht="12.75" customHeight="1" x14ac:dyDescent="0.2">
      <c r="A492" s="1549"/>
      <c r="B492" s="1549"/>
      <c r="C492" s="1549"/>
      <c r="D492" s="1558"/>
      <c r="E492" s="1549"/>
      <c r="F492" s="1549"/>
      <c r="G492" s="1549"/>
      <c r="H492" s="1549"/>
      <c r="I492" s="1549"/>
      <c r="J492" s="1549"/>
      <c r="K492" s="1549"/>
      <c r="L492" s="1549"/>
      <c r="M492" s="1549"/>
      <c r="N492" s="1549"/>
      <c r="O492" s="1549"/>
      <c r="P492" s="1549"/>
      <c r="Q492" s="1549"/>
      <c r="R492" s="1549"/>
      <c r="S492" s="1549"/>
      <c r="T492" s="1549"/>
      <c r="U492" s="1549"/>
      <c r="V492" s="1549"/>
      <c r="W492" s="1549"/>
      <c r="X492" s="1549"/>
      <c r="Y492" s="1549"/>
      <c r="Z492" s="1549"/>
    </row>
    <row r="493" spans="1:26" ht="12.75" customHeight="1" x14ac:dyDescent="0.2">
      <c r="A493" s="1549"/>
      <c r="B493" s="1549"/>
      <c r="C493" s="1549"/>
      <c r="D493" s="1558"/>
      <c r="E493" s="1549"/>
      <c r="F493" s="1549"/>
      <c r="G493" s="1549"/>
      <c r="H493" s="1549"/>
      <c r="I493" s="1549"/>
      <c r="J493" s="1549"/>
      <c r="K493" s="1549"/>
      <c r="L493" s="1549"/>
      <c r="M493" s="1549"/>
      <c r="N493" s="1549"/>
      <c r="O493" s="1549"/>
      <c r="P493" s="1549"/>
      <c r="Q493" s="1549"/>
      <c r="R493" s="1549"/>
      <c r="S493" s="1549"/>
      <c r="T493" s="1549"/>
      <c r="U493" s="1549"/>
      <c r="V493" s="1549"/>
      <c r="W493" s="1549"/>
      <c r="X493" s="1549"/>
      <c r="Y493" s="1549"/>
      <c r="Z493" s="1549"/>
    </row>
    <row r="494" spans="1:26" ht="12.75" customHeight="1" x14ac:dyDescent="0.2">
      <c r="A494" s="1549"/>
      <c r="B494" s="1549"/>
      <c r="C494" s="1549"/>
      <c r="D494" s="1558"/>
      <c r="E494" s="1549"/>
      <c r="F494" s="1549"/>
      <c r="G494" s="1549"/>
      <c r="H494" s="1549"/>
      <c r="I494" s="1549"/>
      <c r="J494" s="1549"/>
      <c r="K494" s="1549"/>
      <c r="L494" s="1549"/>
      <c r="M494" s="1549"/>
      <c r="N494" s="1549"/>
      <c r="O494" s="1549"/>
      <c r="P494" s="1549"/>
      <c r="Q494" s="1549"/>
      <c r="R494" s="1549"/>
      <c r="S494" s="1549"/>
      <c r="T494" s="1549"/>
      <c r="U494" s="1549"/>
      <c r="V494" s="1549"/>
      <c r="W494" s="1549"/>
      <c r="X494" s="1549"/>
      <c r="Y494" s="1549"/>
      <c r="Z494" s="1549"/>
    </row>
    <row r="495" spans="1:26" ht="12.75" customHeight="1" x14ac:dyDescent="0.2">
      <c r="A495" s="1549"/>
      <c r="B495" s="1549"/>
      <c r="C495" s="1549"/>
      <c r="D495" s="1558"/>
      <c r="E495" s="1549"/>
      <c r="F495" s="1549"/>
      <c r="G495" s="1549"/>
      <c r="H495" s="1549"/>
      <c r="I495" s="1549"/>
      <c r="J495" s="1549"/>
      <c r="K495" s="1549"/>
      <c r="L495" s="1549"/>
      <c r="M495" s="1549"/>
      <c r="N495" s="1549"/>
      <c r="O495" s="1549"/>
      <c r="P495" s="1549"/>
      <c r="Q495" s="1549"/>
      <c r="R495" s="1549"/>
      <c r="S495" s="1549"/>
      <c r="T495" s="1549"/>
      <c r="U495" s="1549"/>
      <c r="V495" s="1549"/>
      <c r="W495" s="1549"/>
      <c r="X495" s="1549"/>
      <c r="Y495" s="1549"/>
      <c r="Z495" s="1549"/>
    </row>
    <row r="496" spans="1:26" ht="12.75" customHeight="1" x14ac:dyDescent="0.2">
      <c r="A496" s="1549"/>
      <c r="B496" s="1549"/>
      <c r="C496" s="1549"/>
      <c r="D496" s="1558"/>
      <c r="E496" s="1549"/>
      <c r="F496" s="1549"/>
      <c r="G496" s="1549"/>
      <c r="H496" s="1549"/>
      <c r="I496" s="1549"/>
      <c r="J496" s="1549"/>
      <c r="K496" s="1549"/>
      <c r="L496" s="1549"/>
      <c r="M496" s="1549"/>
      <c r="N496" s="1549"/>
      <c r="O496" s="1549"/>
      <c r="P496" s="1549"/>
      <c r="Q496" s="1549"/>
      <c r="R496" s="1549"/>
      <c r="S496" s="1549"/>
      <c r="T496" s="1549"/>
      <c r="U496" s="1549"/>
      <c r="V496" s="1549"/>
      <c r="W496" s="1549"/>
      <c r="X496" s="1549"/>
      <c r="Y496" s="1549"/>
      <c r="Z496" s="1549"/>
    </row>
    <row r="497" spans="1:26" ht="12.75" customHeight="1" x14ac:dyDescent="0.2">
      <c r="A497" s="1549"/>
      <c r="B497" s="1549"/>
      <c r="C497" s="1549"/>
      <c r="D497" s="1558"/>
      <c r="E497" s="1549"/>
      <c r="F497" s="1549"/>
      <c r="G497" s="1549"/>
      <c r="H497" s="1549"/>
      <c r="I497" s="1549"/>
      <c r="J497" s="1549"/>
      <c r="K497" s="1549"/>
      <c r="L497" s="1549"/>
      <c r="M497" s="1549"/>
      <c r="N497" s="1549"/>
      <c r="O497" s="1549"/>
      <c r="P497" s="1549"/>
      <c r="Q497" s="1549"/>
      <c r="R497" s="1549"/>
      <c r="S497" s="1549"/>
      <c r="T497" s="1549"/>
      <c r="U497" s="1549"/>
      <c r="V497" s="1549"/>
      <c r="W497" s="1549"/>
      <c r="X497" s="1549"/>
      <c r="Y497" s="1549"/>
      <c r="Z497" s="1549"/>
    </row>
    <row r="498" spans="1:26" ht="12.75" customHeight="1" x14ac:dyDescent="0.2">
      <c r="A498" s="1549"/>
      <c r="B498" s="1549"/>
      <c r="C498" s="1549"/>
      <c r="D498" s="1558"/>
      <c r="E498" s="1549"/>
      <c r="F498" s="1549"/>
      <c r="G498" s="1549"/>
      <c r="H498" s="1549"/>
      <c r="I498" s="1549"/>
      <c r="J498" s="1549"/>
      <c r="K498" s="1549"/>
      <c r="L498" s="1549"/>
      <c r="M498" s="1549"/>
      <c r="N498" s="1549"/>
      <c r="O498" s="1549"/>
      <c r="P498" s="1549"/>
      <c r="Q498" s="1549"/>
      <c r="R498" s="1549"/>
      <c r="S498" s="1549"/>
      <c r="T498" s="1549"/>
      <c r="U498" s="1549"/>
      <c r="V498" s="1549"/>
      <c r="W498" s="1549"/>
      <c r="X498" s="1549"/>
      <c r="Y498" s="1549"/>
      <c r="Z498" s="1549"/>
    </row>
    <row r="499" spans="1:26" ht="12.75" customHeight="1" x14ac:dyDescent="0.2">
      <c r="A499" s="1549"/>
      <c r="B499" s="1549"/>
      <c r="C499" s="1549"/>
      <c r="D499" s="1558"/>
      <c r="E499" s="1549"/>
      <c r="F499" s="1549"/>
      <c r="G499" s="1549"/>
      <c r="H499" s="1549"/>
      <c r="I499" s="1549"/>
      <c r="J499" s="1549"/>
      <c r="K499" s="1549"/>
      <c r="L499" s="1549"/>
      <c r="M499" s="1549"/>
      <c r="N499" s="1549"/>
      <c r="O499" s="1549"/>
      <c r="P499" s="1549"/>
      <c r="Q499" s="1549"/>
      <c r="R499" s="1549"/>
      <c r="S499" s="1549"/>
      <c r="T499" s="1549"/>
      <c r="U499" s="1549"/>
      <c r="V499" s="1549"/>
      <c r="W499" s="1549"/>
      <c r="X499" s="1549"/>
      <c r="Y499" s="1549"/>
      <c r="Z499" s="1549"/>
    </row>
    <row r="500" spans="1:26" ht="12.75" customHeight="1" x14ac:dyDescent="0.2">
      <c r="A500" s="1549"/>
      <c r="B500" s="1549"/>
      <c r="C500" s="1549"/>
      <c r="D500" s="1558"/>
      <c r="E500" s="1549"/>
      <c r="F500" s="1549"/>
      <c r="G500" s="1549"/>
      <c r="H500" s="1549"/>
      <c r="I500" s="1549"/>
      <c r="J500" s="1549"/>
      <c r="K500" s="1549"/>
      <c r="L500" s="1549"/>
      <c r="M500" s="1549"/>
      <c r="N500" s="1549"/>
      <c r="O500" s="1549"/>
      <c r="P500" s="1549"/>
      <c r="Q500" s="1549"/>
      <c r="R500" s="1549"/>
      <c r="S500" s="1549"/>
      <c r="T500" s="1549"/>
      <c r="U500" s="1549"/>
      <c r="V500" s="1549"/>
      <c r="W500" s="1549"/>
      <c r="X500" s="1549"/>
      <c r="Y500" s="1549"/>
      <c r="Z500" s="1549"/>
    </row>
    <row r="501" spans="1:26" ht="12.75" customHeight="1" x14ac:dyDescent="0.2">
      <c r="A501" s="1549"/>
      <c r="B501" s="1549"/>
      <c r="C501" s="1549"/>
      <c r="D501" s="1558"/>
      <c r="E501" s="1549"/>
      <c r="F501" s="1549"/>
      <c r="G501" s="1549"/>
      <c r="H501" s="1549"/>
      <c r="I501" s="1549"/>
      <c r="J501" s="1549"/>
      <c r="K501" s="1549"/>
      <c r="L501" s="1549"/>
      <c r="M501" s="1549"/>
      <c r="N501" s="1549"/>
      <c r="O501" s="1549"/>
      <c r="P501" s="1549"/>
      <c r="Q501" s="1549"/>
      <c r="R501" s="1549"/>
      <c r="S501" s="1549"/>
      <c r="T501" s="1549"/>
      <c r="U501" s="1549"/>
      <c r="V501" s="1549"/>
      <c r="W501" s="1549"/>
      <c r="X501" s="1549"/>
      <c r="Y501" s="1549"/>
      <c r="Z501" s="1549"/>
    </row>
    <row r="502" spans="1:26" ht="12.75" customHeight="1" x14ac:dyDescent="0.2">
      <c r="A502" s="1549"/>
      <c r="B502" s="1549"/>
      <c r="C502" s="1549"/>
      <c r="D502" s="1558"/>
      <c r="E502" s="1549"/>
      <c r="F502" s="1549"/>
      <c r="G502" s="1549"/>
      <c r="H502" s="1549"/>
      <c r="I502" s="1549"/>
      <c r="J502" s="1549"/>
      <c r="K502" s="1549"/>
      <c r="L502" s="1549"/>
      <c r="M502" s="1549"/>
      <c r="N502" s="1549"/>
      <c r="O502" s="1549"/>
      <c r="P502" s="1549"/>
      <c r="Q502" s="1549"/>
      <c r="R502" s="1549"/>
      <c r="S502" s="1549"/>
      <c r="T502" s="1549"/>
      <c r="U502" s="1549"/>
      <c r="V502" s="1549"/>
      <c r="W502" s="1549"/>
      <c r="X502" s="1549"/>
      <c r="Y502" s="1549"/>
      <c r="Z502" s="1549"/>
    </row>
    <row r="503" spans="1:26" ht="12.75" customHeight="1" x14ac:dyDescent="0.2">
      <c r="A503" s="1549"/>
      <c r="B503" s="1549"/>
      <c r="C503" s="1549"/>
      <c r="D503" s="1558"/>
      <c r="E503" s="1549"/>
      <c r="F503" s="1549"/>
      <c r="G503" s="1549"/>
      <c r="H503" s="1549"/>
      <c r="I503" s="1549"/>
      <c r="J503" s="1549"/>
      <c r="K503" s="1549"/>
      <c r="L503" s="1549"/>
      <c r="M503" s="1549"/>
      <c r="N503" s="1549"/>
      <c r="O503" s="1549"/>
      <c r="P503" s="1549"/>
      <c r="Q503" s="1549"/>
      <c r="R503" s="1549"/>
      <c r="S503" s="1549"/>
      <c r="T503" s="1549"/>
      <c r="U503" s="1549"/>
      <c r="V503" s="1549"/>
      <c r="W503" s="1549"/>
      <c r="X503" s="1549"/>
      <c r="Y503" s="1549"/>
      <c r="Z503" s="1549"/>
    </row>
    <row r="504" spans="1:26" ht="12.75" customHeight="1" x14ac:dyDescent="0.2">
      <c r="A504" s="1549"/>
      <c r="B504" s="1549"/>
      <c r="C504" s="1549"/>
      <c r="D504" s="1558"/>
      <c r="E504" s="1549"/>
      <c r="F504" s="1549"/>
      <c r="G504" s="1549"/>
      <c r="H504" s="1549"/>
      <c r="I504" s="1549"/>
      <c r="J504" s="1549"/>
      <c r="K504" s="1549"/>
      <c r="L504" s="1549"/>
      <c r="M504" s="1549"/>
      <c r="N504" s="1549"/>
      <c r="O504" s="1549"/>
      <c r="P504" s="1549"/>
      <c r="Q504" s="1549"/>
      <c r="R504" s="1549"/>
      <c r="S504" s="1549"/>
      <c r="T504" s="1549"/>
      <c r="U504" s="1549"/>
      <c r="V504" s="1549"/>
      <c r="W504" s="1549"/>
      <c r="X504" s="1549"/>
      <c r="Y504" s="1549"/>
      <c r="Z504" s="1549"/>
    </row>
    <row r="505" spans="1:26" ht="12.75" customHeight="1" x14ac:dyDescent="0.2">
      <c r="A505" s="1549"/>
      <c r="B505" s="1549"/>
      <c r="C505" s="1549"/>
      <c r="D505" s="1558"/>
      <c r="E505" s="1549"/>
      <c r="F505" s="1549"/>
      <c r="G505" s="1549"/>
      <c r="H505" s="1549"/>
      <c r="I505" s="1549"/>
      <c r="J505" s="1549"/>
      <c r="K505" s="1549"/>
      <c r="L505" s="1549"/>
      <c r="M505" s="1549"/>
      <c r="N505" s="1549"/>
      <c r="O505" s="1549"/>
      <c r="P505" s="1549"/>
      <c r="Q505" s="1549"/>
      <c r="R505" s="1549"/>
      <c r="S505" s="1549"/>
      <c r="T505" s="1549"/>
      <c r="U505" s="1549"/>
      <c r="V505" s="1549"/>
      <c r="W505" s="1549"/>
      <c r="X505" s="1549"/>
      <c r="Y505" s="1549"/>
      <c r="Z505" s="1549"/>
    </row>
    <row r="506" spans="1:26" ht="12.75" customHeight="1" x14ac:dyDescent="0.2">
      <c r="A506" s="1549"/>
      <c r="B506" s="1549"/>
      <c r="C506" s="1549"/>
      <c r="D506" s="1558"/>
      <c r="E506" s="1549"/>
      <c r="F506" s="1549"/>
      <c r="G506" s="1549"/>
      <c r="H506" s="1549"/>
      <c r="I506" s="1549"/>
      <c r="J506" s="1549"/>
      <c r="K506" s="1549"/>
      <c r="L506" s="1549"/>
      <c r="M506" s="1549"/>
      <c r="N506" s="1549"/>
      <c r="O506" s="1549"/>
      <c r="P506" s="1549"/>
      <c r="Q506" s="1549"/>
      <c r="R506" s="1549"/>
      <c r="S506" s="1549"/>
      <c r="T506" s="1549"/>
      <c r="U506" s="1549"/>
      <c r="V506" s="1549"/>
      <c r="W506" s="1549"/>
      <c r="X506" s="1549"/>
      <c r="Y506" s="1549"/>
      <c r="Z506" s="1549"/>
    </row>
    <row r="507" spans="1:26" ht="12.75" customHeight="1" x14ac:dyDescent="0.2">
      <c r="A507" s="1549"/>
      <c r="B507" s="1549"/>
      <c r="C507" s="1549"/>
      <c r="D507" s="1558"/>
      <c r="E507" s="1549"/>
      <c r="F507" s="1549"/>
      <c r="G507" s="1549"/>
      <c r="H507" s="1549"/>
      <c r="I507" s="1549"/>
      <c r="J507" s="1549"/>
      <c r="K507" s="1549"/>
      <c r="L507" s="1549"/>
      <c r="M507" s="1549"/>
      <c r="N507" s="1549"/>
      <c r="O507" s="1549"/>
      <c r="P507" s="1549"/>
      <c r="Q507" s="1549"/>
      <c r="R507" s="1549"/>
      <c r="S507" s="1549"/>
      <c r="T507" s="1549"/>
      <c r="U507" s="1549"/>
      <c r="V507" s="1549"/>
      <c r="W507" s="1549"/>
      <c r="X507" s="1549"/>
      <c r="Y507" s="1549"/>
      <c r="Z507" s="1549"/>
    </row>
    <row r="508" spans="1:26" ht="12.75" customHeight="1" x14ac:dyDescent="0.2">
      <c r="A508" s="1549"/>
      <c r="B508" s="1549"/>
      <c r="C508" s="1549"/>
      <c r="D508" s="1558"/>
      <c r="E508" s="1549"/>
      <c r="F508" s="1549"/>
      <c r="G508" s="1549"/>
      <c r="H508" s="1549"/>
      <c r="I508" s="1549"/>
      <c r="J508" s="1549"/>
      <c r="K508" s="1549"/>
      <c r="L508" s="1549"/>
      <c r="M508" s="1549"/>
      <c r="N508" s="1549"/>
      <c r="O508" s="1549"/>
      <c r="P508" s="1549"/>
      <c r="Q508" s="1549"/>
      <c r="R508" s="1549"/>
      <c r="S508" s="1549"/>
      <c r="T508" s="1549"/>
      <c r="U508" s="1549"/>
      <c r="V508" s="1549"/>
      <c r="W508" s="1549"/>
      <c r="X508" s="1549"/>
      <c r="Y508" s="1549"/>
      <c r="Z508" s="1549"/>
    </row>
    <row r="509" spans="1:26" ht="12.75" customHeight="1" x14ac:dyDescent="0.2">
      <c r="A509" s="1549"/>
      <c r="B509" s="1549"/>
      <c r="C509" s="1549"/>
      <c r="D509" s="1558"/>
      <c r="E509" s="1549"/>
      <c r="F509" s="1549"/>
      <c r="G509" s="1549"/>
      <c r="H509" s="1549"/>
      <c r="I509" s="1549"/>
      <c r="J509" s="1549"/>
      <c r="K509" s="1549"/>
      <c r="L509" s="1549"/>
      <c r="M509" s="1549"/>
      <c r="N509" s="1549"/>
      <c r="O509" s="1549"/>
      <c r="P509" s="1549"/>
      <c r="Q509" s="1549"/>
      <c r="R509" s="1549"/>
      <c r="S509" s="1549"/>
      <c r="T509" s="1549"/>
      <c r="U509" s="1549"/>
      <c r="V509" s="1549"/>
      <c r="W509" s="1549"/>
      <c r="X509" s="1549"/>
      <c r="Y509" s="1549"/>
      <c r="Z509" s="1549"/>
    </row>
    <row r="510" spans="1:26" ht="12.75" customHeight="1" x14ac:dyDescent="0.2">
      <c r="A510" s="1549"/>
      <c r="B510" s="1549"/>
      <c r="C510" s="1549"/>
      <c r="D510" s="1558"/>
      <c r="E510" s="1549"/>
      <c r="F510" s="1549"/>
      <c r="G510" s="1549"/>
      <c r="H510" s="1549"/>
      <c r="I510" s="1549"/>
      <c r="J510" s="1549"/>
      <c r="K510" s="1549"/>
      <c r="L510" s="1549"/>
      <c r="M510" s="1549"/>
      <c r="N510" s="1549"/>
      <c r="O510" s="1549"/>
      <c r="P510" s="1549"/>
      <c r="Q510" s="1549"/>
      <c r="R510" s="1549"/>
      <c r="S510" s="1549"/>
      <c r="T510" s="1549"/>
      <c r="U510" s="1549"/>
      <c r="V510" s="1549"/>
      <c r="W510" s="1549"/>
      <c r="X510" s="1549"/>
      <c r="Y510" s="1549"/>
      <c r="Z510" s="1549"/>
    </row>
    <row r="511" spans="1:26" ht="12.75" customHeight="1" x14ac:dyDescent="0.2">
      <c r="A511" s="1549"/>
      <c r="B511" s="1549"/>
      <c r="C511" s="1549"/>
      <c r="D511" s="1558"/>
      <c r="E511" s="1549"/>
      <c r="F511" s="1549"/>
      <c r="G511" s="1549"/>
      <c r="H511" s="1549"/>
      <c r="I511" s="1549"/>
      <c r="J511" s="1549"/>
      <c r="K511" s="1549"/>
      <c r="L511" s="1549"/>
      <c r="M511" s="1549"/>
      <c r="N511" s="1549"/>
      <c r="O511" s="1549"/>
      <c r="P511" s="1549"/>
      <c r="Q511" s="1549"/>
      <c r="R511" s="1549"/>
      <c r="S511" s="1549"/>
      <c r="T511" s="1549"/>
      <c r="U511" s="1549"/>
      <c r="V511" s="1549"/>
      <c r="W511" s="1549"/>
      <c r="X511" s="1549"/>
      <c r="Y511" s="1549"/>
      <c r="Z511" s="1549"/>
    </row>
    <row r="512" spans="1:26" ht="12.75" customHeight="1" x14ac:dyDescent="0.2">
      <c r="A512" s="1549"/>
      <c r="B512" s="1549"/>
      <c r="C512" s="1549"/>
      <c r="D512" s="1558"/>
      <c r="E512" s="1549"/>
      <c r="F512" s="1549"/>
      <c r="G512" s="1549"/>
      <c r="H512" s="1549"/>
      <c r="I512" s="1549"/>
      <c r="J512" s="1549"/>
      <c r="K512" s="1549"/>
      <c r="L512" s="1549"/>
      <c r="M512" s="1549"/>
      <c r="N512" s="1549"/>
      <c r="O512" s="1549"/>
      <c r="P512" s="1549"/>
      <c r="Q512" s="1549"/>
      <c r="R512" s="1549"/>
      <c r="S512" s="1549"/>
      <c r="T512" s="1549"/>
      <c r="U512" s="1549"/>
      <c r="V512" s="1549"/>
      <c r="W512" s="1549"/>
      <c r="X512" s="1549"/>
      <c r="Y512" s="1549"/>
      <c r="Z512" s="1549"/>
    </row>
    <row r="513" spans="1:26" ht="12.75" customHeight="1" x14ac:dyDescent="0.2">
      <c r="A513" s="1549"/>
      <c r="B513" s="1549"/>
      <c r="C513" s="1549"/>
      <c r="D513" s="1558"/>
      <c r="E513" s="1549"/>
      <c r="F513" s="1549"/>
      <c r="G513" s="1549"/>
      <c r="H513" s="1549"/>
      <c r="I513" s="1549"/>
      <c r="J513" s="1549"/>
      <c r="K513" s="1549"/>
      <c r="L513" s="1549"/>
      <c r="M513" s="1549"/>
      <c r="N513" s="1549"/>
      <c r="O513" s="1549"/>
      <c r="P513" s="1549"/>
      <c r="Q513" s="1549"/>
      <c r="R513" s="1549"/>
      <c r="S513" s="1549"/>
      <c r="T513" s="1549"/>
      <c r="U513" s="1549"/>
      <c r="V513" s="1549"/>
      <c r="W513" s="1549"/>
      <c r="X513" s="1549"/>
      <c r="Y513" s="1549"/>
      <c r="Z513" s="1549"/>
    </row>
    <row r="514" spans="1:26" ht="12.75" customHeight="1" x14ac:dyDescent="0.2">
      <c r="A514" s="1549"/>
      <c r="B514" s="1549"/>
      <c r="C514" s="1549"/>
      <c r="D514" s="1558"/>
      <c r="E514" s="1549"/>
      <c r="F514" s="1549"/>
      <c r="G514" s="1549"/>
      <c r="H514" s="1549"/>
      <c r="I514" s="1549"/>
      <c r="J514" s="1549"/>
      <c r="K514" s="1549"/>
      <c r="L514" s="1549"/>
      <c r="M514" s="1549"/>
      <c r="N514" s="1549"/>
      <c r="O514" s="1549"/>
      <c r="P514" s="1549"/>
      <c r="Q514" s="1549"/>
      <c r="R514" s="1549"/>
      <c r="S514" s="1549"/>
      <c r="T514" s="1549"/>
      <c r="U514" s="1549"/>
      <c r="V514" s="1549"/>
      <c r="W514" s="1549"/>
      <c r="X514" s="1549"/>
      <c r="Y514" s="1549"/>
      <c r="Z514" s="1549"/>
    </row>
    <row r="515" spans="1:26" ht="12.75" customHeight="1" x14ac:dyDescent="0.2">
      <c r="A515" s="1549"/>
      <c r="B515" s="1549"/>
      <c r="C515" s="1549"/>
      <c r="D515" s="1558"/>
      <c r="E515" s="1549"/>
      <c r="F515" s="1549"/>
      <c r="G515" s="1549"/>
      <c r="H515" s="1549"/>
      <c r="I515" s="1549"/>
      <c r="J515" s="1549"/>
      <c r="K515" s="1549"/>
      <c r="L515" s="1549"/>
      <c r="M515" s="1549"/>
      <c r="N515" s="1549"/>
      <c r="O515" s="1549"/>
      <c r="P515" s="1549"/>
      <c r="Q515" s="1549"/>
      <c r="R515" s="1549"/>
      <c r="S515" s="1549"/>
      <c r="T515" s="1549"/>
      <c r="U515" s="1549"/>
      <c r="V515" s="1549"/>
      <c r="W515" s="1549"/>
      <c r="X515" s="1549"/>
      <c r="Y515" s="1549"/>
      <c r="Z515" s="1549"/>
    </row>
    <row r="516" spans="1:26" ht="12.75" customHeight="1" x14ac:dyDescent="0.2">
      <c r="A516" s="1549"/>
      <c r="B516" s="1549"/>
      <c r="C516" s="1549"/>
      <c r="D516" s="1558"/>
      <c r="E516" s="1549"/>
      <c r="F516" s="1549"/>
      <c r="G516" s="1549"/>
      <c r="H516" s="1549"/>
      <c r="I516" s="1549"/>
      <c r="J516" s="1549"/>
      <c r="K516" s="1549"/>
      <c r="L516" s="1549"/>
      <c r="M516" s="1549"/>
      <c r="N516" s="1549"/>
      <c r="O516" s="1549"/>
      <c r="P516" s="1549"/>
      <c r="Q516" s="1549"/>
      <c r="R516" s="1549"/>
      <c r="S516" s="1549"/>
      <c r="T516" s="1549"/>
      <c r="U516" s="1549"/>
      <c r="V516" s="1549"/>
      <c r="W516" s="1549"/>
      <c r="X516" s="1549"/>
      <c r="Y516" s="1549"/>
      <c r="Z516" s="1549"/>
    </row>
    <row r="517" spans="1:26" ht="12.75" customHeight="1" x14ac:dyDescent="0.2">
      <c r="A517" s="1549"/>
      <c r="B517" s="1549"/>
      <c r="C517" s="1549"/>
      <c r="D517" s="1558"/>
      <c r="E517" s="1549"/>
      <c r="F517" s="1549"/>
      <c r="G517" s="1549"/>
      <c r="H517" s="1549"/>
      <c r="I517" s="1549"/>
      <c r="J517" s="1549"/>
      <c r="K517" s="1549"/>
      <c r="L517" s="1549"/>
      <c r="M517" s="1549"/>
      <c r="N517" s="1549"/>
      <c r="O517" s="1549"/>
      <c r="P517" s="1549"/>
      <c r="Q517" s="1549"/>
      <c r="R517" s="1549"/>
      <c r="S517" s="1549"/>
      <c r="T517" s="1549"/>
      <c r="U517" s="1549"/>
      <c r="V517" s="1549"/>
      <c r="W517" s="1549"/>
      <c r="X517" s="1549"/>
      <c r="Y517" s="1549"/>
      <c r="Z517" s="1549"/>
    </row>
    <row r="518" spans="1:26" ht="12.75" customHeight="1" x14ac:dyDescent="0.2">
      <c r="A518" s="1549"/>
      <c r="B518" s="1549"/>
      <c r="C518" s="1549"/>
      <c r="D518" s="1558"/>
      <c r="E518" s="1549"/>
      <c r="F518" s="1549"/>
      <c r="G518" s="1549"/>
      <c r="H518" s="1549"/>
      <c r="I518" s="1549"/>
      <c r="J518" s="1549"/>
      <c r="K518" s="1549"/>
      <c r="L518" s="1549"/>
      <c r="M518" s="1549"/>
      <c r="N518" s="1549"/>
      <c r="O518" s="1549"/>
      <c r="P518" s="1549"/>
      <c r="Q518" s="1549"/>
      <c r="R518" s="1549"/>
      <c r="S518" s="1549"/>
      <c r="T518" s="1549"/>
      <c r="U518" s="1549"/>
      <c r="V518" s="1549"/>
      <c r="W518" s="1549"/>
      <c r="X518" s="1549"/>
      <c r="Y518" s="1549"/>
      <c r="Z518" s="1549"/>
    </row>
    <row r="519" spans="1:26" ht="12.75" customHeight="1" x14ac:dyDescent="0.2">
      <c r="A519" s="1549"/>
      <c r="B519" s="1549"/>
      <c r="C519" s="1549"/>
      <c r="D519" s="1558"/>
      <c r="E519" s="1549"/>
      <c r="F519" s="1549"/>
      <c r="G519" s="1549"/>
      <c r="H519" s="1549"/>
      <c r="I519" s="1549"/>
      <c r="J519" s="1549"/>
      <c r="K519" s="1549"/>
      <c r="L519" s="1549"/>
      <c r="M519" s="1549"/>
      <c r="N519" s="1549"/>
      <c r="O519" s="1549"/>
      <c r="P519" s="1549"/>
      <c r="Q519" s="1549"/>
      <c r="R519" s="1549"/>
      <c r="S519" s="1549"/>
      <c r="T519" s="1549"/>
      <c r="U519" s="1549"/>
      <c r="V519" s="1549"/>
      <c r="W519" s="1549"/>
      <c r="X519" s="1549"/>
      <c r="Y519" s="1549"/>
      <c r="Z519" s="1549"/>
    </row>
    <row r="520" spans="1:26" ht="12.75" customHeight="1" x14ac:dyDescent="0.2">
      <c r="A520" s="1549"/>
      <c r="B520" s="1549"/>
      <c r="C520" s="1549"/>
      <c r="D520" s="1558"/>
      <c r="E520" s="1549"/>
      <c r="F520" s="1549"/>
      <c r="G520" s="1549"/>
      <c r="H520" s="1549"/>
      <c r="I520" s="1549"/>
      <c r="J520" s="1549"/>
      <c r="K520" s="1549"/>
      <c r="L520" s="1549"/>
      <c r="M520" s="1549"/>
      <c r="N520" s="1549"/>
      <c r="O520" s="1549"/>
      <c r="P520" s="1549"/>
      <c r="Q520" s="1549"/>
      <c r="R520" s="1549"/>
      <c r="S520" s="1549"/>
      <c r="T520" s="1549"/>
      <c r="U520" s="1549"/>
      <c r="V520" s="1549"/>
      <c r="W520" s="1549"/>
      <c r="X520" s="1549"/>
      <c r="Y520" s="1549"/>
      <c r="Z520" s="1549"/>
    </row>
    <row r="521" spans="1:26" ht="12.75" customHeight="1" x14ac:dyDescent="0.2">
      <c r="A521" s="1549"/>
      <c r="B521" s="1549"/>
      <c r="C521" s="1549"/>
      <c r="D521" s="1558"/>
      <c r="E521" s="1549"/>
      <c r="F521" s="1549"/>
      <c r="G521" s="1549"/>
      <c r="H521" s="1549"/>
      <c r="I521" s="1549"/>
      <c r="J521" s="1549"/>
      <c r="K521" s="1549"/>
      <c r="L521" s="1549"/>
      <c r="M521" s="1549"/>
      <c r="N521" s="1549"/>
      <c r="O521" s="1549"/>
      <c r="P521" s="1549"/>
      <c r="Q521" s="1549"/>
      <c r="R521" s="1549"/>
      <c r="S521" s="1549"/>
      <c r="T521" s="1549"/>
      <c r="U521" s="1549"/>
      <c r="V521" s="1549"/>
      <c r="W521" s="1549"/>
      <c r="X521" s="1549"/>
      <c r="Y521" s="1549"/>
      <c r="Z521" s="1549"/>
    </row>
    <row r="522" spans="1:26" ht="12.75" customHeight="1" x14ac:dyDescent="0.2">
      <c r="A522" s="1549"/>
      <c r="B522" s="1549"/>
      <c r="C522" s="1549"/>
      <c r="D522" s="1558"/>
      <c r="E522" s="1549"/>
      <c r="F522" s="1549"/>
      <c r="G522" s="1549"/>
      <c r="H522" s="1549"/>
      <c r="I522" s="1549"/>
      <c r="J522" s="1549"/>
      <c r="K522" s="1549"/>
      <c r="L522" s="1549"/>
      <c r="M522" s="1549"/>
      <c r="N522" s="1549"/>
      <c r="O522" s="1549"/>
      <c r="P522" s="1549"/>
      <c r="Q522" s="1549"/>
      <c r="R522" s="1549"/>
      <c r="S522" s="1549"/>
      <c r="T522" s="1549"/>
      <c r="U522" s="1549"/>
      <c r="V522" s="1549"/>
      <c r="W522" s="1549"/>
      <c r="X522" s="1549"/>
      <c r="Y522" s="1549"/>
      <c r="Z522" s="1549"/>
    </row>
    <row r="523" spans="1:26" ht="12.75" customHeight="1" x14ac:dyDescent="0.2">
      <c r="A523" s="1549"/>
      <c r="B523" s="1549"/>
      <c r="C523" s="1549"/>
      <c r="D523" s="1558"/>
      <c r="E523" s="1549"/>
      <c r="F523" s="1549"/>
      <c r="G523" s="1549"/>
      <c r="H523" s="1549"/>
      <c r="I523" s="1549"/>
      <c r="J523" s="1549"/>
      <c r="K523" s="1549"/>
      <c r="L523" s="1549"/>
      <c r="M523" s="1549"/>
      <c r="N523" s="1549"/>
      <c r="O523" s="1549"/>
      <c r="P523" s="1549"/>
      <c r="Q523" s="1549"/>
      <c r="R523" s="1549"/>
      <c r="S523" s="1549"/>
      <c r="T523" s="1549"/>
      <c r="U523" s="1549"/>
      <c r="V523" s="1549"/>
      <c r="W523" s="1549"/>
      <c r="X523" s="1549"/>
      <c r="Y523" s="1549"/>
      <c r="Z523" s="1549"/>
    </row>
    <row r="524" spans="1:26" ht="12.75" customHeight="1" x14ac:dyDescent="0.2">
      <c r="A524" s="1549"/>
      <c r="B524" s="1549"/>
      <c r="C524" s="1549"/>
      <c r="D524" s="1558"/>
      <c r="E524" s="1549"/>
      <c r="F524" s="1549"/>
      <c r="G524" s="1549"/>
      <c r="H524" s="1549"/>
      <c r="I524" s="1549"/>
      <c r="J524" s="1549"/>
      <c r="K524" s="1549"/>
      <c r="L524" s="1549"/>
      <c r="M524" s="1549"/>
      <c r="N524" s="1549"/>
      <c r="O524" s="1549"/>
      <c r="P524" s="1549"/>
      <c r="Q524" s="1549"/>
      <c r="R524" s="1549"/>
      <c r="S524" s="1549"/>
      <c r="T524" s="1549"/>
      <c r="U524" s="1549"/>
      <c r="V524" s="1549"/>
      <c r="W524" s="1549"/>
      <c r="X524" s="1549"/>
      <c r="Y524" s="1549"/>
      <c r="Z524" s="1549"/>
    </row>
    <row r="525" spans="1:26" ht="12.75" customHeight="1" x14ac:dyDescent="0.2">
      <c r="A525" s="1549"/>
      <c r="B525" s="1549"/>
      <c r="C525" s="1549"/>
      <c r="D525" s="1558"/>
      <c r="E525" s="1549"/>
      <c r="F525" s="1549"/>
      <c r="G525" s="1549"/>
      <c r="H525" s="1549"/>
      <c r="I525" s="1549"/>
      <c r="J525" s="1549"/>
      <c r="K525" s="1549"/>
      <c r="L525" s="1549"/>
      <c r="M525" s="1549"/>
      <c r="N525" s="1549"/>
      <c r="O525" s="1549"/>
      <c r="P525" s="1549"/>
      <c r="Q525" s="1549"/>
      <c r="R525" s="1549"/>
      <c r="S525" s="1549"/>
      <c r="T525" s="1549"/>
      <c r="U525" s="1549"/>
      <c r="V525" s="1549"/>
      <c r="W525" s="1549"/>
      <c r="X525" s="1549"/>
      <c r="Y525" s="1549"/>
      <c r="Z525" s="1549"/>
    </row>
    <row r="526" spans="1:26" ht="12.75" customHeight="1" x14ac:dyDescent="0.2">
      <c r="A526" s="1549"/>
      <c r="B526" s="1549"/>
      <c r="C526" s="1549"/>
      <c r="D526" s="1558"/>
      <c r="E526" s="1549"/>
      <c r="F526" s="1549"/>
      <c r="G526" s="1549"/>
      <c r="H526" s="1549"/>
      <c r="I526" s="1549"/>
      <c r="J526" s="1549"/>
      <c r="K526" s="1549"/>
      <c r="L526" s="1549"/>
      <c r="M526" s="1549"/>
      <c r="N526" s="1549"/>
      <c r="O526" s="1549"/>
      <c r="P526" s="1549"/>
      <c r="Q526" s="1549"/>
      <c r="R526" s="1549"/>
      <c r="S526" s="1549"/>
      <c r="T526" s="1549"/>
      <c r="U526" s="1549"/>
      <c r="V526" s="1549"/>
      <c r="W526" s="1549"/>
      <c r="X526" s="1549"/>
      <c r="Y526" s="1549"/>
      <c r="Z526" s="1549"/>
    </row>
    <row r="527" spans="1:26" ht="12.75" customHeight="1" x14ac:dyDescent="0.2">
      <c r="A527" s="1549"/>
      <c r="B527" s="1549"/>
      <c r="C527" s="1549"/>
      <c r="D527" s="1558"/>
      <c r="E527" s="1549"/>
      <c r="F527" s="1549"/>
      <c r="G527" s="1549"/>
      <c r="H527" s="1549"/>
      <c r="I527" s="1549"/>
      <c r="J527" s="1549"/>
      <c r="K527" s="1549"/>
      <c r="L527" s="1549"/>
      <c r="M527" s="1549"/>
      <c r="N527" s="1549"/>
      <c r="O527" s="1549"/>
      <c r="P527" s="1549"/>
      <c r="Q527" s="1549"/>
      <c r="R527" s="1549"/>
      <c r="S527" s="1549"/>
      <c r="T527" s="1549"/>
      <c r="U527" s="1549"/>
      <c r="V527" s="1549"/>
      <c r="W527" s="1549"/>
      <c r="X527" s="1549"/>
      <c r="Y527" s="1549"/>
      <c r="Z527" s="1549"/>
    </row>
    <row r="528" spans="1:26" ht="12.75" customHeight="1" x14ac:dyDescent="0.2">
      <c r="A528" s="1549"/>
      <c r="B528" s="1549"/>
      <c r="C528" s="1549"/>
      <c r="D528" s="1558"/>
      <c r="E528" s="1549"/>
      <c r="F528" s="1549"/>
      <c r="G528" s="1549"/>
      <c r="H528" s="1549"/>
      <c r="I528" s="1549"/>
      <c r="J528" s="1549"/>
      <c r="K528" s="1549"/>
      <c r="L528" s="1549"/>
      <c r="M528" s="1549"/>
      <c r="N528" s="1549"/>
      <c r="O528" s="1549"/>
      <c r="P528" s="1549"/>
      <c r="Q528" s="1549"/>
      <c r="R528" s="1549"/>
      <c r="S528" s="1549"/>
      <c r="T528" s="1549"/>
      <c r="U528" s="1549"/>
      <c r="V528" s="1549"/>
      <c r="W528" s="1549"/>
      <c r="X528" s="1549"/>
      <c r="Y528" s="1549"/>
      <c r="Z528" s="1549"/>
    </row>
    <row r="529" spans="1:26" ht="12.75" customHeight="1" x14ac:dyDescent="0.2">
      <c r="A529" s="1549"/>
      <c r="B529" s="1549"/>
      <c r="C529" s="1549"/>
      <c r="D529" s="1558"/>
      <c r="E529" s="1549"/>
      <c r="F529" s="1549"/>
      <c r="G529" s="1549"/>
      <c r="H529" s="1549"/>
      <c r="I529" s="1549"/>
      <c r="J529" s="1549"/>
      <c r="K529" s="1549"/>
      <c r="L529" s="1549"/>
      <c r="M529" s="1549"/>
      <c r="N529" s="1549"/>
      <c r="O529" s="1549"/>
      <c r="P529" s="1549"/>
      <c r="Q529" s="1549"/>
      <c r="R529" s="1549"/>
      <c r="S529" s="1549"/>
      <c r="T529" s="1549"/>
      <c r="U529" s="1549"/>
      <c r="V529" s="1549"/>
      <c r="W529" s="1549"/>
      <c r="X529" s="1549"/>
      <c r="Y529" s="1549"/>
      <c r="Z529" s="1549"/>
    </row>
    <row r="530" spans="1:26" ht="12.75" customHeight="1" x14ac:dyDescent="0.2">
      <c r="A530" s="1549"/>
      <c r="B530" s="1549"/>
      <c r="C530" s="1549"/>
      <c r="D530" s="1558"/>
      <c r="E530" s="1549"/>
      <c r="F530" s="1549"/>
      <c r="G530" s="1549"/>
      <c r="H530" s="1549"/>
      <c r="I530" s="1549"/>
      <c r="J530" s="1549"/>
      <c r="K530" s="1549"/>
      <c r="L530" s="1549"/>
      <c r="M530" s="1549"/>
      <c r="N530" s="1549"/>
      <c r="O530" s="1549"/>
      <c r="P530" s="1549"/>
      <c r="Q530" s="1549"/>
      <c r="R530" s="1549"/>
      <c r="S530" s="1549"/>
      <c r="T530" s="1549"/>
      <c r="U530" s="1549"/>
      <c r="V530" s="1549"/>
      <c r="W530" s="1549"/>
      <c r="X530" s="1549"/>
      <c r="Y530" s="1549"/>
      <c r="Z530" s="1549"/>
    </row>
    <row r="531" spans="1:26" ht="12.75" customHeight="1" x14ac:dyDescent="0.2">
      <c r="A531" s="1549"/>
      <c r="B531" s="1549"/>
      <c r="C531" s="1549"/>
      <c r="D531" s="1558"/>
      <c r="E531" s="1549"/>
      <c r="F531" s="1549"/>
      <c r="G531" s="1549"/>
      <c r="H531" s="1549"/>
      <c r="I531" s="1549"/>
      <c r="J531" s="1549"/>
      <c r="K531" s="1549"/>
      <c r="L531" s="1549"/>
      <c r="M531" s="1549"/>
      <c r="N531" s="1549"/>
      <c r="O531" s="1549"/>
      <c r="P531" s="1549"/>
      <c r="Q531" s="1549"/>
      <c r="R531" s="1549"/>
      <c r="S531" s="1549"/>
      <c r="T531" s="1549"/>
      <c r="U531" s="1549"/>
      <c r="V531" s="1549"/>
      <c r="W531" s="1549"/>
      <c r="X531" s="1549"/>
      <c r="Y531" s="1549"/>
      <c r="Z531" s="1549"/>
    </row>
    <row r="532" spans="1:26" ht="12.75" customHeight="1" x14ac:dyDescent="0.2">
      <c r="A532" s="1549"/>
      <c r="B532" s="1549"/>
      <c r="C532" s="1549"/>
      <c r="D532" s="1558"/>
      <c r="E532" s="1549"/>
      <c r="F532" s="1549"/>
      <c r="G532" s="1549"/>
      <c r="H532" s="1549"/>
      <c r="I532" s="1549"/>
      <c r="J532" s="1549"/>
      <c r="K532" s="1549"/>
      <c r="L532" s="1549"/>
      <c r="M532" s="1549"/>
      <c r="N532" s="1549"/>
      <c r="O532" s="1549"/>
      <c r="P532" s="1549"/>
      <c r="Q532" s="1549"/>
      <c r="R532" s="1549"/>
      <c r="S532" s="1549"/>
      <c r="T532" s="1549"/>
      <c r="U532" s="1549"/>
      <c r="V532" s="1549"/>
      <c r="W532" s="1549"/>
      <c r="X532" s="1549"/>
      <c r="Y532" s="1549"/>
      <c r="Z532" s="1549"/>
    </row>
    <row r="533" spans="1:26" ht="12.75" customHeight="1" x14ac:dyDescent="0.2">
      <c r="A533" s="1549"/>
      <c r="B533" s="1549"/>
      <c r="C533" s="1549"/>
      <c r="D533" s="1558"/>
      <c r="E533" s="1549"/>
      <c r="F533" s="1549"/>
      <c r="G533" s="1549"/>
      <c r="H533" s="1549"/>
      <c r="I533" s="1549"/>
      <c r="J533" s="1549"/>
      <c r="K533" s="1549"/>
      <c r="L533" s="1549"/>
      <c r="M533" s="1549"/>
      <c r="N533" s="1549"/>
      <c r="O533" s="1549"/>
      <c r="P533" s="1549"/>
      <c r="Q533" s="1549"/>
      <c r="R533" s="1549"/>
      <c r="S533" s="1549"/>
      <c r="T533" s="1549"/>
      <c r="U533" s="1549"/>
      <c r="V533" s="1549"/>
      <c r="W533" s="1549"/>
      <c r="X533" s="1549"/>
      <c r="Y533" s="1549"/>
      <c r="Z533" s="1549"/>
    </row>
    <row r="534" spans="1:26" ht="12.75" customHeight="1" x14ac:dyDescent="0.2">
      <c r="A534" s="1549"/>
      <c r="B534" s="1549"/>
      <c r="C534" s="1549"/>
      <c r="D534" s="1558"/>
      <c r="E534" s="1549"/>
      <c r="F534" s="1549"/>
      <c r="G534" s="1549"/>
      <c r="H534" s="1549"/>
      <c r="I534" s="1549"/>
      <c r="J534" s="1549"/>
      <c r="K534" s="1549"/>
      <c r="L534" s="1549"/>
      <c r="M534" s="1549"/>
      <c r="N534" s="1549"/>
      <c r="O534" s="1549"/>
      <c r="P534" s="1549"/>
      <c r="Q534" s="1549"/>
      <c r="R534" s="1549"/>
      <c r="S534" s="1549"/>
      <c r="T534" s="1549"/>
      <c r="U534" s="1549"/>
      <c r="V534" s="1549"/>
      <c r="W534" s="1549"/>
      <c r="X534" s="1549"/>
      <c r="Y534" s="1549"/>
      <c r="Z534" s="1549"/>
    </row>
    <row r="535" spans="1:26" ht="12.75" customHeight="1" x14ac:dyDescent="0.2">
      <c r="A535" s="1549"/>
      <c r="B535" s="1549"/>
      <c r="C535" s="1549"/>
      <c r="D535" s="1558"/>
      <c r="E535" s="1549"/>
      <c r="F535" s="1549"/>
      <c r="G535" s="1549"/>
      <c r="H535" s="1549"/>
      <c r="I535" s="1549"/>
      <c r="J535" s="1549"/>
      <c r="K535" s="1549"/>
      <c r="L535" s="1549"/>
      <c r="M535" s="1549"/>
      <c r="N535" s="1549"/>
      <c r="O535" s="1549"/>
      <c r="P535" s="1549"/>
      <c r="Q535" s="1549"/>
      <c r="R535" s="1549"/>
      <c r="S535" s="1549"/>
      <c r="T535" s="1549"/>
      <c r="U535" s="1549"/>
      <c r="V535" s="1549"/>
      <c r="W535" s="1549"/>
      <c r="X535" s="1549"/>
      <c r="Y535" s="1549"/>
      <c r="Z535" s="1549"/>
    </row>
    <row r="536" spans="1:26" ht="12.75" customHeight="1" x14ac:dyDescent="0.2">
      <c r="A536" s="1549"/>
      <c r="B536" s="1549"/>
      <c r="C536" s="1549"/>
      <c r="D536" s="1558"/>
      <c r="E536" s="1549"/>
      <c r="F536" s="1549"/>
      <c r="G536" s="1549"/>
      <c r="H536" s="1549"/>
      <c r="I536" s="1549"/>
      <c r="J536" s="1549"/>
      <c r="K536" s="1549"/>
      <c r="L536" s="1549"/>
      <c r="M536" s="1549"/>
      <c r="N536" s="1549"/>
      <c r="O536" s="1549"/>
      <c r="P536" s="1549"/>
      <c r="Q536" s="1549"/>
      <c r="R536" s="1549"/>
      <c r="S536" s="1549"/>
      <c r="T536" s="1549"/>
      <c r="U536" s="1549"/>
      <c r="V536" s="1549"/>
      <c r="W536" s="1549"/>
      <c r="X536" s="1549"/>
      <c r="Y536" s="1549"/>
      <c r="Z536" s="1549"/>
    </row>
    <row r="537" spans="1:26" ht="12.75" customHeight="1" x14ac:dyDescent="0.2">
      <c r="A537" s="1549"/>
      <c r="B537" s="1549"/>
      <c r="C537" s="1549"/>
      <c r="D537" s="1558"/>
      <c r="E537" s="1549"/>
      <c r="F537" s="1549"/>
      <c r="G537" s="1549"/>
      <c r="H537" s="1549"/>
      <c r="I537" s="1549"/>
      <c r="J537" s="1549"/>
      <c r="K537" s="1549"/>
      <c r="L537" s="1549"/>
      <c r="M537" s="1549"/>
      <c r="N537" s="1549"/>
      <c r="O537" s="1549"/>
      <c r="P537" s="1549"/>
      <c r="Q537" s="1549"/>
      <c r="R537" s="1549"/>
      <c r="S537" s="1549"/>
      <c r="T537" s="1549"/>
      <c r="U537" s="1549"/>
      <c r="V537" s="1549"/>
      <c r="W537" s="1549"/>
      <c r="X537" s="1549"/>
      <c r="Y537" s="1549"/>
      <c r="Z537" s="1549"/>
    </row>
    <row r="538" spans="1:26" ht="12.75" customHeight="1" x14ac:dyDescent="0.2">
      <c r="A538" s="1549"/>
      <c r="B538" s="1549"/>
      <c r="C538" s="1549"/>
      <c r="D538" s="1558"/>
      <c r="E538" s="1549"/>
      <c r="F538" s="1549"/>
      <c r="G538" s="1549"/>
      <c r="H538" s="1549"/>
      <c r="I538" s="1549"/>
      <c r="J538" s="1549"/>
      <c r="K538" s="1549"/>
      <c r="L538" s="1549"/>
      <c r="M538" s="1549"/>
      <c r="N538" s="1549"/>
      <c r="O538" s="1549"/>
      <c r="P538" s="1549"/>
      <c r="Q538" s="1549"/>
      <c r="R538" s="1549"/>
      <c r="S538" s="1549"/>
      <c r="T538" s="1549"/>
      <c r="U538" s="1549"/>
      <c r="V538" s="1549"/>
      <c r="W538" s="1549"/>
      <c r="X538" s="1549"/>
      <c r="Y538" s="1549"/>
      <c r="Z538" s="1549"/>
    </row>
    <row r="539" spans="1:26" ht="12.75" customHeight="1" x14ac:dyDescent="0.2">
      <c r="A539" s="1549"/>
      <c r="B539" s="1549"/>
      <c r="C539" s="1549"/>
      <c r="D539" s="1558"/>
      <c r="E539" s="1549"/>
      <c r="F539" s="1549"/>
      <c r="G539" s="1549"/>
      <c r="H539" s="1549"/>
      <c r="I539" s="1549"/>
      <c r="J539" s="1549"/>
      <c r="K539" s="1549"/>
      <c r="L539" s="1549"/>
      <c r="M539" s="1549"/>
      <c r="N539" s="1549"/>
      <c r="O539" s="1549"/>
      <c r="P539" s="1549"/>
      <c r="Q539" s="1549"/>
      <c r="R539" s="1549"/>
      <c r="S539" s="1549"/>
      <c r="T539" s="1549"/>
      <c r="U539" s="1549"/>
      <c r="V539" s="1549"/>
      <c r="W539" s="1549"/>
      <c r="X539" s="1549"/>
      <c r="Y539" s="1549"/>
      <c r="Z539" s="1549"/>
    </row>
    <row r="540" spans="1:26" ht="12.75" customHeight="1" x14ac:dyDescent="0.2">
      <c r="A540" s="1549"/>
      <c r="B540" s="1549"/>
      <c r="C540" s="1549"/>
      <c r="D540" s="1558"/>
      <c r="E540" s="1549"/>
      <c r="F540" s="1549"/>
      <c r="G540" s="1549"/>
      <c r="H540" s="1549"/>
      <c r="I540" s="1549"/>
      <c r="J540" s="1549"/>
      <c r="K540" s="1549"/>
      <c r="L540" s="1549"/>
      <c r="M540" s="1549"/>
      <c r="N540" s="1549"/>
      <c r="O540" s="1549"/>
      <c r="P540" s="1549"/>
      <c r="Q540" s="1549"/>
      <c r="R540" s="1549"/>
      <c r="S540" s="1549"/>
      <c r="T540" s="1549"/>
      <c r="U540" s="1549"/>
      <c r="V540" s="1549"/>
      <c r="W540" s="1549"/>
      <c r="X540" s="1549"/>
      <c r="Y540" s="1549"/>
      <c r="Z540" s="1549"/>
    </row>
    <row r="541" spans="1:26" ht="12.75" customHeight="1" x14ac:dyDescent="0.2">
      <c r="A541" s="1549"/>
      <c r="B541" s="1549"/>
      <c r="C541" s="1549"/>
      <c r="D541" s="1558"/>
      <c r="E541" s="1549"/>
      <c r="F541" s="1549"/>
      <c r="G541" s="1549"/>
      <c r="H541" s="1549"/>
      <c r="I541" s="1549"/>
      <c r="J541" s="1549"/>
      <c r="K541" s="1549"/>
      <c r="L541" s="1549"/>
      <c r="M541" s="1549"/>
      <c r="N541" s="1549"/>
      <c r="O541" s="1549"/>
      <c r="P541" s="1549"/>
      <c r="Q541" s="1549"/>
      <c r="R541" s="1549"/>
      <c r="S541" s="1549"/>
      <c r="T541" s="1549"/>
      <c r="U541" s="1549"/>
      <c r="V541" s="1549"/>
      <c r="W541" s="1549"/>
      <c r="X541" s="1549"/>
      <c r="Y541" s="1549"/>
      <c r="Z541" s="1549"/>
    </row>
    <row r="542" spans="1:26" ht="12.75" customHeight="1" x14ac:dyDescent="0.2">
      <c r="A542" s="1549"/>
      <c r="B542" s="1549"/>
      <c r="C542" s="1549"/>
      <c r="D542" s="1558"/>
      <c r="E542" s="1549"/>
      <c r="F542" s="1549"/>
      <c r="G542" s="1549"/>
      <c r="H542" s="1549"/>
      <c r="I542" s="1549"/>
      <c r="J542" s="1549"/>
      <c r="K542" s="1549"/>
      <c r="L542" s="1549"/>
      <c r="M542" s="1549"/>
      <c r="N542" s="1549"/>
      <c r="O542" s="1549"/>
      <c r="P542" s="1549"/>
      <c r="Q542" s="1549"/>
      <c r="R542" s="1549"/>
      <c r="S542" s="1549"/>
      <c r="T542" s="1549"/>
      <c r="U542" s="1549"/>
      <c r="V542" s="1549"/>
      <c r="W542" s="1549"/>
      <c r="X542" s="1549"/>
      <c r="Y542" s="1549"/>
      <c r="Z542" s="1549"/>
    </row>
    <row r="543" spans="1:26" ht="12.75" customHeight="1" x14ac:dyDescent="0.2">
      <c r="A543" s="1549"/>
      <c r="B543" s="1549"/>
      <c r="C543" s="1549"/>
      <c r="D543" s="1558"/>
      <c r="E543" s="1549"/>
      <c r="F543" s="1549"/>
      <c r="G543" s="1549"/>
      <c r="H543" s="1549"/>
      <c r="I543" s="1549"/>
      <c r="J543" s="1549"/>
      <c r="K543" s="1549"/>
      <c r="L543" s="1549"/>
      <c r="M543" s="1549"/>
      <c r="N543" s="1549"/>
      <c r="O543" s="1549"/>
      <c r="P543" s="1549"/>
      <c r="Q543" s="1549"/>
      <c r="R543" s="1549"/>
      <c r="S543" s="1549"/>
      <c r="T543" s="1549"/>
      <c r="U543" s="1549"/>
      <c r="V543" s="1549"/>
      <c r="W543" s="1549"/>
      <c r="X543" s="1549"/>
      <c r="Y543" s="1549"/>
      <c r="Z543" s="1549"/>
    </row>
    <row r="544" spans="1:26" ht="12.75" customHeight="1" x14ac:dyDescent="0.2">
      <c r="A544" s="1549"/>
      <c r="B544" s="1549"/>
      <c r="C544" s="1549"/>
      <c r="D544" s="1558"/>
      <c r="E544" s="1549"/>
      <c r="F544" s="1549"/>
      <c r="G544" s="1549"/>
      <c r="H544" s="1549"/>
      <c r="I544" s="1549"/>
      <c r="J544" s="1549"/>
      <c r="K544" s="1549"/>
      <c r="L544" s="1549"/>
      <c r="M544" s="1549"/>
      <c r="N544" s="1549"/>
      <c r="O544" s="1549"/>
      <c r="P544" s="1549"/>
      <c r="Q544" s="1549"/>
      <c r="R544" s="1549"/>
      <c r="S544" s="1549"/>
      <c r="T544" s="1549"/>
      <c r="U544" s="1549"/>
      <c r="V544" s="1549"/>
      <c r="W544" s="1549"/>
      <c r="X544" s="1549"/>
      <c r="Y544" s="1549"/>
      <c r="Z544" s="1549"/>
    </row>
    <row r="545" spans="1:26" ht="12.75" customHeight="1" x14ac:dyDescent="0.2">
      <c r="A545" s="1549"/>
      <c r="B545" s="1549"/>
      <c r="C545" s="1549"/>
      <c r="D545" s="1558"/>
      <c r="E545" s="1549"/>
      <c r="F545" s="1549"/>
      <c r="G545" s="1549"/>
      <c r="H545" s="1549"/>
      <c r="I545" s="1549"/>
      <c r="J545" s="1549"/>
      <c r="K545" s="1549"/>
      <c r="L545" s="1549"/>
      <c r="M545" s="1549"/>
      <c r="N545" s="1549"/>
      <c r="O545" s="1549"/>
      <c r="P545" s="1549"/>
      <c r="Q545" s="1549"/>
      <c r="R545" s="1549"/>
      <c r="S545" s="1549"/>
      <c r="T545" s="1549"/>
      <c r="U545" s="1549"/>
      <c r="V545" s="1549"/>
      <c r="W545" s="1549"/>
      <c r="X545" s="1549"/>
      <c r="Y545" s="1549"/>
      <c r="Z545" s="1549"/>
    </row>
    <row r="546" spans="1:26" ht="12.75" customHeight="1" x14ac:dyDescent="0.2">
      <c r="A546" s="1549"/>
      <c r="B546" s="1549"/>
      <c r="C546" s="1549"/>
      <c r="D546" s="1558"/>
      <c r="E546" s="1549"/>
      <c r="F546" s="1549"/>
      <c r="G546" s="1549"/>
      <c r="H546" s="1549"/>
      <c r="I546" s="1549"/>
      <c r="J546" s="1549"/>
      <c r="K546" s="1549"/>
      <c r="L546" s="1549"/>
      <c r="M546" s="1549"/>
      <c r="N546" s="1549"/>
      <c r="O546" s="1549"/>
      <c r="P546" s="1549"/>
      <c r="Q546" s="1549"/>
      <c r="R546" s="1549"/>
      <c r="S546" s="1549"/>
      <c r="T546" s="1549"/>
      <c r="U546" s="1549"/>
      <c r="V546" s="1549"/>
      <c r="W546" s="1549"/>
      <c r="X546" s="1549"/>
      <c r="Y546" s="1549"/>
      <c r="Z546" s="1549"/>
    </row>
    <row r="547" spans="1:26" ht="12.75" customHeight="1" x14ac:dyDescent="0.2">
      <c r="A547" s="1549"/>
      <c r="B547" s="1549"/>
      <c r="C547" s="1549"/>
      <c r="D547" s="1558"/>
      <c r="E547" s="1549"/>
      <c r="F547" s="1549"/>
      <c r="G547" s="1549"/>
      <c r="H547" s="1549"/>
      <c r="I547" s="1549"/>
      <c r="J547" s="1549"/>
      <c r="K547" s="1549"/>
      <c r="L547" s="1549"/>
      <c r="M547" s="1549"/>
      <c r="N547" s="1549"/>
      <c r="O547" s="1549"/>
      <c r="P547" s="1549"/>
      <c r="Q547" s="1549"/>
      <c r="R547" s="1549"/>
      <c r="S547" s="1549"/>
      <c r="T547" s="1549"/>
      <c r="U547" s="1549"/>
      <c r="V547" s="1549"/>
      <c r="W547" s="1549"/>
      <c r="X547" s="1549"/>
      <c r="Y547" s="1549"/>
      <c r="Z547" s="1549"/>
    </row>
    <row r="548" spans="1:26" ht="12.75" customHeight="1" x14ac:dyDescent="0.2">
      <c r="A548" s="1549"/>
      <c r="B548" s="1549"/>
      <c r="C548" s="1549"/>
      <c r="D548" s="1558"/>
      <c r="E548" s="1549"/>
      <c r="F548" s="1549"/>
      <c r="G548" s="1549"/>
      <c r="H548" s="1549"/>
      <c r="I548" s="1549"/>
      <c r="J548" s="1549"/>
      <c r="K548" s="1549"/>
      <c r="L548" s="1549"/>
      <c r="M548" s="1549"/>
      <c r="N548" s="1549"/>
      <c r="O548" s="1549"/>
      <c r="P548" s="1549"/>
      <c r="Q548" s="1549"/>
      <c r="R548" s="1549"/>
      <c r="S548" s="1549"/>
      <c r="T548" s="1549"/>
      <c r="U548" s="1549"/>
      <c r="V548" s="1549"/>
      <c r="W548" s="1549"/>
      <c r="X548" s="1549"/>
      <c r="Y548" s="1549"/>
      <c r="Z548" s="1549"/>
    </row>
    <row r="549" spans="1:26" ht="12.75" customHeight="1" x14ac:dyDescent="0.2">
      <c r="A549" s="1549"/>
      <c r="B549" s="1549"/>
      <c r="C549" s="1549"/>
      <c r="D549" s="1558"/>
      <c r="E549" s="1549"/>
      <c r="F549" s="1549"/>
      <c r="G549" s="1549"/>
      <c r="H549" s="1549"/>
      <c r="I549" s="1549"/>
      <c r="J549" s="1549"/>
      <c r="K549" s="1549"/>
      <c r="L549" s="1549"/>
      <c r="M549" s="1549"/>
      <c r="N549" s="1549"/>
      <c r="O549" s="1549"/>
      <c r="P549" s="1549"/>
      <c r="Q549" s="1549"/>
      <c r="R549" s="1549"/>
      <c r="S549" s="1549"/>
      <c r="T549" s="1549"/>
      <c r="U549" s="1549"/>
      <c r="V549" s="1549"/>
      <c r="W549" s="1549"/>
      <c r="X549" s="1549"/>
      <c r="Y549" s="1549"/>
      <c r="Z549" s="1549"/>
    </row>
    <row r="550" spans="1:26" ht="12.75" customHeight="1" x14ac:dyDescent="0.2">
      <c r="A550" s="1549"/>
      <c r="B550" s="1549"/>
      <c r="C550" s="1549"/>
      <c r="D550" s="1558"/>
      <c r="E550" s="1549"/>
      <c r="F550" s="1549"/>
      <c r="G550" s="1549"/>
      <c r="H550" s="1549"/>
      <c r="I550" s="1549"/>
      <c r="J550" s="1549"/>
      <c r="K550" s="1549"/>
      <c r="L550" s="1549"/>
      <c r="M550" s="1549"/>
      <c r="N550" s="1549"/>
      <c r="O550" s="1549"/>
      <c r="P550" s="1549"/>
      <c r="Q550" s="1549"/>
      <c r="R550" s="1549"/>
      <c r="S550" s="1549"/>
      <c r="T550" s="1549"/>
      <c r="U550" s="1549"/>
      <c r="V550" s="1549"/>
      <c r="W550" s="1549"/>
      <c r="X550" s="1549"/>
      <c r="Y550" s="1549"/>
      <c r="Z550" s="1549"/>
    </row>
    <row r="551" spans="1:26" ht="12.75" customHeight="1" x14ac:dyDescent="0.2">
      <c r="A551" s="1549"/>
      <c r="B551" s="1549"/>
      <c r="C551" s="1549"/>
      <c r="D551" s="1558"/>
      <c r="E551" s="1549"/>
      <c r="F551" s="1549"/>
      <c r="G551" s="1549"/>
      <c r="H551" s="1549"/>
      <c r="I551" s="1549"/>
      <c r="J551" s="1549"/>
      <c r="K551" s="1549"/>
      <c r="L551" s="1549"/>
      <c r="M551" s="1549"/>
      <c r="N551" s="1549"/>
      <c r="O551" s="1549"/>
      <c r="P551" s="1549"/>
      <c r="Q551" s="1549"/>
      <c r="R551" s="1549"/>
      <c r="S551" s="1549"/>
      <c r="T551" s="1549"/>
      <c r="U551" s="1549"/>
      <c r="V551" s="1549"/>
      <c r="W551" s="1549"/>
      <c r="X551" s="1549"/>
      <c r="Y551" s="1549"/>
      <c r="Z551" s="1549"/>
    </row>
    <row r="552" spans="1:26" ht="12.75" customHeight="1" x14ac:dyDescent="0.2">
      <c r="A552" s="1549"/>
      <c r="B552" s="1549"/>
      <c r="C552" s="1549"/>
      <c r="D552" s="1558"/>
      <c r="E552" s="1549"/>
      <c r="F552" s="1549"/>
      <c r="G552" s="1549"/>
      <c r="H552" s="1549"/>
      <c r="I552" s="1549"/>
      <c r="J552" s="1549"/>
      <c r="K552" s="1549"/>
      <c r="L552" s="1549"/>
      <c r="M552" s="1549"/>
      <c r="N552" s="1549"/>
      <c r="O552" s="1549"/>
      <c r="P552" s="1549"/>
      <c r="Q552" s="1549"/>
      <c r="R552" s="1549"/>
      <c r="S552" s="1549"/>
      <c r="T552" s="1549"/>
      <c r="U552" s="1549"/>
      <c r="V552" s="1549"/>
      <c r="W552" s="1549"/>
      <c r="X552" s="1549"/>
      <c r="Y552" s="1549"/>
      <c r="Z552" s="1549"/>
    </row>
    <row r="553" spans="1:26" ht="12.75" customHeight="1" x14ac:dyDescent="0.2">
      <c r="A553" s="1549"/>
      <c r="B553" s="1549"/>
      <c r="C553" s="1549"/>
      <c r="D553" s="1558"/>
      <c r="E553" s="1549"/>
      <c r="F553" s="1549"/>
      <c r="G553" s="1549"/>
      <c r="H553" s="1549"/>
      <c r="I553" s="1549"/>
      <c r="J553" s="1549"/>
      <c r="K553" s="1549"/>
      <c r="L553" s="1549"/>
      <c r="M553" s="1549"/>
      <c r="N553" s="1549"/>
      <c r="O553" s="1549"/>
      <c r="P553" s="1549"/>
      <c r="Q553" s="1549"/>
      <c r="R553" s="1549"/>
      <c r="S553" s="1549"/>
      <c r="T553" s="1549"/>
      <c r="U553" s="1549"/>
      <c r="V553" s="1549"/>
      <c r="W553" s="1549"/>
      <c r="X553" s="1549"/>
      <c r="Y553" s="1549"/>
      <c r="Z553" s="1549"/>
    </row>
    <row r="554" spans="1:26" ht="12.75" customHeight="1" x14ac:dyDescent="0.2">
      <c r="A554" s="1549"/>
      <c r="B554" s="1549"/>
      <c r="C554" s="1549"/>
      <c r="D554" s="1558"/>
      <c r="E554" s="1549"/>
      <c r="F554" s="1549"/>
      <c r="G554" s="1549"/>
      <c r="H554" s="1549"/>
      <c r="I554" s="1549"/>
      <c r="J554" s="1549"/>
      <c r="K554" s="1549"/>
      <c r="L554" s="1549"/>
      <c r="M554" s="1549"/>
      <c r="N554" s="1549"/>
      <c r="O554" s="1549"/>
      <c r="P554" s="1549"/>
      <c r="Q554" s="1549"/>
      <c r="R554" s="1549"/>
      <c r="S554" s="1549"/>
      <c r="T554" s="1549"/>
      <c r="U554" s="1549"/>
      <c r="V554" s="1549"/>
      <c r="W554" s="1549"/>
      <c r="X554" s="1549"/>
      <c r="Y554" s="1549"/>
      <c r="Z554" s="1549"/>
    </row>
    <row r="555" spans="1:26" ht="12.75" customHeight="1" x14ac:dyDescent="0.2">
      <c r="A555" s="1549"/>
      <c r="B555" s="1549"/>
      <c r="C555" s="1549"/>
      <c r="D555" s="1558"/>
      <c r="E555" s="1549"/>
      <c r="F555" s="1549"/>
      <c r="G555" s="1549"/>
      <c r="H555" s="1549"/>
      <c r="I555" s="1549"/>
      <c r="J555" s="1549"/>
      <c r="K555" s="1549"/>
      <c r="L555" s="1549"/>
      <c r="M555" s="1549"/>
      <c r="N555" s="1549"/>
      <c r="O555" s="1549"/>
      <c r="P555" s="1549"/>
      <c r="Q555" s="1549"/>
      <c r="R555" s="1549"/>
      <c r="S555" s="1549"/>
      <c r="T555" s="1549"/>
      <c r="U555" s="1549"/>
      <c r="V555" s="1549"/>
      <c r="W555" s="1549"/>
      <c r="X555" s="1549"/>
      <c r="Y555" s="1549"/>
      <c r="Z555" s="1549"/>
    </row>
    <row r="556" spans="1:26" ht="12.75" customHeight="1" x14ac:dyDescent="0.2">
      <c r="A556" s="1549"/>
      <c r="B556" s="1549"/>
      <c r="C556" s="1549"/>
      <c r="D556" s="1558"/>
      <c r="E556" s="1549"/>
      <c r="F556" s="1549"/>
      <c r="G556" s="1549"/>
      <c r="H556" s="1549"/>
      <c r="I556" s="1549"/>
      <c r="J556" s="1549"/>
      <c r="K556" s="1549"/>
      <c r="L556" s="1549"/>
      <c r="M556" s="1549"/>
      <c r="N556" s="1549"/>
      <c r="O556" s="1549"/>
      <c r="P556" s="1549"/>
      <c r="Q556" s="1549"/>
      <c r="R556" s="1549"/>
      <c r="S556" s="1549"/>
      <c r="T556" s="1549"/>
      <c r="U556" s="1549"/>
      <c r="V556" s="1549"/>
      <c r="W556" s="1549"/>
      <c r="X556" s="1549"/>
      <c r="Y556" s="1549"/>
      <c r="Z556" s="1549"/>
    </row>
    <row r="557" spans="1:26" ht="12.75" customHeight="1" x14ac:dyDescent="0.2">
      <c r="A557" s="1549"/>
      <c r="B557" s="1549"/>
      <c r="C557" s="1549"/>
      <c r="D557" s="1558"/>
      <c r="E557" s="1549"/>
      <c r="F557" s="1549"/>
      <c r="G557" s="1549"/>
      <c r="H557" s="1549"/>
      <c r="I557" s="1549"/>
      <c r="J557" s="1549"/>
      <c r="K557" s="1549"/>
      <c r="L557" s="1549"/>
      <c r="M557" s="1549"/>
      <c r="N557" s="1549"/>
      <c r="O557" s="1549"/>
      <c r="P557" s="1549"/>
      <c r="Q557" s="1549"/>
      <c r="R557" s="1549"/>
      <c r="S557" s="1549"/>
      <c r="T557" s="1549"/>
      <c r="U557" s="1549"/>
      <c r="V557" s="1549"/>
      <c r="W557" s="1549"/>
      <c r="X557" s="1549"/>
      <c r="Y557" s="1549"/>
      <c r="Z557" s="1549"/>
    </row>
    <row r="558" spans="1:26" ht="12.75" customHeight="1" x14ac:dyDescent="0.2">
      <c r="A558" s="1549"/>
      <c r="B558" s="1549"/>
      <c r="C558" s="1549"/>
      <c r="D558" s="1558"/>
      <c r="E558" s="1549"/>
      <c r="F558" s="1549"/>
      <c r="G558" s="1549"/>
      <c r="H558" s="1549"/>
      <c r="I558" s="1549"/>
      <c r="J558" s="1549"/>
      <c r="K558" s="1549"/>
      <c r="L558" s="1549"/>
      <c r="M558" s="1549"/>
      <c r="N558" s="1549"/>
      <c r="O558" s="1549"/>
      <c r="P558" s="1549"/>
      <c r="Q558" s="1549"/>
      <c r="R558" s="1549"/>
      <c r="S558" s="1549"/>
      <c r="T558" s="1549"/>
      <c r="U558" s="1549"/>
      <c r="V558" s="1549"/>
      <c r="W558" s="1549"/>
      <c r="X558" s="1549"/>
      <c r="Y558" s="1549"/>
      <c r="Z558" s="1549"/>
    </row>
    <row r="559" spans="1:26" ht="12.75" customHeight="1" x14ac:dyDescent="0.2">
      <c r="A559" s="1549"/>
      <c r="B559" s="1549"/>
      <c r="C559" s="1549"/>
      <c r="D559" s="1558"/>
      <c r="E559" s="1549"/>
      <c r="F559" s="1549"/>
      <c r="G559" s="1549"/>
      <c r="H559" s="1549"/>
      <c r="I559" s="1549"/>
      <c r="J559" s="1549"/>
      <c r="K559" s="1549"/>
      <c r="L559" s="1549"/>
      <c r="M559" s="1549"/>
      <c r="N559" s="1549"/>
      <c r="O559" s="1549"/>
      <c r="P559" s="1549"/>
      <c r="Q559" s="1549"/>
      <c r="R559" s="1549"/>
      <c r="S559" s="1549"/>
      <c r="T559" s="1549"/>
      <c r="U559" s="1549"/>
      <c r="V559" s="1549"/>
      <c r="W559" s="1549"/>
      <c r="X559" s="1549"/>
      <c r="Y559" s="1549"/>
      <c r="Z559" s="1549"/>
    </row>
    <row r="560" spans="1:26" ht="12.75" customHeight="1" x14ac:dyDescent="0.2">
      <c r="A560" s="1549"/>
      <c r="B560" s="1549"/>
      <c r="C560" s="1549"/>
      <c r="D560" s="1558"/>
      <c r="E560" s="1549"/>
      <c r="F560" s="1549"/>
      <c r="G560" s="1549"/>
      <c r="H560" s="1549"/>
      <c r="I560" s="1549"/>
      <c r="J560" s="1549"/>
      <c r="K560" s="1549"/>
      <c r="L560" s="1549"/>
      <c r="M560" s="1549"/>
      <c r="N560" s="1549"/>
      <c r="O560" s="1549"/>
      <c r="P560" s="1549"/>
      <c r="Q560" s="1549"/>
      <c r="R560" s="1549"/>
      <c r="S560" s="1549"/>
      <c r="T560" s="1549"/>
      <c r="U560" s="1549"/>
      <c r="V560" s="1549"/>
      <c r="W560" s="1549"/>
      <c r="X560" s="1549"/>
      <c r="Y560" s="1549"/>
      <c r="Z560" s="1549"/>
    </row>
    <row r="561" spans="1:26" ht="12.75" customHeight="1" x14ac:dyDescent="0.2">
      <c r="A561" s="1549"/>
      <c r="B561" s="1549"/>
      <c r="C561" s="1549"/>
      <c r="D561" s="1558"/>
      <c r="E561" s="1549"/>
      <c r="F561" s="1549"/>
      <c r="G561" s="1549"/>
      <c r="H561" s="1549"/>
      <c r="I561" s="1549"/>
      <c r="J561" s="1549"/>
      <c r="K561" s="1549"/>
      <c r="L561" s="1549"/>
      <c r="M561" s="1549"/>
      <c r="N561" s="1549"/>
      <c r="O561" s="1549"/>
      <c r="P561" s="1549"/>
      <c r="Q561" s="1549"/>
      <c r="R561" s="1549"/>
      <c r="S561" s="1549"/>
      <c r="T561" s="1549"/>
      <c r="U561" s="1549"/>
      <c r="V561" s="1549"/>
      <c r="W561" s="1549"/>
      <c r="X561" s="1549"/>
      <c r="Y561" s="1549"/>
      <c r="Z561" s="1549"/>
    </row>
    <row r="562" spans="1:26" ht="12.75" customHeight="1" x14ac:dyDescent="0.2">
      <c r="A562" s="1549"/>
      <c r="B562" s="1549"/>
      <c r="C562" s="1549"/>
      <c r="D562" s="1558"/>
      <c r="E562" s="1549"/>
      <c r="F562" s="1549"/>
      <c r="G562" s="1549"/>
      <c r="H562" s="1549"/>
      <c r="I562" s="1549"/>
      <c r="J562" s="1549"/>
      <c r="K562" s="1549"/>
      <c r="L562" s="1549"/>
      <c r="M562" s="1549"/>
      <c r="N562" s="1549"/>
      <c r="O562" s="1549"/>
      <c r="P562" s="1549"/>
      <c r="Q562" s="1549"/>
      <c r="R562" s="1549"/>
      <c r="S562" s="1549"/>
      <c r="T562" s="1549"/>
      <c r="U562" s="1549"/>
      <c r="V562" s="1549"/>
      <c r="W562" s="1549"/>
      <c r="X562" s="1549"/>
      <c r="Y562" s="1549"/>
      <c r="Z562" s="1549"/>
    </row>
    <row r="563" spans="1:26" ht="12.75" customHeight="1" x14ac:dyDescent="0.2">
      <c r="A563" s="1549"/>
      <c r="B563" s="1549"/>
      <c r="C563" s="1549"/>
      <c r="D563" s="1558"/>
      <c r="E563" s="1549"/>
      <c r="F563" s="1549"/>
      <c r="G563" s="1549"/>
      <c r="H563" s="1549"/>
      <c r="I563" s="1549"/>
      <c r="J563" s="1549"/>
      <c r="K563" s="1549"/>
      <c r="L563" s="1549"/>
      <c r="M563" s="1549"/>
      <c r="N563" s="1549"/>
      <c r="O563" s="1549"/>
      <c r="P563" s="1549"/>
      <c r="Q563" s="1549"/>
      <c r="R563" s="1549"/>
      <c r="S563" s="1549"/>
      <c r="T563" s="1549"/>
      <c r="U563" s="1549"/>
      <c r="V563" s="1549"/>
      <c r="W563" s="1549"/>
      <c r="X563" s="1549"/>
      <c r="Y563" s="1549"/>
      <c r="Z563" s="1549"/>
    </row>
    <row r="564" spans="1:26" ht="12.75" customHeight="1" x14ac:dyDescent="0.2">
      <c r="A564" s="1549"/>
      <c r="B564" s="1549"/>
      <c r="C564" s="1549"/>
      <c r="D564" s="1558"/>
      <c r="E564" s="1549"/>
      <c r="F564" s="1549"/>
      <c r="G564" s="1549"/>
      <c r="H564" s="1549"/>
      <c r="I564" s="1549"/>
      <c r="J564" s="1549"/>
      <c r="K564" s="1549"/>
      <c r="L564" s="1549"/>
      <c r="M564" s="1549"/>
      <c r="N564" s="1549"/>
      <c r="O564" s="1549"/>
      <c r="P564" s="1549"/>
      <c r="Q564" s="1549"/>
      <c r="R564" s="1549"/>
      <c r="S564" s="1549"/>
      <c r="T564" s="1549"/>
      <c r="U564" s="1549"/>
      <c r="V564" s="1549"/>
      <c r="W564" s="1549"/>
      <c r="X564" s="1549"/>
      <c r="Y564" s="1549"/>
      <c r="Z564" s="1549"/>
    </row>
    <row r="565" spans="1:26" ht="12.75" customHeight="1" x14ac:dyDescent="0.2">
      <c r="A565" s="1549"/>
      <c r="B565" s="1549"/>
      <c r="C565" s="1549"/>
      <c r="D565" s="1558"/>
      <c r="E565" s="1549"/>
      <c r="F565" s="1549"/>
      <c r="G565" s="1549"/>
      <c r="H565" s="1549"/>
      <c r="I565" s="1549"/>
      <c r="J565" s="1549"/>
      <c r="K565" s="1549"/>
      <c r="L565" s="1549"/>
      <c r="M565" s="1549"/>
      <c r="N565" s="1549"/>
      <c r="O565" s="1549"/>
      <c r="P565" s="1549"/>
      <c r="Q565" s="1549"/>
      <c r="R565" s="1549"/>
      <c r="S565" s="1549"/>
      <c r="T565" s="1549"/>
      <c r="U565" s="1549"/>
      <c r="V565" s="1549"/>
      <c r="W565" s="1549"/>
      <c r="X565" s="1549"/>
      <c r="Y565" s="1549"/>
      <c r="Z565" s="1549"/>
    </row>
    <row r="566" spans="1:26" ht="12.75" customHeight="1" x14ac:dyDescent="0.2">
      <c r="A566" s="1549"/>
      <c r="B566" s="1549"/>
      <c r="C566" s="1549"/>
      <c r="D566" s="1558"/>
      <c r="E566" s="1549"/>
      <c r="F566" s="1549"/>
      <c r="G566" s="1549"/>
      <c r="H566" s="1549"/>
      <c r="I566" s="1549"/>
      <c r="J566" s="1549"/>
      <c r="K566" s="1549"/>
      <c r="L566" s="1549"/>
      <c r="M566" s="1549"/>
      <c r="N566" s="1549"/>
      <c r="O566" s="1549"/>
      <c r="P566" s="1549"/>
      <c r="Q566" s="1549"/>
      <c r="R566" s="1549"/>
      <c r="S566" s="1549"/>
      <c r="T566" s="1549"/>
      <c r="U566" s="1549"/>
      <c r="V566" s="1549"/>
      <c r="W566" s="1549"/>
      <c r="X566" s="1549"/>
      <c r="Y566" s="1549"/>
      <c r="Z566" s="1549"/>
    </row>
    <row r="567" spans="1:26" ht="12.75" customHeight="1" x14ac:dyDescent="0.2">
      <c r="A567" s="1549"/>
      <c r="B567" s="1549"/>
      <c r="C567" s="1549"/>
      <c r="D567" s="1558"/>
      <c r="E567" s="1549"/>
      <c r="F567" s="1549"/>
      <c r="G567" s="1549"/>
      <c r="H567" s="1549"/>
      <c r="I567" s="1549"/>
      <c r="J567" s="1549"/>
      <c r="K567" s="1549"/>
      <c r="L567" s="1549"/>
      <c r="M567" s="1549"/>
      <c r="N567" s="1549"/>
      <c r="O567" s="1549"/>
      <c r="P567" s="1549"/>
      <c r="Q567" s="1549"/>
      <c r="R567" s="1549"/>
      <c r="S567" s="1549"/>
      <c r="T567" s="1549"/>
      <c r="U567" s="1549"/>
      <c r="V567" s="1549"/>
      <c r="W567" s="1549"/>
      <c r="X567" s="1549"/>
      <c r="Y567" s="1549"/>
      <c r="Z567" s="1549"/>
    </row>
    <row r="568" spans="1:26" ht="12.75" customHeight="1" x14ac:dyDescent="0.2">
      <c r="A568" s="1549"/>
      <c r="B568" s="1549"/>
      <c r="C568" s="1549"/>
      <c r="D568" s="1558"/>
      <c r="E568" s="1549"/>
      <c r="F568" s="1549"/>
      <c r="G568" s="1549"/>
      <c r="H568" s="1549"/>
      <c r="I568" s="1549"/>
      <c r="J568" s="1549"/>
      <c r="K568" s="1549"/>
      <c r="L568" s="1549"/>
      <c r="M568" s="1549"/>
      <c r="N568" s="1549"/>
      <c r="O568" s="1549"/>
      <c r="P568" s="1549"/>
      <c r="Q568" s="1549"/>
      <c r="R568" s="1549"/>
      <c r="S568" s="1549"/>
      <c r="T568" s="1549"/>
      <c r="U568" s="1549"/>
      <c r="V568" s="1549"/>
      <c r="W568" s="1549"/>
      <c r="X568" s="1549"/>
      <c r="Y568" s="1549"/>
      <c r="Z568" s="1549"/>
    </row>
    <row r="569" spans="1:26" ht="12.75" customHeight="1" x14ac:dyDescent="0.2">
      <c r="A569" s="1549"/>
      <c r="B569" s="1549"/>
      <c r="C569" s="1549"/>
      <c r="D569" s="1558"/>
      <c r="E569" s="1549"/>
      <c r="F569" s="1549"/>
      <c r="G569" s="1549"/>
      <c r="H569" s="1549"/>
      <c r="I569" s="1549"/>
      <c r="J569" s="1549"/>
      <c r="K569" s="1549"/>
      <c r="L569" s="1549"/>
      <c r="M569" s="1549"/>
      <c r="N569" s="1549"/>
      <c r="O569" s="1549"/>
      <c r="P569" s="1549"/>
      <c r="Q569" s="1549"/>
      <c r="R569" s="1549"/>
      <c r="S569" s="1549"/>
      <c r="T569" s="1549"/>
      <c r="U569" s="1549"/>
      <c r="V569" s="1549"/>
      <c r="W569" s="1549"/>
      <c r="X569" s="1549"/>
      <c r="Y569" s="1549"/>
      <c r="Z569" s="1549"/>
    </row>
    <row r="570" spans="1:26" ht="12.75" customHeight="1" x14ac:dyDescent="0.2">
      <c r="A570" s="1549"/>
      <c r="B570" s="1549"/>
      <c r="C570" s="1549"/>
      <c r="D570" s="1558"/>
      <c r="E570" s="1549"/>
      <c r="F570" s="1549"/>
      <c r="G570" s="1549"/>
      <c r="H570" s="1549"/>
      <c r="I570" s="1549"/>
      <c r="J570" s="1549"/>
      <c r="K570" s="1549"/>
      <c r="L570" s="1549"/>
      <c r="M570" s="1549"/>
      <c r="N570" s="1549"/>
      <c r="O570" s="1549"/>
      <c r="P570" s="1549"/>
      <c r="Q570" s="1549"/>
      <c r="R570" s="1549"/>
      <c r="S570" s="1549"/>
      <c r="T570" s="1549"/>
      <c r="U570" s="1549"/>
      <c r="V570" s="1549"/>
      <c r="W570" s="1549"/>
      <c r="X570" s="1549"/>
      <c r="Y570" s="1549"/>
      <c r="Z570" s="1549"/>
    </row>
    <row r="571" spans="1:26" ht="12.75" customHeight="1" x14ac:dyDescent="0.2">
      <c r="A571" s="1549"/>
      <c r="B571" s="1549"/>
      <c r="C571" s="1549"/>
      <c r="D571" s="1558"/>
      <c r="E571" s="1549"/>
      <c r="F571" s="1549"/>
      <c r="G571" s="1549"/>
      <c r="H571" s="1549"/>
      <c r="I571" s="1549"/>
      <c r="J571" s="1549"/>
      <c r="K571" s="1549"/>
      <c r="L571" s="1549"/>
      <c r="M571" s="1549"/>
      <c r="N571" s="1549"/>
      <c r="O571" s="1549"/>
      <c r="P571" s="1549"/>
      <c r="Q571" s="1549"/>
      <c r="R571" s="1549"/>
      <c r="S571" s="1549"/>
      <c r="T571" s="1549"/>
      <c r="U571" s="1549"/>
      <c r="V571" s="1549"/>
      <c r="W571" s="1549"/>
      <c r="X571" s="1549"/>
      <c r="Y571" s="1549"/>
      <c r="Z571" s="1549"/>
    </row>
    <row r="572" spans="1:26" ht="12.75" customHeight="1" x14ac:dyDescent="0.2">
      <c r="A572" s="1549"/>
      <c r="B572" s="1549"/>
      <c r="C572" s="1549"/>
      <c r="D572" s="1558"/>
      <c r="E572" s="1549"/>
      <c r="F572" s="1549"/>
      <c r="G572" s="1549"/>
      <c r="H572" s="1549"/>
      <c r="I572" s="1549"/>
      <c r="J572" s="1549"/>
      <c r="K572" s="1549"/>
      <c r="L572" s="1549"/>
      <c r="M572" s="1549"/>
      <c r="N572" s="1549"/>
      <c r="O572" s="1549"/>
      <c r="P572" s="1549"/>
      <c r="Q572" s="1549"/>
      <c r="R572" s="1549"/>
      <c r="S572" s="1549"/>
      <c r="T572" s="1549"/>
      <c r="U572" s="1549"/>
      <c r="V572" s="1549"/>
      <c r="W572" s="1549"/>
      <c r="X572" s="1549"/>
      <c r="Y572" s="1549"/>
      <c r="Z572" s="1549"/>
    </row>
    <row r="573" spans="1:26" ht="12.75" customHeight="1" x14ac:dyDescent="0.2">
      <c r="A573" s="1549"/>
      <c r="B573" s="1549"/>
      <c r="C573" s="1549"/>
      <c r="D573" s="1558"/>
      <c r="E573" s="1549"/>
      <c r="F573" s="1549"/>
      <c r="G573" s="1549"/>
      <c r="H573" s="1549"/>
      <c r="I573" s="1549"/>
      <c r="J573" s="1549"/>
      <c r="K573" s="1549"/>
      <c r="L573" s="1549"/>
      <c r="M573" s="1549"/>
      <c r="N573" s="1549"/>
      <c r="O573" s="1549"/>
      <c r="P573" s="1549"/>
      <c r="Q573" s="1549"/>
      <c r="R573" s="1549"/>
      <c r="S573" s="1549"/>
      <c r="T573" s="1549"/>
      <c r="U573" s="1549"/>
      <c r="V573" s="1549"/>
      <c r="W573" s="1549"/>
      <c r="X573" s="1549"/>
      <c r="Y573" s="1549"/>
      <c r="Z573" s="1549"/>
    </row>
    <row r="574" spans="1:26" ht="12.75" customHeight="1" x14ac:dyDescent="0.2">
      <c r="A574" s="1549"/>
      <c r="B574" s="1549"/>
      <c r="C574" s="1549"/>
      <c r="D574" s="1558"/>
      <c r="E574" s="1549"/>
      <c r="F574" s="1549"/>
      <c r="G574" s="1549"/>
      <c r="H574" s="1549"/>
      <c r="I574" s="1549"/>
      <c r="J574" s="1549"/>
      <c r="K574" s="1549"/>
      <c r="L574" s="1549"/>
      <c r="M574" s="1549"/>
      <c r="N574" s="1549"/>
      <c r="O574" s="1549"/>
      <c r="P574" s="1549"/>
      <c r="Q574" s="1549"/>
      <c r="R574" s="1549"/>
      <c r="S574" s="1549"/>
      <c r="T574" s="1549"/>
      <c r="U574" s="1549"/>
      <c r="V574" s="1549"/>
      <c r="W574" s="1549"/>
      <c r="X574" s="1549"/>
      <c r="Y574" s="1549"/>
      <c r="Z574" s="1549"/>
    </row>
    <row r="575" spans="1:26" ht="12.75" customHeight="1" x14ac:dyDescent="0.2">
      <c r="A575" s="1549"/>
      <c r="B575" s="1549"/>
      <c r="C575" s="1549"/>
      <c r="D575" s="1558"/>
      <c r="E575" s="1549"/>
      <c r="F575" s="1549"/>
      <c r="G575" s="1549"/>
      <c r="H575" s="1549"/>
      <c r="I575" s="1549"/>
      <c r="J575" s="1549"/>
      <c r="K575" s="1549"/>
      <c r="L575" s="1549"/>
      <c r="M575" s="1549"/>
      <c r="N575" s="1549"/>
      <c r="O575" s="1549"/>
      <c r="P575" s="1549"/>
      <c r="Q575" s="1549"/>
      <c r="R575" s="1549"/>
      <c r="S575" s="1549"/>
      <c r="T575" s="1549"/>
      <c r="U575" s="1549"/>
      <c r="V575" s="1549"/>
      <c r="W575" s="1549"/>
      <c r="X575" s="1549"/>
      <c r="Y575" s="1549"/>
      <c r="Z575" s="1549"/>
    </row>
    <row r="576" spans="1:26" ht="12.75" customHeight="1" x14ac:dyDescent="0.2">
      <c r="A576" s="1549"/>
      <c r="B576" s="1549"/>
      <c r="C576" s="1549"/>
      <c r="D576" s="1558"/>
      <c r="E576" s="1549"/>
      <c r="F576" s="1549"/>
      <c r="G576" s="1549"/>
      <c r="H576" s="1549"/>
      <c r="I576" s="1549"/>
      <c r="J576" s="1549"/>
      <c r="K576" s="1549"/>
      <c r="L576" s="1549"/>
      <c r="M576" s="1549"/>
      <c r="N576" s="1549"/>
      <c r="O576" s="1549"/>
      <c r="P576" s="1549"/>
      <c r="Q576" s="1549"/>
      <c r="R576" s="1549"/>
      <c r="S576" s="1549"/>
      <c r="T576" s="1549"/>
      <c r="U576" s="1549"/>
      <c r="V576" s="1549"/>
      <c r="W576" s="1549"/>
      <c r="X576" s="1549"/>
      <c r="Y576" s="1549"/>
      <c r="Z576" s="1549"/>
    </row>
    <row r="577" spans="1:26" ht="12.75" customHeight="1" x14ac:dyDescent="0.2">
      <c r="A577" s="1549"/>
      <c r="B577" s="1549"/>
      <c r="C577" s="1549"/>
      <c r="D577" s="1558"/>
      <c r="E577" s="1549"/>
      <c r="F577" s="1549"/>
      <c r="G577" s="1549"/>
      <c r="H577" s="1549"/>
      <c r="I577" s="1549"/>
      <c r="J577" s="1549"/>
      <c r="K577" s="1549"/>
      <c r="L577" s="1549"/>
      <c r="M577" s="1549"/>
      <c r="N577" s="1549"/>
      <c r="O577" s="1549"/>
      <c r="P577" s="1549"/>
      <c r="Q577" s="1549"/>
      <c r="R577" s="1549"/>
      <c r="S577" s="1549"/>
      <c r="T577" s="1549"/>
      <c r="U577" s="1549"/>
      <c r="V577" s="1549"/>
      <c r="W577" s="1549"/>
      <c r="X577" s="1549"/>
      <c r="Y577" s="1549"/>
      <c r="Z577" s="1549"/>
    </row>
    <row r="578" spans="1:26" ht="12.75" customHeight="1" x14ac:dyDescent="0.2">
      <c r="A578" s="1549"/>
      <c r="B578" s="1549"/>
      <c r="C578" s="1549"/>
      <c r="D578" s="1558"/>
      <c r="E578" s="1549"/>
      <c r="F578" s="1549"/>
      <c r="G578" s="1549"/>
      <c r="H578" s="1549"/>
      <c r="I578" s="1549"/>
      <c r="J578" s="1549"/>
      <c r="K578" s="1549"/>
      <c r="L578" s="1549"/>
      <c r="M578" s="1549"/>
      <c r="N578" s="1549"/>
      <c r="O578" s="1549"/>
      <c r="P578" s="1549"/>
      <c r="Q578" s="1549"/>
      <c r="R578" s="1549"/>
      <c r="S578" s="1549"/>
      <c r="T578" s="1549"/>
      <c r="U578" s="1549"/>
      <c r="V578" s="1549"/>
      <c r="W578" s="1549"/>
      <c r="X578" s="1549"/>
      <c r="Y578" s="1549"/>
      <c r="Z578" s="1549"/>
    </row>
    <row r="579" spans="1:26" ht="12.75" customHeight="1" x14ac:dyDescent="0.2">
      <c r="A579" s="1549"/>
      <c r="B579" s="1549"/>
      <c r="C579" s="1549"/>
      <c r="D579" s="1558"/>
      <c r="E579" s="1549"/>
      <c r="F579" s="1549"/>
      <c r="G579" s="1549"/>
      <c r="H579" s="1549"/>
      <c r="I579" s="1549"/>
      <c r="J579" s="1549"/>
      <c r="K579" s="1549"/>
      <c r="L579" s="1549"/>
      <c r="M579" s="1549"/>
      <c r="N579" s="1549"/>
      <c r="O579" s="1549"/>
      <c r="P579" s="1549"/>
      <c r="Q579" s="1549"/>
      <c r="R579" s="1549"/>
      <c r="S579" s="1549"/>
      <c r="T579" s="1549"/>
      <c r="U579" s="1549"/>
      <c r="V579" s="1549"/>
      <c r="W579" s="1549"/>
      <c r="X579" s="1549"/>
      <c r="Y579" s="1549"/>
      <c r="Z579" s="1549"/>
    </row>
    <row r="580" spans="1:26" ht="12.75" customHeight="1" x14ac:dyDescent="0.2">
      <c r="A580" s="1549"/>
      <c r="B580" s="1549"/>
      <c r="C580" s="1549"/>
      <c r="D580" s="1558"/>
      <c r="E580" s="1549"/>
      <c r="F580" s="1549"/>
      <c r="G580" s="1549"/>
      <c r="H580" s="1549"/>
      <c r="I580" s="1549"/>
      <c r="J580" s="1549"/>
      <c r="K580" s="1549"/>
      <c r="L580" s="1549"/>
      <c r="M580" s="1549"/>
      <c r="N580" s="1549"/>
      <c r="O580" s="1549"/>
      <c r="P580" s="1549"/>
      <c r="Q580" s="1549"/>
      <c r="R580" s="1549"/>
      <c r="S580" s="1549"/>
      <c r="T580" s="1549"/>
      <c r="U580" s="1549"/>
      <c r="V580" s="1549"/>
      <c r="W580" s="1549"/>
      <c r="X580" s="1549"/>
      <c r="Y580" s="1549"/>
      <c r="Z580" s="1549"/>
    </row>
    <row r="581" spans="1:26" ht="12.75" customHeight="1" x14ac:dyDescent="0.2">
      <c r="A581" s="1549"/>
      <c r="B581" s="1549"/>
      <c r="C581" s="1549"/>
      <c r="D581" s="1558"/>
      <c r="E581" s="1549"/>
      <c r="F581" s="1549"/>
      <c r="G581" s="1549"/>
      <c r="H581" s="1549"/>
      <c r="I581" s="1549"/>
      <c r="J581" s="1549"/>
      <c r="K581" s="1549"/>
      <c r="L581" s="1549"/>
      <c r="M581" s="1549"/>
      <c r="N581" s="1549"/>
      <c r="O581" s="1549"/>
      <c r="P581" s="1549"/>
      <c r="Q581" s="1549"/>
      <c r="R581" s="1549"/>
      <c r="S581" s="1549"/>
      <c r="T581" s="1549"/>
      <c r="U581" s="1549"/>
      <c r="V581" s="1549"/>
      <c r="W581" s="1549"/>
      <c r="X581" s="1549"/>
      <c r="Y581" s="1549"/>
      <c r="Z581" s="1549"/>
    </row>
    <row r="582" spans="1:26" ht="12.75" customHeight="1" x14ac:dyDescent="0.2">
      <c r="A582" s="1549"/>
      <c r="B582" s="1549"/>
      <c r="C582" s="1549"/>
      <c r="D582" s="1558"/>
      <c r="E582" s="1549"/>
      <c r="F582" s="1549"/>
      <c r="G582" s="1549"/>
      <c r="H582" s="1549"/>
      <c r="I582" s="1549"/>
      <c r="J582" s="1549"/>
      <c r="K582" s="1549"/>
      <c r="L582" s="1549"/>
      <c r="M582" s="1549"/>
      <c r="N582" s="1549"/>
      <c r="O582" s="1549"/>
      <c r="P582" s="1549"/>
      <c r="Q582" s="1549"/>
      <c r="R582" s="1549"/>
      <c r="S582" s="1549"/>
      <c r="T582" s="1549"/>
      <c r="U582" s="1549"/>
      <c r="V582" s="1549"/>
      <c r="W582" s="1549"/>
      <c r="X582" s="1549"/>
      <c r="Y582" s="1549"/>
      <c r="Z582" s="1549"/>
    </row>
    <row r="583" spans="1:26" ht="12.75" customHeight="1" x14ac:dyDescent="0.2">
      <c r="A583" s="1549"/>
      <c r="B583" s="1549"/>
      <c r="C583" s="1549"/>
      <c r="D583" s="1558"/>
      <c r="E583" s="1549"/>
      <c r="F583" s="1549"/>
      <c r="G583" s="1549"/>
      <c r="H583" s="1549"/>
      <c r="I583" s="1549"/>
      <c r="J583" s="1549"/>
      <c r="K583" s="1549"/>
      <c r="L583" s="1549"/>
      <c r="M583" s="1549"/>
      <c r="N583" s="1549"/>
      <c r="O583" s="1549"/>
      <c r="P583" s="1549"/>
      <c r="Q583" s="1549"/>
      <c r="R583" s="1549"/>
      <c r="S583" s="1549"/>
      <c r="T583" s="1549"/>
      <c r="U583" s="1549"/>
      <c r="V583" s="1549"/>
      <c r="W583" s="1549"/>
      <c r="X583" s="1549"/>
      <c r="Y583" s="1549"/>
      <c r="Z583" s="1549"/>
    </row>
    <row r="584" spans="1:26" ht="12.75" customHeight="1" x14ac:dyDescent="0.2">
      <c r="A584" s="1549"/>
      <c r="B584" s="1549"/>
      <c r="C584" s="1549"/>
      <c r="D584" s="1558"/>
      <c r="E584" s="1549"/>
      <c r="F584" s="1549"/>
      <c r="G584" s="1549"/>
      <c r="H584" s="1549"/>
      <c r="I584" s="1549"/>
      <c r="J584" s="1549"/>
      <c r="K584" s="1549"/>
      <c r="L584" s="1549"/>
      <c r="M584" s="1549"/>
      <c r="N584" s="1549"/>
      <c r="O584" s="1549"/>
      <c r="P584" s="1549"/>
      <c r="Q584" s="1549"/>
      <c r="R584" s="1549"/>
      <c r="S584" s="1549"/>
      <c r="T584" s="1549"/>
      <c r="U584" s="1549"/>
      <c r="V584" s="1549"/>
      <c r="W584" s="1549"/>
      <c r="X584" s="1549"/>
      <c r="Y584" s="1549"/>
      <c r="Z584" s="1549"/>
    </row>
    <row r="585" spans="1:26" ht="12.75" customHeight="1" x14ac:dyDescent="0.2">
      <c r="A585" s="1549"/>
      <c r="B585" s="1549"/>
      <c r="C585" s="1549"/>
      <c r="D585" s="1558"/>
      <c r="E585" s="1549"/>
      <c r="F585" s="1549"/>
      <c r="G585" s="1549"/>
      <c r="H585" s="1549"/>
      <c r="I585" s="1549"/>
      <c r="J585" s="1549"/>
      <c r="K585" s="1549"/>
      <c r="L585" s="1549"/>
      <c r="M585" s="1549"/>
      <c r="N585" s="1549"/>
      <c r="O585" s="1549"/>
      <c r="P585" s="1549"/>
      <c r="Q585" s="1549"/>
      <c r="R585" s="1549"/>
      <c r="S585" s="1549"/>
      <c r="T585" s="1549"/>
      <c r="U585" s="1549"/>
      <c r="V585" s="1549"/>
      <c r="W585" s="1549"/>
      <c r="X585" s="1549"/>
      <c r="Y585" s="1549"/>
      <c r="Z585" s="1549"/>
    </row>
    <row r="586" spans="1:26" ht="12.75" customHeight="1" x14ac:dyDescent="0.2">
      <c r="A586" s="1549"/>
      <c r="B586" s="1549"/>
      <c r="C586" s="1549"/>
      <c r="D586" s="1558"/>
      <c r="E586" s="1549"/>
      <c r="F586" s="1549"/>
      <c r="G586" s="1549"/>
      <c r="H586" s="1549"/>
      <c r="I586" s="1549"/>
      <c r="J586" s="1549"/>
      <c r="K586" s="1549"/>
      <c r="L586" s="1549"/>
      <c r="M586" s="1549"/>
      <c r="N586" s="1549"/>
      <c r="O586" s="1549"/>
      <c r="P586" s="1549"/>
      <c r="Q586" s="1549"/>
      <c r="R586" s="1549"/>
      <c r="S586" s="1549"/>
      <c r="T586" s="1549"/>
      <c r="U586" s="1549"/>
      <c r="V586" s="1549"/>
      <c r="W586" s="1549"/>
      <c r="X586" s="1549"/>
      <c r="Y586" s="1549"/>
      <c r="Z586" s="1549"/>
    </row>
    <row r="587" spans="1:26" ht="12.75" customHeight="1" x14ac:dyDescent="0.2">
      <c r="A587" s="1549"/>
      <c r="B587" s="1549"/>
      <c r="C587" s="1549"/>
      <c r="D587" s="1558"/>
      <c r="E587" s="1549"/>
      <c r="F587" s="1549"/>
      <c r="G587" s="1549"/>
      <c r="H587" s="1549"/>
      <c r="I587" s="1549"/>
      <c r="J587" s="1549"/>
      <c r="K587" s="1549"/>
      <c r="L587" s="1549"/>
      <c r="M587" s="1549"/>
      <c r="N587" s="1549"/>
      <c r="O587" s="1549"/>
      <c r="P587" s="1549"/>
      <c r="Q587" s="1549"/>
      <c r="R587" s="1549"/>
      <c r="S587" s="1549"/>
      <c r="T587" s="1549"/>
      <c r="U587" s="1549"/>
      <c r="V587" s="1549"/>
      <c r="W587" s="1549"/>
      <c r="X587" s="1549"/>
      <c r="Y587" s="1549"/>
      <c r="Z587" s="1549"/>
    </row>
    <row r="588" spans="1:26" ht="12.75" customHeight="1" x14ac:dyDescent="0.2">
      <c r="A588" s="1549"/>
      <c r="B588" s="1549"/>
      <c r="C588" s="1549"/>
      <c r="D588" s="1558"/>
      <c r="E588" s="1549"/>
      <c r="F588" s="1549"/>
      <c r="G588" s="1549"/>
      <c r="H588" s="1549"/>
      <c r="I588" s="1549"/>
      <c r="J588" s="1549"/>
      <c r="K588" s="1549"/>
      <c r="L588" s="1549"/>
      <c r="M588" s="1549"/>
      <c r="N588" s="1549"/>
      <c r="O588" s="1549"/>
      <c r="P588" s="1549"/>
      <c r="Q588" s="1549"/>
      <c r="R588" s="1549"/>
      <c r="S588" s="1549"/>
      <c r="T588" s="1549"/>
      <c r="U588" s="1549"/>
      <c r="V588" s="1549"/>
      <c r="W588" s="1549"/>
      <c r="X588" s="1549"/>
      <c r="Y588" s="1549"/>
      <c r="Z588" s="1549"/>
    </row>
    <row r="589" spans="1:26" ht="12.75" customHeight="1" x14ac:dyDescent="0.2">
      <c r="A589" s="1549"/>
      <c r="B589" s="1549"/>
      <c r="C589" s="1549"/>
      <c r="D589" s="1558"/>
      <c r="E589" s="1549"/>
      <c r="F589" s="1549"/>
      <c r="G589" s="1549"/>
      <c r="H589" s="1549"/>
      <c r="I589" s="1549"/>
      <c r="J589" s="1549"/>
      <c r="K589" s="1549"/>
      <c r="L589" s="1549"/>
      <c r="M589" s="1549"/>
      <c r="N589" s="1549"/>
      <c r="O589" s="1549"/>
      <c r="P589" s="1549"/>
      <c r="Q589" s="1549"/>
      <c r="R589" s="1549"/>
      <c r="S589" s="1549"/>
      <c r="T589" s="1549"/>
      <c r="U589" s="1549"/>
      <c r="V589" s="1549"/>
      <c r="W589" s="1549"/>
      <c r="X589" s="1549"/>
      <c r="Y589" s="1549"/>
      <c r="Z589" s="1549"/>
    </row>
    <row r="590" spans="1:26" ht="12.75" customHeight="1" x14ac:dyDescent="0.2">
      <c r="A590" s="1549"/>
      <c r="B590" s="1549"/>
      <c r="C590" s="1549"/>
      <c r="D590" s="1558"/>
      <c r="E590" s="1549"/>
      <c r="F590" s="1549"/>
      <c r="G590" s="1549"/>
      <c r="H590" s="1549"/>
      <c r="I590" s="1549"/>
      <c r="J590" s="1549"/>
      <c r="K590" s="1549"/>
      <c r="L590" s="1549"/>
      <c r="M590" s="1549"/>
      <c r="N590" s="1549"/>
      <c r="O590" s="1549"/>
      <c r="P590" s="1549"/>
      <c r="Q590" s="1549"/>
      <c r="R590" s="1549"/>
      <c r="S590" s="1549"/>
      <c r="T590" s="1549"/>
      <c r="U590" s="1549"/>
      <c r="V590" s="1549"/>
      <c r="W590" s="1549"/>
      <c r="X590" s="1549"/>
      <c r="Y590" s="1549"/>
      <c r="Z590" s="1549"/>
    </row>
    <row r="591" spans="1:26" ht="12.75" customHeight="1" x14ac:dyDescent="0.2">
      <c r="A591" s="1549"/>
      <c r="B591" s="1549"/>
      <c r="C591" s="1549"/>
      <c r="D591" s="1558"/>
      <c r="E591" s="1549"/>
      <c r="F591" s="1549"/>
      <c r="G591" s="1549"/>
      <c r="H591" s="1549"/>
      <c r="I591" s="1549"/>
      <c r="J591" s="1549"/>
      <c r="K591" s="1549"/>
      <c r="L591" s="1549"/>
      <c r="M591" s="1549"/>
      <c r="N591" s="1549"/>
      <c r="O591" s="1549"/>
      <c r="P591" s="1549"/>
      <c r="Q591" s="1549"/>
      <c r="R591" s="1549"/>
      <c r="S591" s="1549"/>
      <c r="T591" s="1549"/>
      <c r="U591" s="1549"/>
      <c r="V591" s="1549"/>
      <c r="W591" s="1549"/>
      <c r="X591" s="1549"/>
      <c r="Y591" s="1549"/>
      <c r="Z591" s="1549"/>
    </row>
    <row r="592" spans="1:26" ht="12.75" customHeight="1" x14ac:dyDescent="0.2">
      <c r="A592" s="1549"/>
      <c r="B592" s="1549"/>
      <c r="C592" s="1549"/>
      <c r="D592" s="1558"/>
      <c r="E592" s="1549"/>
      <c r="F592" s="1549"/>
      <c r="G592" s="1549"/>
      <c r="H592" s="1549"/>
      <c r="I592" s="1549"/>
      <c r="J592" s="1549"/>
      <c r="K592" s="1549"/>
      <c r="L592" s="1549"/>
      <c r="M592" s="1549"/>
      <c r="N592" s="1549"/>
      <c r="O592" s="1549"/>
      <c r="P592" s="1549"/>
      <c r="Q592" s="1549"/>
      <c r="R592" s="1549"/>
      <c r="S592" s="1549"/>
      <c r="T592" s="1549"/>
      <c r="U592" s="1549"/>
      <c r="V592" s="1549"/>
      <c r="W592" s="1549"/>
      <c r="X592" s="1549"/>
      <c r="Y592" s="1549"/>
      <c r="Z592" s="1549"/>
    </row>
    <row r="593" spans="1:26" ht="12.75" customHeight="1" x14ac:dyDescent="0.2">
      <c r="A593" s="1549"/>
      <c r="B593" s="1549"/>
      <c r="C593" s="1549"/>
      <c r="D593" s="1558"/>
      <c r="E593" s="1549"/>
      <c r="F593" s="1549"/>
      <c r="G593" s="1549"/>
      <c r="H593" s="1549"/>
      <c r="I593" s="1549"/>
      <c r="J593" s="1549"/>
      <c r="K593" s="1549"/>
      <c r="L593" s="1549"/>
      <c r="M593" s="1549"/>
      <c r="N593" s="1549"/>
      <c r="O593" s="1549"/>
      <c r="P593" s="1549"/>
      <c r="Q593" s="1549"/>
      <c r="R593" s="1549"/>
      <c r="S593" s="1549"/>
      <c r="T593" s="1549"/>
      <c r="U593" s="1549"/>
      <c r="V593" s="1549"/>
      <c r="W593" s="1549"/>
      <c r="X593" s="1549"/>
      <c r="Y593" s="1549"/>
      <c r="Z593" s="1549"/>
    </row>
    <row r="594" spans="1:26" ht="12.75" customHeight="1" x14ac:dyDescent="0.2">
      <c r="A594" s="1549"/>
      <c r="B594" s="1549"/>
      <c r="C594" s="1549"/>
      <c r="D594" s="1558"/>
      <c r="E594" s="1549"/>
      <c r="F594" s="1549"/>
      <c r="G594" s="1549"/>
      <c r="H594" s="1549"/>
      <c r="I594" s="1549"/>
      <c r="J594" s="1549"/>
      <c r="K594" s="1549"/>
      <c r="L594" s="1549"/>
      <c r="M594" s="1549"/>
      <c r="N594" s="1549"/>
      <c r="O594" s="1549"/>
      <c r="P594" s="1549"/>
      <c r="Q594" s="1549"/>
      <c r="R594" s="1549"/>
      <c r="S594" s="1549"/>
      <c r="T594" s="1549"/>
      <c r="U594" s="1549"/>
      <c r="V594" s="1549"/>
      <c r="W594" s="1549"/>
      <c r="X594" s="1549"/>
      <c r="Y594" s="1549"/>
      <c r="Z594" s="1549"/>
    </row>
    <row r="595" spans="1:26" ht="12.75" customHeight="1" x14ac:dyDescent="0.2">
      <c r="A595" s="1549"/>
      <c r="B595" s="1549"/>
      <c r="C595" s="1549"/>
      <c r="D595" s="1558"/>
      <c r="E595" s="1549"/>
      <c r="F595" s="1549"/>
      <c r="G595" s="1549"/>
      <c r="H595" s="1549"/>
      <c r="I595" s="1549"/>
      <c r="J595" s="1549"/>
      <c r="K595" s="1549"/>
      <c r="L595" s="1549"/>
      <c r="M595" s="1549"/>
      <c r="N595" s="1549"/>
      <c r="O595" s="1549"/>
      <c r="P595" s="1549"/>
      <c r="Q595" s="1549"/>
      <c r="R595" s="1549"/>
      <c r="S595" s="1549"/>
      <c r="T595" s="1549"/>
      <c r="U595" s="1549"/>
      <c r="V595" s="1549"/>
      <c r="W595" s="1549"/>
      <c r="X595" s="1549"/>
      <c r="Y595" s="1549"/>
      <c r="Z595" s="1549"/>
    </row>
    <row r="596" spans="1:26" ht="12.75" customHeight="1" x14ac:dyDescent="0.2">
      <c r="A596" s="1549"/>
      <c r="B596" s="1549"/>
      <c r="C596" s="1549"/>
      <c r="D596" s="1558"/>
      <c r="E596" s="1549"/>
      <c r="F596" s="1549"/>
      <c r="G596" s="1549"/>
      <c r="H596" s="1549"/>
      <c r="I596" s="1549"/>
      <c r="J596" s="1549"/>
      <c r="K596" s="1549"/>
      <c r="L596" s="1549"/>
      <c r="M596" s="1549"/>
      <c r="N596" s="1549"/>
      <c r="O596" s="1549"/>
      <c r="P596" s="1549"/>
      <c r="Q596" s="1549"/>
      <c r="R596" s="1549"/>
      <c r="S596" s="1549"/>
      <c r="T596" s="1549"/>
      <c r="U596" s="1549"/>
      <c r="V596" s="1549"/>
      <c r="W596" s="1549"/>
      <c r="X596" s="1549"/>
      <c r="Y596" s="1549"/>
      <c r="Z596" s="1549"/>
    </row>
    <row r="597" spans="1:26" ht="12.75" customHeight="1" x14ac:dyDescent="0.2">
      <c r="A597" s="1549"/>
      <c r="B597" s="1549"/>
      <c r="C597" s="1549"/>
      <c r="D597" s="1558"/>
      <c r="E597" s="1549"/>
      <c r="F597" s="1549"/>
      <c r="G597" s="1549"/>
      <c r="H597" s="1549"/>
      <c r="I597" s="1549"/>
      <c r="J597" s="1549"/>
      <c r="K597" s="1549"/>
      <c r="L597" s="1549"/>
      <c r="M597" s="1549"/>
      <c r="N597" s="1549"/>
      <c r="O597" s="1549"/>
      <c r="P597" s="1549"/>
      <c r="Q597" s="1549"/>
      <c r="R597" s="1549"/>
      <c r="S597" s="1549"/>
      <c r="T597" s="1549"/>
      <c r="U597" s="1549"/>
      <c r="V597" s="1549"/>
      <c r="W597" s="1549"/>
      <c r="X597" s="1549"/>
      <c r="Y597" s="1549"/>
      <c r="Z597" s="1549"/>
    </row>
    <row r="598" spans="1:26" ht="12.75" customHeight="1" x14ac:dyDescent="0.2">
      <c r="A598" s="1549"/>
      <c r="B598" s="1549"/>
      <c r="C598" s="1549"/>
      <c r="D598" s="1558"/>
      <c r="E598" s="1549"/>
      <c r="F598" s="1549"/>
      <c r="G598" s="1549"/>
      <c r="H598" s="1549"/>
      <c r="I598" s="1549"/>
      <c r="J598" s="1549"/>
      <c r="K598" s="1549"/>
      <c r="L598" s="1549"/>
      <c r="M598" s="1549"/>
      <c r="N598" s="1549"/>
      <c r="O598" s="1549"/>
      <c r="P598" s="1549"/>
      <c r="Q598" s="1549"/>
      <c r="R598" s="1549"/>
      <c r="S598" s="1549"/>
      <c r="T598" s="1549"/>
      <c r="U598" s="1549"/>
      <c r="V598" s="1549"/>
      <c r="W598" s="1549"/>
      <c r="X598" s="1549"/>
      <c r="Y598" s="1549"/>
      <c r="Z598" s="1549"/>
    </row>
    <row r="599" spans="1:26" ht="12.75" customHeight="1" x14ac:dyDescent="0.2">
      <c r="A599" s="1549"/>
      <c r="B599" s="1549"/>
      <c r="C599" s="1549"/>
      <c r="D599" s="1558"/>
      <c r="E599" s="1549"/>
      <c r="F599" s="1549"/>
      <c r="G599" s="1549"/>
      <c r="H599" s="1549"/>
      <c r="I599" s="1549"/>
      <c r="J599" s="1549"/>
      <c r="K599" s="1549"/>
      <c r="L599" s="1549"/>
      <c r="M599" s="1549"/>
      <c r="N599" s="1549"/>
      <c r="O599" s="1549"/>
      <c r="P599" s="1549"/>
      <c r="Q599" s="1549"/>
      <c r="R599" s="1549"/>
      <c r="S599" s="1549"/>
      <c r="T599" s="1549"/>
      <c r="U599" s="1549"/>
      <c r="V599" s="1549"/>
      <c r="W599" s="1549"/>
      <c r="X599" s="1549"/>
      <c r="Y599" s="1549"/>
      <c r="Z599" s="1549"/>
    </row>
    <row r="600" spans="1:26" ht="12.75" customHeight="1" x14ac:dyDescent="0.2">
      <c r="A600" s="1549"/>
      <c r="B600" s="1549"/>
      <c r="C600" s="1549"/>
      <c r="D600" s="1558"/>
      <c r="E600" s="1549"/>
      <c r="F600" s="1549"/>
      <c r="G600" s="1549"/>
      <c r="H600" s="1549"/>
      <c r="I600" s="1549"/>
      <c r="J600" s="1549"/>
      <c r="K600" s="1549"/>
      <c r="L600" s="1549"/>
      <c r="M600" s="1549"/>
      <c r="N600" s="1549"/>
      <c r="O600" s="1549"/>
      <c r="P600" s="1549"/>
      <c r="Q600" s="1549"/>
      <c r="R600" s="1549"/>
      <c r="S600" s="1549"/>
      <c r="T600" s="1549"/>
      <c r="U600" s="1549"/>
      <c r="V600" s="1549"/>
      <c r="W600" s="1549"/>
      <c r="X600" s="1549"/>
      <c r="Y600" s="1549"/>
      <c r="Z600" s="1549"/>
    </row>
    <row r="601" spans="1:26" ht="12.75" customHeight="1" x14ac:dyDescent="0.2">
      <c r="A601" s="1549"/>
      <c r="B601" s="1549"/>
      <c r="C601" s="1549"/>
      <c r="D601" s="1558"/>
      <c r="E601" s="1549"/>
      <c r="F601" s="1549"/>
      <c r="G601" s="1549"/>
      <c r="H601" s="1549"/>
      <c r="I601" s="1549"/>
      <c r="J601" s="1549"/>
      <c r="K601" s="1549"/>
      <c r="L601" s="1549"/>
      <c r="M601" s="1549"/>
      <c r="N601" s="1549"/>
      <c r="O601" s="1549"/>
      <c r="P601" s="1549"/>
      <c r="Q601" s="1549"/>
      <c r="R601" s="1549"/>
      <c r="S601" s="1549"/>
      <c r="T601" s="1549"/>
      <c r="U601" s="1549"/>
      <c r="V601" s="1549"/>
      <c r="W601" s="1549"/>
      <c r="X601" s="1549"/>
      <c r="Y601" s="1549"/>
      <c r="Z601" s="1549"/>
    </row>
    <row r="602" spans="1:26" ht="12.75" customHeight="1" x14ac:dyDescent="0.2">
      <c r="A602" s="1549"/>
      <c r="B602" s="1549"/>
      <c r="C602" s="1549"/>
      <c r="D602" s="1558"/>
      <c r="E602" s="1549"/>
      <c r="F602" s="1549"/>
      <c r="G602" s="1549"/>
      <c r="H602" s="1549"/>
      <c r="I602" s="1549"/>
      <c r="J602" s="1549"/>
      <c r="K602" s="1549"/>
      <c r="L602" s="1549"/>
      <c r="M602" s="1549"/>
      <c r="N602" s="1549"/>
      <c r="O602" s="1549"/>
      <c r="P602" s="1549"/>
      <c r="Q602" s="1549"/>
      <c r="R602" s="1549"/>
      <c r="S602" s="1549"/>
      <c r="T602" s="1549"/>
      <c r="U602" s="1549"/>
      <c r="V602" s="1549"/>
      <c r="W602" s="1549"/>
      <c r="X602" s="1549"/>
      <c r="Y602" s="1549"/>
      <c r="Z602" s="1549"/>
    </row>
    <row r="603" spans="1:26" ht="12.75" customHeight="1" x14ac:dyDescent="0.2">
      <c r="A603" s="1549"/>
      <c r="B603" s="1549"/>
      <c r="C603" s="1549"/>
      <c r="D603" s="1558"/>
      <c r="E603" s="1549"/>
      <c r="F603" s="1549"/>
      <c r="G603" s="1549"/>
      <c r="H603" s="1549"/>
      <c r="I603" s="1549"/>
      <c r="J603" s="1549"/>
      <c r="K603" s="1549"/>
      <c r="L603" s="1549"/>
      <c r="M603" s="1549"/>
      <c r="N603" s="1549"/>
      <c r="O603" s="1549"/>
      <c r="P603" s="1549"/>
      <c r="Q603" s="1549"/>
      <c r="R603" s="1549"/>
      <c r="S603" s="1549"/>
      <c r="T603" s="1549"/>
      <c r="U603" s="1549"/>
      <c r="V603" s="1549"/>
      <c r="W603" s="1549"/>
      <c r="X603" s="1549"/>
      <c r="Y603" s="1549"/>
      <c r="Z603" s="1549"/>
    </row>
    <row r="604" spans="1:26" ht="12.75" customHeight="1" x14ac:dyDescent="0.2">
      <c r="A604" s="1549"/>
      <c r="B604" s="1549"/>
      <c r="C604" s="1549"/>
      <c r="D604" s="1558"/>
      <c r="E604" s="1549"/>
      <c r="F604" s="1549"/>
      <c r="G604" s="1549"/>
      <c r="H604" s="1549"/>
      <c r="I604" s="1549"/>
      <c r="J604" s="1549"/>
      <c r="K604" s="1549"/>
      <c r="L604" s="1549"/>
      <c r="M604" s="1549"/>
      <c r="N604" s="1549"/>
      <c r="O604" s="1549"/>
      <c r="P604" s="1549"/>
      <c r="Q604" s="1549"/>
      <c r="R604" s="1549"/>
      <c r="S604" s="1549"/>
      <c r="T604" s="1549"/>
      <c r="U604" s="1549"/>
      <c r="V604" s="1549"/>
      <c r="W604" s="1549"/>
      <c r="X604" s="1549"/>
      <c r="Y604" s="1549"/>
      <c r="Z604" s="1549"/>
    </row>
    <row r="605" spans="1:26" ht="12.75" customHeight="1" x14ac:dyDescent="0.2">
      <c r="A605" s="1549"/>
      <c r="B605" s="1549"/>
      <c r="C605" s="1549"/>
      <c r="D605" s="1558"/>
      <c r="E605" s="1549"/>
      <c r="F605" s="1549"/>
      <c r="G605" s="1549"/>
      <c r="H605" s="1549"/>
      <c r="I605" s="1549"/>
      <c r="J605" s="1549"/>
      <c r="K605" s="1549"/>
      <c r="L605" s="1549"/>
      <c r="M605" s="1549"/>
      <c r="N605" s="1549"/>
      <c r="O605" s="1549"/>
      <c r="P605" s="1549"/>
      <c r="Q605" s="1549"/>
      <c r="R605" s="1549"/>
      <c r="S605" s="1549"/>
      <c r="T605" s="1549"/>
      <c r="U605" s="1549"/>
      <c r="V605" s="1549"/>
      <c r="W605" s="1549"/>
      <c r="X605" s="1549"/>
      <c r="Y605" s="1549"/>
      <c r="Z605" s="1549"/>
    </row>
    <row r="606" spans="1:26" ht="12.75" customHeight="1" x14ac:dyDescent="0.2">
      <c r="A606" s="1549"/>
      <c r="B606" s="1549"/>
      <c r="C606" s="1549"/>
      <c r="D606" s="1558"/>
      <c r="E606" s="1549"/>
      <c r="F606" s="1549"/>
      <c r="G606" s="1549"/>
      <c r="H606" s="1549"/>
      <c r="I606" s="1549"/>
      <c r="J606" s="1549"/>
      <c r="K606" s="1549"/>
      <c r="L606" s="1549"/>
      <c r="M606" s="1549"/>
      <c r="N606" s="1549"/>
      <c r="O606" s="1549"/>
      <c r="P606" s="1549"/>
      <c r="Q606" s="1549"/>
      <c r="R606" s="1549"/>
      <c r="S606" s="1549"/>
      <c r="T606" s="1549"/>
      <c r="U606" s="1549"/>
      <c r="V606" s="1549"/>
      <c r="W606" s="1549"/>
      <c r="X606" s="1549"/>
      <c r="Y606" s="1549"/>
      <c r="Z606" s="1549"/>
    </row>
    <row r="607" spans="1:26" ht="12.75" customHeight="1" x14ac:dyDescent="0.2">
      <c r="A607" s="1549"/>
      <c r="B607" s="1549"/>
      <c r="C607" s="1549"/>
      <c r="D607" s="1558"/>
      <c r="E607" s="1549"/>
      <c r="F607" s="1549"/>
      <c r="G607" s="1549"/>
      <c r="H607" s="1549"/>
      <c r="I607" s="1549"/>
      <c r="J607" s="1549"/>
      <c r="K607" s="1549"/>
      <c r="L607" s="1549"/>
      <c r="M607" s="1549"/>
      <c r="N607" s="1549"/>
      <c r="O607" s="1549"/>
      <c r="P607" s="1549"/>
      <c r="Q607" s="1549"/>
      <c r="R607" s="1549"/>
      <c r="S607" s="1549"/>
      <c r="T607" s="1549"/>
      <c r="U607" s="1549"/>
      <c r="V607" s="1549"/>
      <c r="W607" s="1549"/>
      <c r="X607" s="1549"/>
      <c r="Y607" s="1549"/>
      <c r="Z607" s="1549"/>
    </row>
    <row r="608" spans="1:26" ht="12.75" customHeight="1" x14ac:dyDescent="0.2">
      <c r="A608" s="1549"/>
      <c r="B608" s="1549"/>
      <c r="C608" s="1549"/>
      <c r="D608" s="1558"/>
      <c r="E608" s="1549"/>
      <c r="F608" s="1549"/>
      <c r="G608" s="1549"/>
      <c r="H608" s="1549"/>
      <c r="I608" s="1549"/>
      <c r="J608" s="1549"/>
      <c r="K608" s="1549"/>
      <c r="L608" s="1549"/>
      <c r="M608" s="1549"/>
      <c r="N608" s="1549"/>
      <c r="O608" s="1549"/>
      <c r="P608" s="1549"/>
      <c r="Q608" s="1549"/>
      <c r="R608" s="1549"/>
      <c r="S608" s="1549"/>
      <c r="T608" s="1549"/>
      <c r="U608" s="1549"/>
      <c r="V608" s="1549"/>
      <c r="W608" s="1549"/>
      <c r="X608" s="1549"/>
      <c r="Y608" s="1549"/>
      <c r="Z608" s="1549"/>
    </row>
    <row r="609" spans="1:26" ht="12.75" customHeight="1" x14ac:dyDescent="0.2">
      <c r="A609" s="1549"/>
      <c r="B609" s="1549"/>
      <c r="C609" s="1549"/>
      <c r="D609" s="1558"/>
      <c r="E609" s="1549"/>
      <c r="F609" s="1549"/>
      <c r="G609" s="1549"/>
      <c r="H609" s="1549"/>
      <c r="I609" s="1549"/>
      <c r="J609" s="1549"/>
      <c r="K609" s="1549"/>
      <c r="L609" s="1549"/>
      <c r="M609" s="1549"/>
      <c r="N609" s="1549"/>
      <c r="O609" s="1549"/>
      <c r="P609" s="1549"/>
      <c r="Q609" s="1549"/>
      <c r="R609" s="1549"/>
      <c r="S609" s="1549"/>
      <c r="T609" s="1549"/>
      <c r="U609" s="1549"/>
      <c r="V609" s="1549"/>
      <c r="W609" s="1549"/>
      <c r="X609" s="1549"/>
      <c r="Y609" s="1549"/>
      <c r="Z609" s="1549"/>
    </row>
    <row r="610" spans="1:26" ht="12.75" customHeight="1" x14ac:dyDescent="0.2">
      <c r="A610" s="1549"/>
      <c r="B610" s="1549"/>
      <c r="C610" s="1549"/>
      <c r="D610" s="1558"/>
      <c r="E610" s="1549"/>
      <c r="F610" s="1549"/>
      <c r="G610" s="1549"/>
      <c r="H610" s="1549"/>
      <c r="I610" s="1549"/>
      <c r="J610" s="1549"/>
      <c r="K610" s="1549"/>
      <c r="L610" s="1549"/>
      <c r="M610" s="1549"/>
      <c r="N610" s="1549"/>
      <c r="O610" s="1549"/>
      <c r="P610" s="1549"/>
      <c r="Q610" s="1549"/>
      <c r="R610" s="1549"/>
      <c r="S610" s="1549"/>
      <c r="T610" s="1549"/>
      <c r="U610" s="1549"/>
      <c r="V610" s="1549"/>
      <c r="W610" s="1549"/>
      <c r="X610" s="1549"/>
      <c r="Y610" s="1549"/>
      <c r="Z610" s="1549"/>
    </row>
    <row r="611" spans="1:26" ht="12.75" customHeight="1" x14ac:dyDescent="0.2">
      <c r="A611" s="1549"/>
      <c r="B611" s="1549"/>
      <c r="C611" s="1549"/>
      <c r="D611" s="1558"/>
      <c r="E611" s="1549"/>
      <c r="F611" s="1549"/>
      <c r="G611" s="1549"/>
      <c r="H611" s="1549"/>
      <c r="I611" s="1549"/>
      <c r="J611" s="1549"/>
      <c r="K611" s="1549"/>
      <c r="L611" s="1549"/>
      <c r="M611" s="1549"/>
      <c r="N611" s="1549"/>
      <c r="O611" s="1549"/>
      <c r="P611" s="1549"/>
      <c r="Q611" s="1549"/>
      <c r="R611" s="1549"/>
      <c r="S611" s="1549"/>
      <c r="T611" s="1549"/>
      <c r="U611" s="1549"/>
      <c r="V611" s="1549"/>
      <c r="W611" s="1549"/>
      <c r="X611" s="1549"/>
      <c r="Y611" s="1549"/>
      <c r="Z611" s="1549"/>
    </row>
    <row r="612" spans="1:26" ht="12.75" customHeight="1" x14ac:dyDescent="0.2">
      <c r="A612" s="1549"/>
      <c r="B612" s="1549"/>
      <c r="C612" s="1549"/>
      <c r="D612" s="1558"/>
      <c r="E612" s="1549"/>
      <c r="F612" s="1549"/>
      <c r="G612" s="1549"/>
      <c r="H612" s="1549"/>
      <c r="I612" s="1549"/>
      <c r="J612" s="1549"/>
      <c r="K612" s="1549"/>
      <c r="L612" s="1549"/>
      <c r="M612" s="1549"/>
      <c r="N612" s="1549"/>
      <c r="O612" s="1549"/>
      <c r="P612" s="1549"/>
      <c r="Q612" s="1549"/>
      <c r="R612" s="1549"/>
      <c r="S612" s="1549"/>
      <c r="T612" s="1549"/>
      <c r="U612" s="1549"/>
      <c r="V612" s="1549"/>
      <c r="W612" s="1549"/>
      <c r="X612" s="1549"/>
      <c r="Y612" s="1549"/>
      <c r="Z612" s="1549"/>
    </row>
    <row r="613" spans="1:26" ht="12.75" customHeight="1" x14ac:dyDescent="0.2">
      <c r="A613" s="1549"/>
      <c r="B613" s="1549"/>
      <c r="C613" s="1549"/>
      <c r="D613" s="1558"/>
      <c r="E613" s="1549"/>
      <c r="F613" s="1549"/>
      <c r="G613" s="1549"/>
      <c r="H613" s="1549"/>
      <c r="I613" s="1549"/>
      <c r="J613" s="1549"/>
      <c r="K613" s="1549"/>
      <c r="L613" s="1549"/>
      <c r="M613" s="1549"/>
      <c r="N613" s="1549"/>
      <c r="O613" s="1549"/>
      <c r="P613" s="1549"/>
      <c r="Q613" s="1549"/>
      <c r="R613" s="1549"/>
      <c r="S613" s="1549"/>
      <c r="T613" s="1549"/>
      <c r="U613" s="1549"/>
      <c r="V613" s="1549"/>
      <c r="W613" s="1549"/>
      <c r="X613" s="1549"/>
      <c r="Y613" s="1549"/>
      <c r="Z613" s="1549"/>
    </row>
    <row r="614" spans="1:26" ht="12.75" customHeight="1" x14ac:dyDescent="0.2">
      <c r="A614" s="1549"/>
      <c r="B614" s="1549"/>
      <c r="C614" s="1549"/>
      <c r="D614" s="1558"/>
      <c r="E614" s="1549"/>
      <c r="F614" s="1549"/>
      <c r="G614" s="1549"/>
      <c r="H614" s="1549"/>
      <c r="I614" s="1549"/>
      <c r="J614" s="1549"/>
      <c r="K614" s="1549"/>
      <c r="L614" s="1549"/>
      <c r="M614" s="1549"/>
      <c r="N614" s="1549"/>
      <c r="O614" s="1549"/>
      <c r="P614" s="1549"/>
      <c r="Q614" s="1549"/>
      <c r="R614" s="1549"/>
      <c r="S614" s="1549"/>
      <c r="T614" s="1549"/>
      <c r="U614" s="1549"/>
      <c r="V614" s="1549"/>
      <c r="W614" s="1549"/>
      <c r="X614" s="1549"/>
      <c r="Y614" s="1549"/>
      <c r="Z614" s="1549"/>
    </row>
    <row r="615" spans="1:26" ht="12.75" customHeight="1" x14ac:dyDescent="0.2">
      <c r="A615" s="1549"/>
      <c r="B615" s="1549"/>
      <c r="C615" s="1549"/>
      <c r="D615" s="1558"/>
      <c r="E615" s="1549"/>
      <c r="F615" s="1549"/>
      <c r="G615" s="1549"/>
      <c r="H615" s="1549"/>
      <c r="I615" s="1549"/>
      <c r="J615" s="1549"/>
      <c r="K615" s="1549"/>
      <c r="L615" s="1549"/>
      <c r="M615" s="1549"/>
      <c r="N615" s="1549"/>
      <c r="O615" s="1549"/>
      <c r="P615" s="1549"/>
      <c r="Q615" s="1549"/>
      <c r="R615" s="1549"/>
      <c r="S615" s="1549"/>
      <c r="T615" s="1549"/>
      <c r="U615" s="1549"/>
      <c r="V615" s="1549"/>
      <c r="W615" s="1549"/>
      <c r="X615" s="1549"/>
      <c r="Y615" s="1549"/>
      <c r="Z615" s="1549"/>
    </row>
    <row r="616" spans="1:26" ht="12.75" customHeight="1" x14ac:dyDescent="0.2">
      <c r="A616" s="1549"/>
      <c r="B616" s="1549"/>
      <c r="C616" s="1549"/>
      <c r="D616" s="1558"/>
      <c r="E616" s="1549"/>
      <c r="F616" s="1549"/>
      <c r="G616" s="1549"/>
      <c r="H616" s="1549"/>
      <c r="I616" s="1549"/>
      <c r="J616" s="1549"/>
      <c r="K616" s="1549"/>
      <c r="L616" s="1549"/>
      <c r="M616" s="1549"/>
      <c r="N616" s="1549"/>
      <c r="O616" s="1549"/>
      <c r="P616" s="1549"/>
      <c r="Q616" s="1549"/>
      <c r="R616" s="1549"/>
      <c r="S616" s="1549"/>
      <c r="T616" s="1549"/>
      <c r="U616" s="1549"/>
      <c r="V616" s="1549"/>
      <c r="W616" s="1549"/>
      <c r="X616" s="1549"/>
      <c r="Y616" s="1549"/>
      <c r="Z616" s="1549"/>
    </row>
    <row r="617" spans="1:26" ht="12.75" customHeight="1" x14ac:dyDescent="0.2">
      <c r="A617" s="1549"/>
      <c r="B617" s="1549"/>
      <c r="C617" s="1549"/>
      <c r="D617" s="1558"/>
      <c r="E617" s="1549"/>
      <c r="F617" s="1549"/>
      <c r="G617" s="1549"/>
      <c r="H617" s="1549"/>
      <c r="I617" s="1549"/>
      <c r="J617" s="1549"/>
      <c r="K617" s="1549"/>
      <c r="L617" s="1549"/>
      <c r="M617" s="1549"/>
      <c r="N617" s="1549"/>
      <c r="O617" s="1549"/>
      <c r="P617" s="1549"/>
      <c r="Q617" s="1549"/>
      <c r="R617" s="1549"/>
      <c r="S617" s="1549"/>
      <c r="T617" s="1549"/>
      <c r="U617" s="1549"/>
      <c r="V617" s="1549"/>
      <c r="W617" s="1549"/>
      <c r="X617" s="1549"/>
      <c r="Y617" s="1549"/>
      <c r="Z617" s="1549"/>
    </row>
    <row r="618" spans="1:26" ht="12.75" customHeight="1" x14ac:dyDescent="0.2">
      <c r="A618" s="1549"/>
      <c r="B618" s="1549"/>
      <c r="C618" s="1549"/>
      <c r="D618" s="1558"/>
      <c r="E618" s="1549"/>
      <c r="F618" s="1549"/>
      <c r="G618" s="1549"/>
      <c r="H618" s="1549"/>
      <c r="I618" s="1549"/>
      <c r="J618" s="1549"/>
      <c r="K618" s="1549"/>
      <c r="L618" s="1549"/>
      <c r="M618" s="1549"/>
      <c r="N618" s="1549"/>
      <c r="O618" s="1549"/>
      <c r="P618" s="1549"/>
      <c r="Q618" s="1549"/>
      <c r="R618" s="1549"/>
      <c r="S618" s="1549"/>
      <c r="T618" s="1549"/>
      <c r="U618" s="1549"/>
      <c r="V618" s="1549"/>
      <c r="W618" s="1549"/>
      <c r="X618" s="1549"/>
      <c r="Y618" s="1549"/>
      <c r="Z618" s="1549"/>
    </row>
    <row r="619" spans="1:26" ht="12.75" customHeight="1" x14ac:dyDescent="0.2">
      <c r="A619" s="1549"/>
      <c r="B619" s="1549"/>
      <c r="C619" s="1549"/>
      <c r="D619" s="1558"/>
      <c r="E619" s="1549"/>
      <c r="F619" s="1549"/>
      <c r="G619" s="1549"/>
      <c r="H619" s="1549"/>
      <c r="I619" s="1549"/>
      <c r="J619" s="1549"/>
      <c r="K619" s="1549"/>
      <c r="L619" s="1549"/>
      <c r="M619" s="1549"/>
      <c r="N619" s="1549"/>
      <c r="O619" s="1549"/>
      <c r="P619" s="1549"/>
      <c r="Q619" s="1549"/>
      <c r="R619" s="1549"/>
      <c r="S619" s="1549"/>
      <c r="T619" s="1549"/>
      <c r="U619" s="1549"/>
      <c r="V619" s="1549"/>
      <c r="W619" s="1549"/>
      <c r="X619" s="1549"/>
      <c r="Y619" s="1549"/>
      <c r="Z619" s="1549"/>
    </row>
    <row r="620" spans="1:26" ht="12.75" customHeight="1" x14ac:dyDescent="0.2">
      <c r="A620" s="1549"/>
      <c r="B620" s="1549"/>
      <c r="C620" s="1549"/>
      <c r="D620" s="1558"/>
      <c r="E620" s="1549"/>
      <c r="F620" s="1549"/>
      <c r="G620" s="1549"/>
      <c r="H620" s="1549"/>
      <c r="I620" s="1549"/>
      <c r="J620" s="1549"/>
      <c r="K620" s="1549"/>
      <c r="L620" s="1549"/>
      <c r="M620" s="1549"/>
      <c r="N620" s="1549"/>
      <c r="O620" s="1549"/>
      <c r="P620" s="1549"/>
      <c r="Q620" s="1549"/>
      <c r="R620" s="1549"/>
      <c r="S620" s="1549"/>
      <c r="T620" s="1549"/>
      <c r="U620" s="1549"/>
      <c r="V620" s="1549"/>
      <c r="W620" s="1549"/>
      <c r="X620" s="1549"/>
      <c r="Y620" s="1549"/>
      <c r="Z620" s="1549"/>
    </row>
    <row r="621" spans="1:26" ht="12.75" customHeight="1" x14ac:dyDescent="0.2">
      <c r="A621" s="1549"/>
      <c r="B621" s="1549"/>
      <c r="C621" s="1549"/>
      <c r="D621" s="1558"/>
      <c r="E621" s="1549"/>
      <c r="F621" s="1549"/>
      <c r="G621" s="1549"/>
      <c r="H621" s="1549"/>
      <c r="I621" s="1549"/>
      <c r="J621" s="1549"/>
      <c r="K621" s="1549"/>
      <c r="L621" s="1549"/>
      <c r="M621" s="1549"/>
      <c r="N621" s="1549"/>
      <c r="O621" s="1549"/>
      <c r="P621" s="1549"/>
      <c r="Q621" s="1549"/>
      <c r="R621" s="1549"/>
      <c r="S621" s="1549"/>
      <c r="T621" s="1549"/>
      <c r="U621" s="1549"/>
      <c r="V621" s="1549"/>
      <c r="W621" s="1549"/>
      <c r="X621" s="1549"/>
      <c r="Y621" s="1549"/>
      <c r="Z621" s="1549"/>
    </row>
    <row r="622" spans="1:26" ht="12.75" customHeight="1" x14ac:dyDescent="0.2">
      <c r="A622" s="1549"/>
      <c r="B622" s="1549"/>
      <c r="C622" s="1549"/>
      <c r="D622" s="1558"/>
      <c r="E622" s="1549"/>
      <c r="F622" s="1549"/>
      <c r="G622" s="1549"/>
      <c r="H622" s="1549"/>
      <c r="I622" s="1549"/>
      <c r="J622" s="1549"/>
      <c r="K622" s="1549"/>
      <c r="L622" s="1549"/>
      <c r="M622" s="1549"/>
      <c r="N622" s="1549"/>
      <c r="O622" s="1549"/>
      <c r="P622" s="1549"/>
      <c r="Q622" s="1549"/>
      <c r="R622" s="1549"/>
      <c r="S622" s="1549"/>
      <c r="T622" s="1549"/>
      <c r="U622" s="1549"/>
      <c r="V622" s="1549"/>
      <c r="W622" s="1549"/>
      <c r="X622" s="1549"/>
      <c r="Y622" s="1549"/>
      <c r="Z622" s="1549"/>
    </row>
    <row r="623" spans="1:26" ht="12.75" customHeight="1" x14ac:dyDescent="0.2">
      <c r="A623" s="1549"/>
      <c r="B623" s="1549"/>
      <c r="C623" s="1549"/>
      <c r="D623" s="1558"/>
      <c r="E623" s="1549"/>
      <c r="F623" s="1549"/>
      <c r="G623" s="1549"/>
      <c r="H623" s="1549"/>
      <c r="I623" s="1549"/>
      <c r="J623" s="1549"/>
      <c r="K623" s="1549"/>
      <c r="L623" s="1549"/>
      <c r="M623" s="1549"/>
      <c r="N623" s="1549"/>
      <c r="O623" s="1549"/>
      <c r="P623" s="1549"/>
      <c r="Q623" s="1549"/>
      <c r="R623" s="1549"/>
      <c r="S623" s="1549"/>
      <c r="T623" s="1549"/>
      <c r="U623" s="1549"/>
      <c r="V623" s="1549"/>
      <c r="W623" s="1549"/>
      <c r="X623" s="1549"/>
      <c r="Y623" s="1549"/>
      <c r="Z623" s="1549"/>
    </row>
    <row r="624" spans="1:26" ht="12.75" customHeight="1" x14ac:dyDescent="0.2">
      <c r="A624" s="1549"/>
      <c r="B624" s="1549"/>
      <c r="C624" s="1549"/>
      <c r="D624" s="1558"/>
      <c r="E624" s="1549"/>
      <c r="F624" s="1549"/>
      <c r="G624" s="1549"/>
      <c r="H624" s="1549"/>
      <c r="I624" s="1549"/>
      <c r="J624" s="1549"/>
      <c r="K624" s="1549"/>
      <c r="L624" s="1549"/>
      <c r="M624" s="1549"/>
      <c r="N624" s="1549"/>
      <c r="O624" s="1549"/>
      <c r="P624" s="1549"/>
      <c r="Q624" s="1549"/>
      <c r="R624" s="1549"/>
      <c r="S624" s="1549"/>
      <c r="T624" s="1549"/>
      <c r="U624" s="1549"/>
      <c r="V624" s="1549"/>
      <c r="W624" s="1549"/>
      <c r="X624" s="1549"/>
      <c r="Y624" s="1549"/>
      <c r="Z624" s="1549"/>
    </row>
    <row r="625" spans="1:26" ht="12.75" customHeight="1" x14ac:dyDescent="0.2">
      <c r="A625" s="1549"/>
      <c r="B625" s="1549"/>
      <c r="C625" s="1549"/>
      <c r="D625" s="1558"/>
      <c r="E625" s="1549"/>
      <c r="F625" s="1549"/>
      <c r="G625" s="1549"/>
      <c r="H625" s="1549"/>
      <c r="I625" s="1549"/>
      <c r="J625" s="1549"/>
      <c r="K625" s="1549"/>
      <c r="L625" s="1549"/>
      <c r="M625" s="1549"/>
      <c r="N625" s="1549"/>
      <c r="O625" s="1549"/>
      <c r="P625" s="1549"/>
      <c r="Q625" s="1549"/>
      <c r="R625" s="1549"/>
      <c r="S625" s="1549"/>
      <c r="T625" s="1549"/>
      <c r="U625" s="1549"/>
      <c r="V625" s="1549"/>
      <c r="W625" s="1549"/>
      <c r="X625" s="1549"/>
      <c r="Y625" s="1549"/>
      <c r="Z625" s="1549"/>
    </row>
    <row r="626" spans="1:26" ht="12.75" customHeight="1" x14ac:dyDescent="0.2">
      <c r="A626" s="1549"/>
      <c r="B626" s="1549"/>
      <c r="C626" s="1549"/>
      <c r="D626" s="1558"/>
      <c r="E626" s="1549"/>
      <c r="F626" s="1549"/>
      <c r="G626" s="1549"/>
      <c r="H626" s="1549"/>
      <c r="I626" s="1549"/>
      <c r="J626" s="1549"/>
      <c r="K626" s="1549"/>
      <c r="L626" s="1549"/>
      <c r="M626" s="1549"/>
      <c r="N626" s="1549"/>
      <c r="O626" s="1549"/>
      <c r="P626" s="1549"/>
      <c r="Q626" s="1549"/>
      <c r="R626" s="1549"/>
      <c r="S626" s="1549"/>
      <c r="T626" s="1549"/>
      <c r="U626" s="1549"/>
      <c r="V626" s="1549"/>
      <c r="W626" s="1549"/>
      <c r="X626" s="1549"/>
      <c r="Y626" s="1549"/>
      <c r="Z626" s="1549"/>
    </row>
    <row r="627" spans="1:26" ht="12.75" customHeight="1" x14ac:dyDescent="0.2">
      <c r="A627" s="1549"/>
      <c r="B627" s="1549"/>
      <c r="C627" s="1549"/>
      <c r="D627" s="1558"/>
      <c r="E627" s="1549"/>
      <c r="F627" s="1549"/>
      <c r="G627" s="1549"/>
      <c r="H627" s="1549"/>
      <c r="I627" s="1549"/>
      <c r="J627" s="1549"/>
      <c r="K627" s="1549"/>
      <c r="L627" s="1549"/>
      <c r="M627" s="1549"/>
      <c r="N627" s="1549"/>
      <c r="O627" s="1549"/>
      <c r="P627" s="1549"/>
      <c r="Q627" s="1549"/>
      <c r="R627" s="1549"/>
      <c r="S627" s="1549"/>
      <c r="T627" s="1549"/>
      <c r="U627" s="1549"/>
      <c r="V627" s="1549"/>
      <c r="W627" s="1549"/>
      <c r="X627" s="1549"/>
      <c r="Y627" s="1549"/>
      <c r="Z627" s="1549"/>
    </row>
    <row r="628" spans="1:26" ht="12.75" customHeight="1" x14ac:dyDescent="0.2">
      <c r="A628" s="1549"/>
      <c r="B628" s="1549"/>
      <c r="C628" s="1549"/>
      <c r="D628" s="1558"/>
      <c r="E628" s="1549"/>
      <c r="F628" s="1549"/>
      <c r="G628" s="1549"/>
      <c r="H628" s="1549"/>
      <c r="I628" s="1549"/>
      <c r="J628" s="1549"/>
      <c r="K628" s="1549"/>
      <c r="L628" s="1549"/>
      <c r="M628" s="1549"/>
      <c r="N628" s="1549"/>
      <c r="O628" s="1549"/>
      <c r="P628" s="1549"/>
      <c r="Q628" s="1549"/>
      <c r="R628" s="1549"/>
      <c r="S628" s="1549"/>
      <c r="T628" s="1549"/>
      <c r="U628" s="1549"/>
      <c r="V628" s="1549"/>
      <c r="W628" s="1549"/>
      <c r="X628" s="1549"/>
      <c r="Y628" s="1549"/>
      <c r="Z628" s="1549"/>
    </row>
    <row r="629" spans="1:26" ht="12.75" customHeight="1" x14ac:dyDescent="0.2">
      <c r="A629" s="1549"/>
      <c r="B629" s="1549"/>
      <c r="C629" s="1549"/>
      <c r="D629" s="1558"/>
      <c r="E629" s="1549"/>
      <c r="F629" s="1549"/>
      <c r="G629" s="1549"/>
      <c r="H629" s="1549"/>
      <c r="I629" s="1549"/>
      <c r="J629" s="1549"/>
      <c r="K629" s="1549"/>
      <c r="L629" s="1549"/>
      <c r="M629" s="1549"/>
      <c r="N629" s="1549"/>
      <c r="O629" s="1549"/>
      <c r="P629" s="1549"/>
      <c r="Q629" s="1549"/>
      <c r="R629" s="1549"/>
      <c r="S629" s="1549"/>
      <c r="T629" s="1549"/>
      <c r="U629" s="1549"/>
      <c r="V629" s="1549"/>
      <c r="W629" s="1549"/>
      <c r="X629" s="1549"/>
      <c r="Y629" s="1549"/>
      <c r="Z629" s="1549"/>
    </row>
    <row r="630" spans="1:26" ht="12.75" customHeight="1" x14ac:dyDescent="0.2">
      <c r="A630" s="1549"/>
      <c r="B630" s="1549"/>
      <c r="C630" s="1549"/>
      <c r="D630" s="1558"/>
      <c r="E630" s="1549"/>
      <c r="F630" s="1549"/>
      <c r="G630" s="1549"/>
      <c r="H630" s="1549"/>
      <c r="I630" s="1549"/>
      <c r="J630" s="1549"/>
      <c r="K630" s="1549"/>
      <c r="L630" s="1549"/>
      <c r="M630" s="1549"/>
      <c r="N630" s="1549"/>
      <c r="O630" s="1549"/>
      <c r="P630" s="1549"/>
      <c r="Q630" s="1549"/>
      <c r="R630" s="1549"/>
      <c r="S630" s="1549"/>
      <c r="T630" s="1549"/>
      <c r="U630" s="1549"/>
      <c r="V630" s="1549"/>
      <c r="W630" s="1549"/>
      <c r="X630" s="1549"/>
      <c r="Y630" s="1549"/>
      <c r="Z630" s="1549"/>
    </row>
    <row r="631" spans="1:26" ht="12.75" customHeight="1" x14ac:dyDescent="0.2">
      <c r="A631" s="1549"/>
      <c r="B631" s="1549"/>
      <c r="C631" s="1549"/>
      <c r="D631" s="1558"/>
      <c r="E631" s="1549"/>
      <c r="F631" s="1549"/>
      <c r="G631" s="1549"/>
      <c r="H631" s="1549"/>
      <c r="I631" s="1549"/>
      <c r="J631" s="1549"/>
      <c r="K631" s="1549"/>
      <c r="L631" s="1549"/>
      <c r="M631" s="1549"/>
      <c r="N631" s="1549"/>
      <c r="O631" s="1549"/>
      <c r="P631" s="1549"/>
      <c r="Q631" s="1549"/>
      <c r="R631" s="1549"/>
      <c r="S631" s="1549"/>
      <c r="T631" s="1549"/>
      <c r="U631" s="1549"/>
      <c r="V631" s="1549"/>
      <c r="W631" s="1549"/>
      <c r="X631" s="1549"/>
      <c r="Y631" s="1549"/>
      <c r="Z631" s="1549"/>
    </row>
    <row r="632" spans="1:26" ht="12.75" customHeight="1" x14ac:dyDescent="0.2">
      <c r="A632" s="1549"/>
      <c r="B632" s="1549"/>
      <c r="C632" s="1549"/>
      <c r="D632" s="1558"/>
      <c r="E632" s="1549"/>
      <c r="F632" s="1549"/>
      <c r="G632" s="1549"/>
      <c r="H632" s="1549"/>
      <c r="I632" s="1549"/>
      <c r="J632" s="1549"/>
      <c r="K632" s="1549"/>
      <c r="L632" s="1549"/>
      <c r="M632" s="1549"/>
      <c r="N632" s="1549"/>
      <c r="O632" s="1549"/>
      <c r="P632" s="1549"/>
      <c r="Q632" s="1549"/>
      <c r="R632" s="1549"/>
      <c r="S632" s="1549"/>
      <c r="T632" s="1549"/>
      <c r="U632" s="1549"/>
      <c r="V632" s="1549"/>
      <c r="W632" s="1549"/>
      <c r="X632" s="1549"/>
      <c r="Y632" s="1549"/>
      <c r="Z632" s="1549"/>
    </row>
    <row r="633" spans="1:26" ht="12.75" customHeight="1" x14ac:dyDescent="0.2">
      <c r="A633" s="1549"/>
      <c r="B633" s="1549"/>
      <c r="C633" s="1549"/>
      <c r="D633" s="1558"/>
      <c r="E633" s="1549"/>
      <c r="F633" s="1549"/>
      <c r="G633" s="1549"/>
      <c r="H633" s="1549"/>
      <c r="I633" s="1549"/>
      <c r="J633" s="1549"/>
      <c r="K633" s="1549"/>
      <c r="L633" s="1549"/>
      <c r="M633" s="1549"/>
      <c r="N633" s="1549"/>
      <c r="O633" s="1549"/>
      <c r="P633" s="1549"/>
      <c r="Q633" s="1549"/>
      <c r="R633" s="1549"/>
      <c r="S633" s="1549"/>
      <c r="T633" s="1549"/>
      <c r="U633" s="1549"/>
      <c r="V633" s="1549"/>
      <c r="W633" s="1549"/>
      <c r="X633" s="1549"/>
      <c r="Y633" s="1549"/>
      <c r="Z633" s="1549"/>
    </row>
    <row r="634" spans="1:26" ht="12.75" customHeight="1" x14ac:dyDescent="0.2">
      <c r="A634" s="1549"/>
      <c r="B634" s="1549"/>
      <c r="C634" s="1549"/>
      <c r="D634" s="1558"/>
      <c r="E634" s="1549"/>
      <c r="F634" s="1549"/>
      <c r="G634" s="1549"/>
      <c r="H634" s="1549"/>
      <c r="I634" s="1549"/>
      <c r="J634" s="1549"/>
      <c r="K634" s="1549"/>
      <c r="L634" s="1549"/>
      <c r="M634" s="1549"/>
      <c r="N634" s="1549"/>
      <c r="O634" s="1549"/>
      <c r="P634" s="1549"/>
      <c r="Q634" s="1549"/>
      <c r="R634" s="1549"/>
      <c r="S634" s="1549"/>
      <c r="T634" s="1549"/>
      <c r="U634" s="1549"/>
      <c r="V634" s="1549"/>
      <c r="W634" s="1549"/>
      <c r="X634" s="1549"/>
      <c r="Y634" s="1549"/>
      <c r="Z634" s="1549"/>
    </row>
    <row r="635" spans="1:26" ht="12.75" customHeight="1" x14ac:dyDescent="0.2">
      <c r="A635" s="1549"/>
      <c r="B635" s="1549"/>
      <c r="C635" s="1549"/>
      <c r="D635" s="1558"/>
      <c r="E635" s="1549"/>
      <c r="F635" s="1549"/>
      <c r="G635" s="1549"/>
      <c r="H635" s="1549"/>
      <c r="I635" s="1549"/>
      <c r="J635" s="1549"/>
      <c r="K635" s="1549"/>
      <c r="L635" s="1549"/>
      <c r="M635" s="1549"/>
      <c r="N635" s="1549"/>
      <c r="O635" s="1549"/>
      <c r="P635" s="1549"/>
      <c r="Q635" s="1549"/>
      <c r="R635" s="1549"/>
      <c r="S635" s="1549"/>
      <c r="T635" s="1549"/>
      <c r="U635" s="1549"/>
      <c r="V635" s="1549"/>
      <c r="W635" s="1549"/>
      <c r="X635" s="1549"/>
      <c r="Y635" s="1549"/>
      <c r="Z635" s="1549"/>
    </row>
    <row r="636" spans="1:26" ht="12.75" customHeight="1" x14ac:dyDescent="0.2">
      <c r="A636" s="1549"/>
      <c r="B636" s="1549"/>
      <c r="C636" s="1549"/>
      <c r="D636" s="1558"/>
      <c r="E636" s="1549"/>
      <c r="F636" s="1549"/>
      <c r="G636" s="1549"/>
      <c r="H636" s="1549"/>
      <c r="I636" s="1549"/>
      <c r="J636" s="1549"/>
      <c r="K636" s="1549"/>
      <c r="L636" s="1549"/>
      <c r="M636" s="1549"/>
      <c r="N636" s="1549"/>
      <c r="O636" s="1549"/>
      <c r="P636" s="1549"/>
      <c r="Q636" s="1549"/>
      <c r="R636" s="1549"/>
      <c r="S636" s="1549"/>
      <c r="T636" s="1549"/>
      <c r="U636" s="1549"/>
      <c r="V636" s="1549"/>
      <c r="W636" s="1549"/>
      <c r="X636" s="1549"/>
      <c r="Y636" s="1549"/>
      <c r="Z636" s="1549"/>
    </row>
    <row r="637" spans="1:26" ht="12.75" customHeight="1" x14ac:dyDescent="0.2">
      <c r="A637" s="1549"/>
      <c r="B637" s="1549"/>
      <c r="C637" s="1549"/>
      <c r="D637" s="1558"/>
      <c r="E637" s="1549"/>
      <c r="F637" s="1549"/>
      <c r="G637" s="1549"/>
      <c r="H637" s="1549"/>
      <c r="I637" s="1549"/>
      <c r="J637" s="1549"/>
      <c r="K637" s="1549"/>
      <c r="L637" s="1549"/>
      <c r="M637" s="1549"/>
      <c r="N637" s="1549"/>
      <c r="O637" s="1549"/>
      <c r="P637" s="1549"/>
      <c r="Q637" s="1549"/>
      <c r="R637" s="1549"/>
      <c r="S637" s="1549"/>
      <c r="T637" s="1549"/>
      <c r="U637" s="1549"/>
      <c r="V637" s="1549"/>
      <c r="W637" s="1549"/>
      <c r="X637" s="1549"/>
      <c r="Y637" s="1549"/>
      <c r="Z637" s="1549"/>
    </row>
    <row r="638" spans="1:26" ht="12.75" customHeight="1" x14ac:dyDescent="0.2">
      <c r="A638" s="1549"/>
      <c r="B638" s="1549"/>
      <c r="C638" s="1549"/>
      <c r="D638" s="1558"/>
      <c r="E638" s="1549"/>
      <c r="F638" s="1549"/>
      <c r="G638" s="1549"/>
      <c r="H638" s="1549"/>
      <c r="I638" s="1549"/>
      <c r="J638" s="1549"/>
      <c r="K638" s="1549"/>
      <c r="L638" s="1549"/>
      <c r="M638" s="1549"/>
      <c r="N638" s="1549"/>
      <c r="O638" s="1549"/>
      <c r="P638" s="1549"/>
      <c r="Q638" s="1549"/>
      <c r="R638" s="1549"/>
      <c r="S638" s="1549"/>
      <c r="T638" s="1549"/>
      <c r="U638" s="1549"/>
      <c r="V638" s="1549"/>
      <c r="W638" s="1549"/>
      <c r="X638" s="1549"/>
      <c r="Y638" s="1549"/>
      <c r="Z638" s="1549"/>
    </row>
    <row r="639" spans="1:26" ht="12.75" customHeight="1" x14ac:dyDescent="0.2">
      <c r="A639" s="1549"/>
      <c r="B639" s="1549"/>
      <c r="C639" s="1549"/>
      <c r="D639" s="1558"/>
      <c r="E639" s="1549"/>
      <c r="F639" s="1549"/>
      <c r="G639" s="1549"/>
      <c r="H639" s="1549"/>
      <c r="I639" s="1549"/>
      <c r="J639" s="1549"/>
      <c r="K639" s="1549"/>
      <c r="L639" s="1549"/>
      <c r="M639" s="1549"/>
      <c r="N639" s="1549"/>
      <c r="O639" s="1549"/>
      <c r="P639" s="1549"/>
      <c r="Q639" s="1549"/>
      <c r="R639" s="1549"/>
      <c r="S639" s="1549"/>
      <c r="T639" s="1549"/>
      <c r="U639" s="1549"/>
      <c r="V639" s="1549"/>
      <c r="W639" s="1549"/>
      <c r="X639" s="1549"/>
      <c r="Y639" s="1549"/>
      <c r="Z639" s="1549"/>
    </row>
    <row r="640" spans="1:26" ht="12.75" customHeight="1" x14ac:dyDescent="0.2">
      <c r="A640" s="1549"/>
      <c r="B640" s="1549"/>
      <c r="C640" s="1549"/>
      <c r="D640" s="1558"/>
      <c r="E640" s="1549"/>
      <c r="F640" s="1549"/>
      <c r="G640" s="1549"/>
      <c r="H640" s="1549"/>
      <c r="I640" s="1549"/>
      <c r="J640" s="1549"/>
      <c r="K640" s="1549"/>
      <c r="L640" s="1549"/>
      <c r="M640" s="1549"/>
      <c r="N640" s="1549"/>
      <c r="O640" s="1549"/>
      <c r="P640" s="1549"/>
      <c r="Q640" s="1549"/>
      <c r="R640" s="1549"/>
      <c r="S640" s="1549"/>
      <c r="T640" s="1549"/>
      <c r="U640" s="1549"/>
      <c r="V640" s="1549"/>
      <c r="W640" s="1549"/>
      <c r="X640" s="1549"/>
      <c r="Y640" s="1549"/>
      <c r="Z640" s="1549"/>
    </row>
    <row r="641" spans="1:26" ht="12.75" customHeight="1" x14ac:dyDescent="0.2">
      <c r="A641" s="1549"/>
      <c r="B641" s="1549"/>
      <c r="C641" s="1549"/>
      <c r="D641" s="1558"/>
      <c r="E641" s="1549"/>
      <c r="F641" s="1549"/>
      <c r="G641" s="1549"/>
      <c r="H641" s="1549"/>
      <c r="I641" s="1549"/>
      <c r="J641" s="1549"/>
      <c r="K641" s="1549"/>
      <c r="L641" s="1549"/>
      <c r="M641" s="1549"/>
      <c r="N641" s="1549"/>
      <c r="O641" s="1549"/>
      <c r="P641" s="1549"/>
      <c r="Q641" s="1549"/>
      <c r="R641" s="1549"/>
      <c r="S641" s="1549"/>
      <c r="T641" s="1549"/>
      <c r="U641" s="1549"/>
      <c r="V641" s="1549"/>
      <c r="W641" s="1549"/>
      <c r="X641" s="1549"/>
      <c r="Y641" s="1549"/>
      <c r="Z641" s="1549"/>
    </row>
    <row r="642" spans="1:26" ht="12.75" customHeight="1" x14ac:dyDescent="0.2">
      <c r="A642" s="1549"/>
      <c r="B642" s="1549"/>
      <c r="C642" s="1549"/>
      <c r="D642" s="1558"/>
      <c r="E642" s="1549"/>
      <c r="F642" s="1549"/>
      <c r="G642" s="1549"/>
      <c r="H642" s="1549"/>
      <c r="I642" s="1549"/>
      <c r="J642" s="1549"/>
      <c r="K642" s="1549"/>
      <c r="L642" s="1549"/>
      <c r="M642" s="1549"/>
      <c r="N642" s="1549"/>
      <c r="O642" s="1549"/>
      <c r="P642" s="1549"/>
      <c r="Q642" s="1549"/>
      <c r="R642" s="1549"/>
      <c r="S642" s="1549"/>
      <c r="T642" s="1549"/>
      <c r="U642" s="1549"/>
      <c r="V642" s="1549"/>
      <c r="W642" s="1549"/>
      <c r="X642" s="1549"/>
      <c r="Y642" s="1549"/>
      <c r="Z642" s="1549"/>
    </row>
    <row r="643" spans="1:26" ht="12.75" customHeight="1" x14ac:dyDescent="0.2">
      <c r="A643" s="1549"/>
      <c r="B643" s="1549"/>
      <c r="C643" s="1549"/>
      <c r="D643" s="1558"/>
      <c r="E643" s="1549"/>
      <c r="F643" s="1549"/>
      <c r="G643" s="1549"/>
      <c r="H643" s="1549"/>
      <c r="I643" s="1549"/>
      <c r="J643" s="1549"/>
      <c r="K643" s="1549"/>
      <c r="L643" s="1549"/>
      <c r="M643" s="1549"/>
      <c r="N643" s="1549"/>
      <c r="O643" s="1549"/>
      <c r="P643" s="1549"/>
      <c r="Q643" s="1549"/>
      <c r="R643" s="1549"/>
      <c r="S643" s="1549"/>
      <c r="T643" s="1549"/>
      <c r="U643" s="1549"/>
      <c r="V643" s="1549"/>
      <c r="W643" s="1549"/>
      <c r="X643" s="1549"/>
      <c r="Y643" s="1549"/>
      <c r="Z643" s="1549"/>
    </row>
    <row r="644" spans="1:26" ht="12.75" customHeight="1" x14ac:dyDescent="0.2">
      <c r="A644" s="1549"/>
      <c r="B644" s="1549"/>
      <c r="C644" s="1549"/>
      <c r="D644" s="1558"/>
      <c r="E644" s="1549"/>
      <c r="F644" s="1549"/>
      <c r="G644" s="1549"/>
      <c r="H644" s="1549"/>
      <c r="I644" s="1549"/>
      <c r="J644" s="1549"/>
      <c r="K644" s="1549"/>
      <c r="L644" s="1549"/>
      <c r="M644" s="1549"/>
      <c r="N644" s="1549"/>
      <c r="O644" s="1549"/>
      <c r="P644" s="1549"/>
      <c r="Q644" s="1549"/>
      <c r="R644" s="1549"/>
      <c r="S644" s="1549"/>
      <c r="T644" s="1549"/>
      <c r="U644" s="1549"/>
      <c r="V644" s="1549"/>
      <c r="W644" s="1549"/>
      <c r="X644" s="1549"/>
      <c r="Y644" s="1549"/>
      <c r="Z644" s="1549"/>
    </row>
    <row r="645" spans="1:26" ht="12.75" customHeight="1" x14ac:dyDescent="0.2">
      <c r="A645" s="1549"/>
      <c r="B645" s="1549"/>
      <c r="C645" s="1549"/>
      <c r="D645" s="1558"/>
      <c r="E645" s="1549"/>
      <c r="F645" s="1549"/>
      <c r="G645" s="1549"/>
      <c r="H645" s="1549"/>
      <c r="I645" s="1549"/>
      <c r="J645" s="1549"/>
      <c r="K645" s="1549"/>
      <c r="L645" s="1549"/>
      <c r="M645" s="1549"/>
      <c r="N645" s="1549"/>
      <c r="O645" s="1549"/>
      <c r="P645" s="1549"/>
      <c r="Q645" s="1549"/>
      <c r="R645" s="1549"/>
      <c r="S645" s="1549"/>
      <c r="T645" s="1549"/>
      <c r="U645" s="1549"/>
      <c r="V645" s="1549"/>
      <c r="W645" s="1549"/>
      <c r="X645" s="1549"/>
      <c r="Y645" s="1549"/>
      <c r="Z645" s="1549"/>
    </row>
    <row r="646" spans="1:26" ht="12.75" customHeight="1" x14ac:dyDescent="0.2">
      <c r="A646" s="1549"/>
      <c r="B646" s="1549"/>
      <c r="C646" s="1549"/>
      <c r="D646" s="1558"/>
      <c r="E646" s="1549"/>
      <c r="F646" s="1549"/>
      <c r="G646" s="1549"/>
      <c r="H646" s="1549"/>
      <c r="I646" s="1549"/>
      <c r="J646" s="1549"/>
      <c r="K646" s="1549"/>
      <c r="L646" s="1549"/>
      <c r="M646" s="1549"/>
      <c r="N646" s="1549"/>
      <c r="O646" s="1549"/>
      <c r="P646" s="1549"/>
      <c r="Q646" s="1549"/>
      <c r="R646" s="1549"/>
      <c r="S646" s="1549"/>
      <c r="T646" s="1549"/>
      <c r="U646" s="1549"/>
      <c r="V646" s="1549"/>
      <c r="W646" s="1549"/>
      <c r="X646" s="1549"/>
      <c r="Y646" s="1549"/>
      <c r="Z646" s="1549"/>
    </row>
    <row r="647" spans="1:26" ht="12.75" customHeight="1" x14ac:dyDescent="0.2">
      <c r="A647" s="1549"/>
      <c r="B647" s="1549"/>
      <c r="C647" s="1549"/>
      <c r="D647" s="1558"/>
      <c r="E647" s="1549"/>
      <c r="F647" s="1549"/>
      <c r="G647" s="1549"/>
      <c r="H647" s="1549"/>
      <c r="I647" s="1549"/>
      <c r="J647" s="1549"/>
      <c r="K647" s="1549"/>
      <c r="L647" s="1549"/>
      <c r="M647" s="1549"/>
      <c r="N647" s="1549"/>
      <c r="O647" s="1549"/>
      <c r="P647" s="1549"/>
      <c r="Q647" s="1549"/>
      <c r="R647" s="1549"/>
      <c r="S647" s="1549"/>
      <c r="T647" s="1549"/>
      <c r="U647" s="1549"/>
      <c r="V647" s="1549"/>
      <c r="W647" s="1549"/>
      <c r="X647" s="1549"/>
      <c r="Y647" s="1549"/>
      <c r="Z647" s="1549"/>
    </row>
    <row r="648" spans="1:26" ht="12.75" customHeight="1" x14ac:dyDescent="0.2">
      <c r="A648" s="1549"/>
      <c r="B648" s="1549"/>
      <c r="C648" s="1549"/>
      <c r="D648" s="1558"/>
      <c r="E648" s="1549"/>
      <c r="F648" s="1549"/>
      <c r="G648" s="1549"/>
      <c r="H648" s="1549"/>
      <c r="I648" s="1549"/>
      <c r="J648" s="1549"/>
      <c r="K648" s="1549"/>
      <c r="L648" s="1549"/>
      <c r="M648" s="1549"/>
      <c r="N648" s="1549"/>
      <c r="O648" s="1549"/>
      <c r="P648" s="1549"/>
      <c r="Q648" s="1549"/>
      <c r="R648" s="1549"/>
      <c r="S648" s="1549"/>
      <c r="T648" s="1549"/>
      <c r="U648" s="1549"/>
      <c r="V648" s="1549"/>
      <c r="W648" s="1549"/>
      <c r="X648" s="1549"/>
      <c r="Y648" s="1549"/>
      <c r="Z648" s="1549"/>
    </row>
    <row r="649" spans="1:26" ht="12.75" customHeight="1" x14ac:dyDescent="0.2">
      <c r="A649" s="1549"/>
      <c r="B649" s="1549"/>
      <c r="C649" s="1549"/>
      <c r="D649" s="1558"/>
      <c r="E649" s="1549"/>
      <c r="F649" s="1549"/>
      <c r="G649" s="1549"/>
      <c r="H649" s="1549"/>
      <c r="I649" s="1549"/>
      <c r="J649" s="1549"/>
      <c r="K649" s="1549"/>
      <c r="L649" s="1549"/>
      <c r="M649" s="1549"/>
      <c r="N649" s="1549"/>
      <c r="O649" s="1549"/>
      <c r="P649" s="1549"/>
      <c r="Q649" s="1549"/>
      <c r="R649" s="1549"/>
      <c r="S649" s="1549"/>
      <c r="T649" s="1549"/>
      <c r="U649" s="1549"/>
      <c r="V649" s="1549"/>
      <c r="W649" s="1549"/>
      <c r="X649" s="1549"/>
      <c r="Y649" s="1549"/>
      <c r="Z649" s="1549"/>
    </row>
    <row r="650" spans="1:26" ht="12.75" customHeight="1" x14ac:dyDescent="0.2">
      <c r="A650" s="1549"/>
      <c r="B650" s="1549"/>
      <c r="C650" s="1549"/>
      <c r="D650" s="1558"/>
      <c r="E650" s="1549"/>
      <c r="F650" s="1549"/>
      <c r="G650" s="1549"/>
      <c r="H650" s="1549"/>
      <c r="I650" s="1549"/>
      <c r="J650" s="1549"/>
      <c r="K650" s="1549"/>
      <c r="L650" s="1549"/>
      <c r="M650" s="1549"/>
      <c r="N650" s="1549"/>
      <c r="O650" s="1549"/>
      <c r="P650" s="1549"/>
      <c r="Q650" s="1549"/>
      <c r="R650" s="1549"/>
      <c r="S650" s="1549"/>
      <c r="T650" s="1549"/>
      <c r="U650" s="1549"/>
      <c r="V650" s="1549"/>
      <c r="W650" s="1549"/>
      <c r="X650" s="1549"/>
      <c r="Y650" s="1549"/>
      <c r="Z650" s="1549"/>
    </row>
    <row r="651" spans="1:26" ht="12.75" customHeight="1" x14ac:dyDescent="0.2">
      <c r="A651" s="1549"/>
      <c r="B651" s="1549"/>
      <c r="C651" s="1549"/>
      <c r="D651" s="1558"/>
      <c r="E651" s="1549"/>
      <c r="F651" s="1549"/>
      <c r="G651" s="1549"/>
      <c r="H651" s="1549"/>
      <c r="I651" s="1549"/>
      <c r="J651" s="1549"/>
      <c r="K651" s="1549"/>
      <c r="L651" s="1549"/>
      <c r="M651" s="1549"/>
      <c r="N651" s="1549"/>
      <c r="O651" s="1549"/>
      <c r="P651" s="1549"/>
      <c r="Q651" s="1549"/>
      <c r="R651" s="1549"/>
      <c r="S651" s="1549"/>
      <c r="T651" s="1549"/>
      <c r="U651" s="1549"/>
      <c r="V651" s="1549"/>
      <c r="W651" s="1549"/>
      <c r="X651" s="1549"/>
      <c r="Y651" s="1549"/>
      <c r="Z651" s="1549"/>
    </row>
    <row r="652" spans="1:26" ht="12.75" customHeight="1" x14ac:dyDescent="0.2">
      <c r="A652" s="1549"/>
      <c r="B652" s="1549"/>
      <c r="C652" s="1549"/>
      <c r="D652" s="1558"/>
      <c r="E652" s="1549"/>
      <c r="F652" s="1549"/>
      <c r="G652" s="1549"/>
      <c r="H652" s="1549"/>
      <c r="I652" s="1549"/>
      <c r="J652" s="1549"/>
      <c r="K652" s="1549"/>
      <c r="L652" s="1549"/>
      <c r="M652" s="1549"/>
      <c r="N652" s="1549"/>
      <c r="O652" s="1549"/>
      <c r="P652" s="1549"/>
      <c r="Q652" s="1549"/>
      <c r="R652" s="1549"/>
      <c r="S652" s="1549"/>
      <c r="T652" s="1549"/>
      <c r="U652" s="1549"/>
      <c r="V652" s="1549"/>
      <c r="W652" s="1549"/>
      <c r="X652" s="1549"/>
      <c r="Y652" s="1549"/>
      <c r="Z652" s="1549"/>
    </row>
    <row r="653" spans="1:26" ht="12.75" customHeight="1" x14ac:dyDescent="0.2">
      <c r="A653" s="1549"/>
      <c r="B653" s="1549"/>
      <c r="C653" s="1549"/>
      <c r="D653" s="1558"/>
      <c r="E653" s="1549"/>
      <c r="F653" s="1549"/>
      <c r="G653" s="1549"/>
      <c r="H653" s="1549"/>
      <c r="I653" s="1549"/>
      <c r="J653" s="1549"/>
      <c r="K653" s="1549"/>
      <c r="L653" s="1549"/>
      <c r="M653" s="1549"/>
      <c r="N653" s="1549"/>
      <c r="O653" s="1549"/>
      <c r="P653" s="1549"/>
      <c r="Q653" s="1549"/>
      <c r="R653" s="1549"/>
      <c r="S653" s="1549"/>
      <c r="T653" s="1549"/>
      <c r="U653" s="1549"/>
      <c r="V653" s="1549"/>
      <c r="W653" s="1549"/>
      <c r="X653" s="1549"/>
      <c r="Y653" s="1549"/>
      <c r="Z653" s="1549"/>
    </row>
    <row r="654" spans="1:26" ht="12.75" customHeight="1" x14ac:dyDescent="0.2">
      <c r="A654" s="1549"/>
      <c r="B654" s="1549"/>
      <c r="C654" s="1549"/>
      <c r="D654" s="1558"/>
      <c r="E654" s="1549"/>
      <c r="F654" s="1549"/>
      <c r="G654" s="1549"/>
      <c r="H654" s="1549"/>
      <c r="I654" s="1549"/>
      <c r="J654" s="1549"/>
      <c r="K654" s="1549"/>
      <c r="L654" s="1549"/>
      <c r="M654" s="1549"/>
      <c r="N654" s="1549"/>
      <c r="O654" s="1549"/>
      <c r="P654" s="1549"/>
      <c r="Q654" s="1549"/>
      <c r="R654" s="1549"/>
      <c r="S654" s="1549"/>
      <c r="T654" s="1549"/>
      <c r="U654" s="1549"/>
      <c r="V654" s="1549"/>
      <c r="W654" s="1549"/>
      <c r="X654" s="1549"/>
      <c r="Y654" s="1549"/>
      <c r="Z654" s="1549"/>
    </row>
    <row r="655" spans="1:26" ht="12.75" customHeight="1" x14ac:dyDescent="0.2">
      <c r="A655" s="1549"/>
      <c r="B655" s="1549"/>
      <c r="C655" s="1549"/>
      <c r="D655" s="1558"/>
      <c r="E655" s="1549"/>
      <c r="F655" s="1549"/>
      <c r="G655" s="1549"/>
      <c r="H655" s="1549"/>
      <c r="I655" s="1549"/>
      <c r="J655" s="1549"/>
      <c r="K655" s="1549"/>
      <c r="L655" s="1549"/>
      <c r="M655" s="1549"/>
      <c r="N655" s="1549"/>
      <c r="O655" s="1549"/>
      <c r="P655" s="1549"/>
      <c r="Q655" s="1549"/>
      <c r="R655" s="1549"/>
      <c r="S655" s="1549"/>
      <c r="T655" s="1549"/>
      <c r="U655" s="1549"/>
      <c r="V655" s="1549"/>
      <c r="W655" s="1549"/>
      <c r="X655" s="1549"/>
      <c r="Y655" s="1549"/>
      <c r="Z655" s="1549"/>
    </row>
    <row r="656" spans="1:26" ht="12.75" customHeight="1" x14ac:dyDescent="0.2">
      <c r="A656" s="1549"/>
      <c r="B656" s="1549"/>
      <c r="C656" s="1549"/>
      <c r="D656" s="1558"/>
      <c r="E656" s="1549"/>
      <c r="F656" s="1549"/>
      <c r="G656" s="1549"/>
      <c r="H656" s="1549"/>
      <c r="I656" s="1549"/>
      <c r="J656" s="1549"/>
      <c r="K656" s="1549"/>
      <c r="L656" s="1549"/>
      <c r="M656" s="1549"/>
      <c r="N656" s="1549"/>
      <c r="O656" s="1549"/>
      <c r="P656" s="1549"/>
      <c r="Q656" s="1549"/>
      <c r="R656" s="1549"/>
      <c r="S656" s="1549"/>
      <c r="T656" s="1549"/>
      <c r="U656" s="1549"/>
      <c r="V656" s="1549"/>
      <c r="W656" s="1549"/>
      <c r="X656" s="1549"/>
      <c r="Y656" s="1549"/>
      <c r="Z656" s="1549"/>
    </row>
    <row r="657" spans="1:26" ht="12.75" customHeight="1" x14ac:dyDescent="0.2">
      <c r="A657" s="1549"/>
      <c r="B657" s="1549"/>
      <c r="C657" s="1549"/>
      <c r="D657" s="1558"/>
      <c r="E657" s="1549"/>
      <c r="F657" s="1549"/>
      <c r="G657" s="1549"/>
      <c r="H657" s="1549"/>
      <c r="I657" s="1549"/>
      <c r="J657" s="1549"/>
      <c r="K657" s="1549"/>
      <c r="L657" s="1549"/>
      <c r="M657" s="1549"/>
      <c r="N657" s="1549"/>
      <c r="O657" s="1549"/>
      <c r="P657" s="1549"/>
      <c r="Q657" s="1549"/>
      <c r="R657" s="1549"/>
      <c r="S657" s="1549"/>
      <c r="T657" s="1549"/>
      <c r="U657" s="1549"/>
      <c r="V657" s="1549"/>
      <c r="W657" s="1549"/>
      <c r="X657" s="1549"/>
      <c r="Y657" s="1549"/>
      <c r="Z657" s="1549"/>
    </row>
    <row r="658" spans="1:26" ht="12.75" customHeight="1" x14ac:dyDescent="0.2">
      <c r="A658" s="1549"/>
      <c r="B658" s="1549"/>
      <c r="C658" s="1549"/>
      <c r="D658" s="1558"/>
      <c r="E658" s="1549"/>
      <c r="F658" s="1549"/>
      <c r="G658" s="1549"/>
      <c r="H658" s="1549"/>
      <c r="I658" s="1549"/>
      <c r="J658" s="1549"/>
      <c r="K658" s="1549"/>
      <c r="L658" s="1549"/>
      <c r="M658" s="1549"/>
      <c r="N658" s="1549"/>
      <c r="O658" s="1549"/>
      <c r="P658" s="1549"/>
      <c r="Q658" s="1549"/>
      <c r="R658" s="1549"/>
      <c r="S658" s="1549"/>
      <c r="T658" s="1549"/>
      <c r="U658" s="1549"/>
      <c r="V658" s="1549"/>
      <c r="W658" s="1549"/>
      <c r="X658" s="1549"/>
      <c r="Y658" s="1549"/>
      <c r="Z658" s="1549"/>
    </row>
    <row r="659" spans="1:26" ht="12.75" customHeight="1" x14ac:dyDescent="0.2">
      <c r="A659" s="1549"/>
      <c r="B659" s="1549"/>
      <c r="C659" s="1549"/>
      <c r="D659" s="1558"/>
      <c r="E659" s="1549"/>
      <c r="F659" s="1549"/>
      <c r="G659" s="1549"/>
      <c r="H659" s="1549"/>
      <c r="I659" s="1549"/>
      <c r="J659" s="1549"/>
      <c r="K659" s="1549"/>
      <c r="L659" s="1549"/>
      <c r="M659" s="1549"/>
      <c r="N659" s="1549"/>
      <c r="O659" s="1549"/>
      <c r="P659" s="1549"/>
      <c r="Q659" s="1549"/>
      <c r="R659" s="1549"/>
      <c r="S659" s="1549"/>
      <c r="T659" s="1549"/>
      <c r="U659" s="1549"/>
      <c r="V659" s="1549"/>
      <c r="W659" s="1549"/>
      <c r="X659" s="1549"/>
      <c r="Y659" s="1549"/>
      <c r="Z659" s="1549"/>
    </row>
    <row r="660" spans="1:26" ht="12.75" customHeight="1" x14ac:dyDescent="0.2">
      <c r="A660" s="1549"/>
      <c r="B660" s="1549"/>
      <c r="C660" s="1549"/>
      <c r="D660" s="1558"/>
      <c r="E660" s="1549"/>
      <c r="F660" s="1549"/>
      <c r="G660" s="1549"/>
      <c r="H660" s="1549"/>
      <c r="I660" s="1549"/>
      <c r="J660" s="1549"/>
      <c r="K660" s="1549"/>
      <c r="L660" s="1549"/>
      <c r="M660" s="1549"/>
      <c r="N660" s="1549"/>
      <c r="O660" s="1549"/>
      <c r="P660" s="1549"/>
      <c r="Q660" s="1549"/>
      <c r="R660" s="1549"/>
      <c r="S660" s="1549"/>
      <c r="T660" s="1549"/>
      <c r="U660" s="1549"/>
      <c r="V660" s="1549"/>
      <c r="W660" s="1549"/>
      <c r="X660" s="1549"/>
      <c r="Y660" s="1549"/>
      <c r="Z660" s="1549"/>
    </row>
    <row r="661" spans="1:26" ht="12.75" customHeight="1" x14ac:dyDescent="0.2">
      <c r="A661" s="1549"/>
      <c r="B661" s="1549"/>
      <c r="C661" s="1549"/>
      <c r="D661" s="1558"/>
      <c r="E661" s="1549"/>
      <c r="F661" s="1549"/>
      <c r="G661" s="1549"/>
      <c r="H661" s="1549"/>
      <c r="I661" s="1549"/>
      <c r="J661" s="1549"/>
      <c r="K661" s="1549"/>
      <c r="L661" s="1549"/>
      <c r="M661" s="1549"/>
      <c r="N661" s="1549"/>
      <c r="O661" s="1549"/>
      <c r="P661" s="1549"/>
      <c r="Q661" s="1549"/>
      <c r="R661" s="1549"/>
      <c r="S661" s="1549"/>
      <c r="T661" s="1549"/>
      <c r="U661" s="1549"/>
      <c r="V661" s="1549"/>
      <c r="W661" s="1549"/>
      <c r="X661" s="1549"/>
      <c r="Y661" s="1549"/>
      <c r="Z661" s="1549"/>
    </row>
    <row r="662" spans="1:26" ht="12.75" customHeight="1" x14ac:dyDescent="0.2">
      <c r="A662" s="1549"/>
      <c r="B662" s="1549"/>
      <c r="C662" s="1549"/>
      <c r="D662" s="1558"/>
      <c r="E662" s="1549"/>
      <c r="F662" s="1549"/>
      <c r="G662" s="1549"/>
      <c r="H662" s="1549"/>
      <c r="I662" s="1549"/>
      <c r="J662" s="1549"/>
      <c r="K662" s="1549"/>
      <c r="L662" s="1549"/>
      <c r="M662" s="1549"/>
      <c r="N662" s="1549"/>
      <c r="O662" s="1549"/>
      <c r="P662" s="1549"/>
      <c r="Q662" s="1549"/>
      <c r="R662" s="1549"/>
      <c r="S662" s="1549"/>
      <c r="T662" s="1549"/>
      <c r="U662" s="1549"/>
      <c r="V662" s="1549"/>
      <c r="W662" s="1549"/>
      <c r="X662" s="1549"/>
      <c r="Y662" s="1549"/>
      <c r="Z662" s="1549"/>
    </row>
    <row r="663" spans="1:26" ht="12.75" customHeight="1" x14ac:dyDescent="0.2">
      <c r="A663" s="1549"/>
      <c r="B663" s="1549"/>
      <c r="C663" s="1549"/>
      <c r="D663" s="1558"/>
      <c r="E663" s="1549"/>
      <c r="F663" s="1549"/>
      <c r="G663" s="1549"/>
      <c r="H663" s="1549"/>
      <c r="I663" s="1549"/>
      <c r="J663" s="1549"/>
      <c r="K663" s="1549"/>
      <c r="L663" s="1549"/>
      <c r="M663" s="1549"/>
      <c r="N663" s="1549"/>
      <c r="O663" s="1549"/>
      <c r="P663" s="1549"/>
      <c r="Q663" s="1549"/>
      <c r="R663" s="1549"/>
      <c r="S663" s="1549"/>
      <c r="T663" s="1549"/>
      <c r="U663" s="1549"/>
      <c r="V663" s="1549"/>
      <c r="W663" s="1549"/>
      <c r="X663" s="1549"/>
      <c r="Y663" s="1549"/>
      <c r="Z663" s="1549"/>
    </row>
    <row r="664" spans="1:26" ht="12.75" customHeight="1" x14ac:dyDescent="0.2">
      <c r="A664" s="1549"/>
      <c r="B664" s="1549"/>
      <c r="C664" s="1549"/>
      <c r="D664" s="1558"/>
      <c r="E664" s="1549"/>
      <c r="F664" s="1549"/>
      <c r="G664" s="1549"/>
      <c r="H664" s="1549"/>
      <c r="I664" s="1549"/>
      <c r="J664" s="1549"/>
      <c r="K664" s="1549"/>
      <c r="L664" s="1549"/>
      <c r="M664" s="1549"/>
      <c r="N664" s="1549"/>
      <c r="O664" s="1549"/>
      <c r="P664" s="1549"/>
      <c r="Q664" s="1549"/>
      <c r="R664" s="1549"/>
      <c r="S664" s="1549"/>
      <c r="T664" s="1549"/>
      <c r="U664" s="1549"/>
      <c r="V664" s="1549"/>
      <c r="W664" s="1549"/>
      <c r="X664" s="1549"/>
      <c r="Y664" s="1549"/>
      <c r="Z664" s="1549"/>
    </row>
    <row r="665" spans="1:26" ht="12.75" customHeight="1" x14ac:dyDescent="0.2">
      <c r="A665" s="1549"/>
      <c r="B665" s="1549"/>
      <c r="C665" s="1549"/>
      <c r="D665" s="1558"/>
      <c r="E665" s="1549"/>
      <c r="F665" s="1549"/>
      <c r="G665" s="1549"/>
      <c r="H665" s="1549"/>
      <c r="I665" s="1549"/>
      <c r="J665" s="1549"/>
      <c r="K665" s="1549"/>
      <c r="L665" s="1549"/>
      <c r="M665" s="1549"/>
      <c r="N665" s="1549"/>
      <c r="O665" s="1549"/>
      <c r="P665" s="1549"/>
      <c r="Q665" s="1549"/>
      <c r="R665" s="1549"/>
      <c r="S665" s="1549"/>
      <c r="T665" s="1549"/>
      <c r="U665" s="1549"/>
      <c r="V665" s="1549"/>
      <c r="W665" s="1549"/>
      <c r="X665" s="1549"/>
      <c r="Y665" s="1549"/>
      <c r="Z665" s="1549"/>
    </row>
    <row r="666" spans="1:26" ht="12.75" customHeight="1" x14ac:dyDescent="0.2">
      <c r="A666" s="1549"/>
      <c r="B666" s="1549"/>
      <c r="C666" s="1549"/>
      <c r="D666" s="1558"/>
      <c r="E666" s="1549"/>
      <c r="F666" s="1549"/>
      <c r="G666" s="1549"/>
      <c r="H666" s="1549"/>
      <c r="I666" s="1549"/>
      <c r="J666" s="1549"/>
      <c r="K666" s="1549"/>
      <c r="L666" s="1549"/>
      <c r="M666" s="1549"/>
      <c r="N666" s="1549"/>
      <c r="O666" s="1549"/>
      <c r="P666" s="1549"/>
      <c r="Q666" s="1549"/>
      <c r="R666" s="1549"/>
      <c r="S666" s="1549"/>
      <c r="T666" s="1549"/>
      <c r="U666" s="1549"/>
      <c r="V666" s="1549"/>
      <c r="W666" s="1549"/>
      <c r="X666" s="1549"/>
      <c r="Y666" s="1549"/>
      <c r="Z666" s="1549"/>
    </row>
    <row r="667" spans="1:26" ht="12.75" customHeight="1" x14ac:dyDescent="0.2">
      <c r="A667" s="1549"/>
      <c r="B667" s="1549"/>
      <c r="C667" s="1549"/>
      <c r="D667" s="1558"/>
      <c r="E667" s="1549"/>
      <c r="F667" s="1549"/>
      <c r="G667" s="1549"/>
      <c r="H667" s="1549"/>
      <c r="I667" s="1549"/>
      <c r="J667" s="1549"/>
      <c r="K667" s="1549"/>
      <c r="L667" s="1549"/>
      <c r="M667" s="1549"/>
      <c r="N667" s="1549"/>
      <c r="O667" s="1549"/>
      <c r="P667" s="1549"/>
      <c r="Q667" s="1549"/>
      <c r="R667" s="1549"/>
      <c r="S667" s="1549"/>
      <c r="T667" s="1549"/>
      <c r="U667" s="1549"/>
      <c r="V667" s="1549"/>
      <c r="W667" s="1549"/>
      <c r="X667" s="1549"/>
      <c r="Y667" s="1549"/>
      <c r="Z667" s="1549"/>
    </row>
    <row r="668" spans="1:26" ht="12.75" customHeight="1" x14ac:dyDescent="0.2">
      <c r="A668" s="1549"/>
      <c r="B668" s="1549"/>
      <c r="C668" s="1549"/>
      <c r="D668" s="1558"/>
      <c r="E668" s="1549"/>
      <c r="F668" s="1549"/>
      <c r="G668" s="1549"/>
      <c r="H668" s="1549"/>
      <c r="I668" s="1549"/>
      <c r="J668" s="1549"/>
      <c r="K668" s="1549"/>
      <c r="L668" s="1549"/>
      <c r="M668" s="1549"/>
      <c r="N668" s="1549"/>
      <c r="O668" s="1549"/>
      <c r="P668" s="1549"/>
      <c r="Q668" s="1549"/>
      <c r="R668" s="1549"/>
      <c r="S668" s="1549"/>
      <c r="T668" s="1549"/>
      <c r="U668" s="1549"/>
      <c r="V668" s="1549"/>
      <c r="W668" s="1549"/>
      <c r="X668" s="1549"/>
      <c r="Y668" s="1549"/>
      <c r="Z668" s="1549"/>
    </row>
    <row r="669" spans="1:26" ht="12.75" customHeight="1" x14ac:dyDescent="0.2">
      <c r="A669" s="1549"/>
      <c r="B669" s="1549"/>
      <c r="C669" s="1549"/>
      <c r="D669" s="1558"/>
      <c r="E669" s="1549"/>
      <c r="F669" s="1549"/>
      <c r="G669" s="1549"/>
      <c r="H669" s="1549"/>
      <c r="I669" s="1549"/>
      <c r="J669" s="1549"/>
      <c r="K669" s="1549"/>
      <c r="L669" s="1549"/>
      <c r="M669" s="1549"/>
      <c r="N669" s="1549"/>
      <c r="O669" s="1549"/>
      <c r="P669" s="1549"/>
      <c r="Q669" s="1549"/>
      <c r="R669" s="1549"/>
      <c r="S669" s="1549"/>
      <c r="T669" s="1549"/>
      <c r="U669" s="1549"/>
      <c r="V669" s="1549"/>
      <c r="W669" s="1549"/>
      <c r="X669" s="1549"/>
      <c r="Y669" s="1549"/>
      <c r="Z669" s="1549"/>
    </row>
    <row r="670" spans="1:26" ht="12.75" customHeight="1" x14ac:dyDescent="0.2">
      <c r="A670" s="1549"/>
      <c r="B670" s="1549"/>
      <c r="C670" s="1549"/>
      <c r="D670" s="1558"/>
      <c r="E670" s="1549"/>
      <c r="F670" s="1549"/>
      <c r="G670" s="1549"/>
      <c r="H670" s="1549"/>
      <c r="I670" s="1549"/>
      <c r="J670" s="1549"/>
      <c r="K670" s="1549"/>
      <c r="L670" s="1549"/>
      <c r="M670" s="1549"/>
      <c r="N670" s="1549"/>
      <c r="O670" s="1549"/>
      <c r="P670" s="1549"/>
      <c r="Q670" s="1549"/>
      <c r="R670" s="1549"/>
      <c r="S670" s="1549"/>
      <c r="T670" s="1549"/>
      <c r="U670" s="1549"/>
      <c r="V670" s="1549"/>
      <c r="W670" s="1549"/>
      <c r="X670" s="1549"/>
      <c r="Y670" s="1549"/>
      <c r="Z670" s="1549"/>
    </row>
    <row r="671" spans="1:26" ht="12.75" customHeight="1" x14ac:dyDescent="0.2">
      <c r="A671" s="1549"/>
      <c r="B671" s="1549"/>
      <c r="C671" s="1549"/>
      <c r="D671" s="1558"/>
      <c r="E671" s="1549"/>
      <c r="F671" s="1549"/>
      <c r="G671" s="1549"/>
      <c r="H671" s="1549"/>
      <c r="I671" s="1549"/>
      <c r="J671" s="1549"/>
      <c r="K671" s="1549"/>
      <c r="L671" s="1549"/>
      <c r="M671" s="1549"/>
      <c r="N671" s="1549"/>
      <c r="O671" s="1549"/>
      <c r="P671" s="1549"/>
      <c r="Q671" s="1549"/>
      <c r="R671" s="1549"/>
      <c r="S671" s="1549"/>
      <c r="T671" s="1549"/>
      <c r="U671" s="1549"/>
      <c r="V671" s="1549"/>
      <c r="W671" s="1549"/>
      <c r="X671" s="1549"/>
      <c r="Y671" s="1549"/>
      <c r="Z671" s="1549"/>
    </row>
    <row r="672" spans="1:26" ht="12.75" customHeight="1" x14ac:dyDescent="0.2">
      <c r="A672" s="1549"/>
      <c r="B672" s="1549"/>
      <c r="C672" s="1549"/>
      <c r="D672" s="1558"/>
      <c r="E672" s="1549"/>
      <c r="F672" s="1549"/>
      <c r="G672" s="1549"/>
      <c r="H672" s="1549"/>
      <c r="I672" s="1549"/>
      <c r="J672" s="1549"/>
      <c r="K672" s="1549"/>
      <c r="L672" s="1549"/>
      <c r="M672" s="1549"/>
      <c r="N672" s="1549"/>
      <c r="O672" s="1549"/>
      <c r="P672" s="1549"/>
      <c r="Q672" s="1549"/>
      <c r="R672" s="1549"/>
      <c r="S672" s="1549"/>
      <c r="T672" s="1549"/>
      <c r="U672" s="1549"/>
      <c r="V672" s="1549"/>
      <c r="W672" s="1549"/>
      <c r="X672" s="1549"/>
      <c r="Y672" s="1549"/>
      <c r="Z672" s="1549"/>
    </row>
    <row r="673" spans="1:26" ht="12.75" customHeight="1" x14ac:dyDescent="0.2">
      <c r="A673" s="1549"/>
      <c r="B673" s="1549"/>
      <c r="C673" s="1549"/>
      <c r="D673" s="1558"/>
      <c r="E673" s="1549"/>
      <c r="F673" s="1549"/>
      <c r="G673" s="1549"/>
      <c r="H673" s="1549"/>
      <c r="I673" s="1549"/>
      <c r="J673" s="1549"/>
      <c r="K673" s="1549"/>
      <c r="L673" s="1549"/>
      <c r="M673" s="1549"/>
      <c r="N673" s="1549"/>
      <c r="O673" s="1549"/>
      <c r="P673" s="1549"/>
      <c r="Q673" s="1549"/>
      <c r="R673" s="1549"/>
      <c r="S673" s="1549"/>
      <c r="T673" s="1549"/>
      <c r="U673" s="1549"/>
      <c r="V673" s="1549"/>
      <c r="W673" s="1549"/>
      <c r="X673" s="1549"/>
      <c r="Y673" s="1549"/>
      <c r="Z673" s="1549"/>
    </row>
    <row r="674" spans="1:26" ht="12.75" customHeight="1" x14ac:dyDescent="0.2">
      <c r="A674" s="1549"/>
      <c r="B674" s="1549"/>
      <c r="C674" s="1549"/>
      <c r="D674" s="1558"/>
      <c r="E674" s="1549"/>
      <c r="F674" s="1549"/>
      <c r="G674" s="1549"/>
      <c r="H674" s="1549"/>
      <c r="I674" s="1549"/>
      <c r="J674" s="1549"/>
      <c r="K674" s="1549"/>
      <c r="L674" s="1549"/>
      <c r="M674" s="1549"/>
      <c r="N674" s="1549"/>
      <c r="O674" s="1549"/>
      <c r="P674" s="1549"/>
      <c r="Q674" s="1549"/>
      <c r="R674" s="1549"/>
      <c r="S674" s="1549"/>
      <c r="T674" s="1549"/>
      <c r="U674" s="1549"/>
      <c r="V674" s="1549"/>
      <c r="W674" s="1549"/>
      <c r="X674" s="1549"/>
      <c r="Y674" s="1549"/>
      <c r="Z674" s="1549"/>
    </row>
    <row r="675" spans="1:26" ht="12.75" customHeight="1" x14ac:dyDescent="0.2">
      <c r="A675" s="1549"/>
      <c r="B675" s="1549"/>
      <c r="C675" s="1549"/>
      <c r="D675" s="1558"/>
      <c r="E675" s="1549"/>
      <c r="F675" s="1549"/>
      <c r="G675" s="1549"/>
      <c r="H675" s="1549"/>
      <c r="I675" s="1549"/>
      <c r="J675" s="1549"/>
      <c r="K675" s="1549"/>
      <c r="L675" s="1549"/>
      <c r="M675" s="1549"/>
      <c r="N675" s="1549"/>
      <c r="O675" s="1549"/>
      <c r="P675" s="1549"/>
      <c r="Q675" s="1549"/>
      <c r="R675" s="1549"/>
      <c r="S675" s="1549"/>
      <c r="T675" s="1549"/>
      <c r="U675" s="1549"/>
      <c r="V675" s="1549"/>
      <c r="W675" s="1549"/>
      <c r="X675" s="1549"/>
      <c r="Y675" s="1549"/>
      <c r="Z675" s="1549"/>
    </row>
    <row r="676" spans="1:26" ht="12.75" customHeight="1" x14ac:dyDescent="0.2">
      <c r="A676" s="1549"/>
      <c r="B676" s="1549"/>
      <c r="C676" s="1549"/>
      <c r="D676" s="1558"/>
      <c r="E676" s="1549"/>
      <c r="F676" s="1549"/>
      <c r="G676" s="1549"/>
      <c r="H676" s="1549"/>
      <c r="I676" s="1549"/>
      <c r="J676" s="1549"/>
      <c r="K676" s="1549"/>
      <c r="L676" s="1549"/>
      <c r="M676" s="1549"/>
      <c r="N676" s="1549"/>
      <c r="O676" s="1549"/>
      <c r="P676" s="1549"/>
      <c r="Q676" s="1549"/>
      <c r="R676" s="1549"/>
      <c r="S676" s="1549"/>
      <c r="T676" s="1549"/>
      <c r="U676" s="1549"/>
      <c r="V676" s="1549"/>
      <c r="W676" s="1549"/>
      <c r="X676" s="1549"/>
      <c r="Y676" s="1549"/>
      <c r="Z676" s="1549"/>
    </row>
    <row r="677" spans="1:26" ht="12.75" customHeight="1" x14ac:dyDescent="0.2">
      <c r="A677" s="1549"/>
      <c r="B677" s="1549"/>
      <c r="C677" s="1549"/>
      <c r="D677" s="1558"/>
      <c r="E677" s="1549"/>
      <c r="F677" s="1549"/>
      <c r="G677" s="1549"/>
      <c r="H677" s="1549"/>
      <c r="I677" s="1549"/>
      <c r="J677" s="1549"/>
      <c r="K677" s="1549"/>
      <c r="L677" s="1549"/>
      <c r="M677" s="1549"/>
      <c r="N677" s="1549"/>
      <c r="O677" s="1549"/>
      <c r="P677" s="1549"/>
      <c r="Q677" s="1549"/>
      <c r="R677" s="1549"/>
      <c r="S677" s="1549"/>
      <c r="T677" s="1549"/>
      <c r="U677" s="1549"/>
      <c r="V677" s="1549"/>
      <c r="W677" s="1549"/>
      <c r="X677" s="1549"/>
      <c r="Y677" s="1549"/>
      <c r="Z677" s="1549"/>
    </row>
    <row r="678" spans="1:26" ht="12.75" customHeight="1" x14ac:dyDescent="0.2">
      <c r="A678" s="1549"/>
      <c r="B678" s="1549"/>
      <c r="C678" s="1549"/>
      <c r="D678" s="1558"/>
      <c r="E678" s="1549"/>
      <c r="F678" s="1549"/>
      <c r="G678" s="1549"/>
      <c r="H678" s="1549"/>
      <c r="I678" s="1549"/>
      <c r="J678" s="1549"/>
      <c r="K678" s="1549"/>
      <c r="L678" s="1549"/>
      <c r="M678" s="1549"/>
      <c r="N678" s="1549"/>
      <c r="O678" s="1549"/>
      <c r="P678" s="1549"/>
      <c r="Q678" s="1549"/>
      <c r="R678" s="1549"/>
      <c r="S678" s="1549"/>
      <c r="T678" s="1549"/>
      <c r="U678" s="1549"/>
      <c r="V678" s="1549"/>
      <c r="W678" s="1549"/>
      <c r="X678" s="1549"/>
      <c r="Y678" s="1549"/>
      <c r="Z678" s="1549"/>
    </row>
    <row r="679" spans="1:26" ht="12.75" customHeight="1" x14ac:dyDescent="0.2">
      <c r="A679" s="1549"/>
      <c r="B679" s="1549"/>
      <c r="C679" s="1549"/>
      <c r="D679" s="1558"/>
      <c r="E679" s="1549"/>
      <c r="F679" s="1549"/>
      <c r="G679" s="1549"/>
      <c r="H679" s="1549"/>
      <c r="I679" s="1549"/>
      <c r="J679" s="1549"/>
      <c r="K679" s="1549"/>
      <c r="L679" s="1549"/>
      <c r="M679" s="1549"/>
      <c r="N679" s="1549"/>
      <c r="O679" s="1549"/>
      <c r="P679" s="1549"/>
      <c r="Q679" s="1549"/>
      <c r="R679" s="1549"/>
      <c r="S679" s="1549"/>
      <c r="T679" s="1549"/>
      <c r="U679" s="1549"/>
      <c r="V679" s="1549"/>
      <c r="W679" s="1549"/>
      <c r="X679" s="1549"/>
      <c r="Y679" s="1549"/>
      <c r="Z679" s="1549"/>
    </row>
    <row r="680" spans="1:26" ht="12.75" customHeight="1" x14ac:dyDescent="0.2">
      <c r="A680" s="1549"/>
      <c r="B680" s="1549"/>
      <c r="C680" s="1549"/>
      <c r="D680" s="1558"/>
      <c r="E680" s="1549"/>
      <c r="F680" s="1549"/>
      <c r="G680" s="1549"/>
      <c r="H680" s="1549"/>
      <c r="I680" s="1549"/>
      <c r="J680" s="1549"/>
      <c r="K680" s="1549"/>
      <c r="L680" s="1549"/>
      <c r="M680" s="1549"/>
      <c r="N680" s="1549"/>
      <c r="O680" s="1549"/>
      <c r="P680" s="1549"/>
      <c r="Q680" s="1549"/>
      <c r="R680" s="1549"/>
      <c r="S680" s="1549"/>
      <c r="T680" s="1549"/>
      <c r="U680" s="1549"/>
      <c r="V680" s="1549"/>
      <c r="W680" s="1549"/>
      <c r="X680" s="1549"/>
      <c r="Y680" s="1549"/>
      <c r="Z680" s="1549"/>
    </row>
    <row r="681" spans="1:26" ht="12.75" customHeight="1" x14ac:dyDescent="0.2">
      <c r="A681" s="1549"/>
      <c r="B681" s="1549"/>
      <c r="C681" s="1549"/>
      <c r="D681" s="1558"/>
      <c r="E681" s="1549"/>
      <c r="F681" s="1549"/>
      <c r="G681" s="1549"/>
      <c r="H681" s="1549"/>
      <c r="I681" s="1549"/>
      <c r="J681" s="1549"/>
      <c r="K681" s="1549"/>
      <c r="L681" s="1549"/>
      <c r="M681" s="1549"/>
      <c r="N681" s="1549"/>
      <c r="O681" s="1549"/>
      <c r="P681" s="1549"/>
      <c r="Q681" s="1549"/>
      <c r="R681" s="1549"/>
      <c r="S681" s="1549"/>
      <c r="T681" s="1549"/>
      <c r="U681" s="1549"/>
      <c r="V681" s="1549"/>
      <c r="W681" s="1549"/>
      <c r="X681" s="1549"/>
      <c r="Y681" s="1549"/>
      <c r="Z681" s="1549"/>
    </row>
    <row r="682" spans="1:26" ht="12.75" customHeight="1" x14ac:dyDescent="0.2">
      <c r="A682" s="1549"/>
      <c r="B682" s="1549"/>
      <c r="C682" s="1549"/>
      <c r="D682" s="1558"/>
      <c r="E682" s="1549"/>
      <c r="F682" s="1549"/>
      <c r="G682" s="1549"/>
      <c r="H682" s="1549"/>
      <c r="I682" s="1549"/>
      <c r="J682" s="1549"/>
      <c r="K682" s="1549"/>
      <c r="L682" s="1549"/>
      <c r="M682" s="1549"/>
      <c r="N682" s="1549"/>
      <c r="O682" s="1549"/>
      <c r="P682" s="1549"/>
      <c r="Q682" s="1549"/>
      <c r="R682" s="1549"/>
      <c r="S682" s="1549"/>
      <c r="T682" s="1549"/>
      <c r="U682" s="1549"/>
      <c r="V682" s="1549"/>
      <c r="W682" s="1549"/>
      <c r="X682" s="1549"/>
      <c r="Y682" s="1549"/>
      <c r="Z682" s="1549"/>
    </row>
    <row r="683" spans="1:26" ht="12.75" customHeight="1" x14ac:dyDescent="0.2">
      <c r="A683" s="1549"/>
      <c r="B683" s="1549"/>
      <c r="C683" s="1549"/>
      <c r="D683" s="1558"/>
      <c r="E683" s="1549"/>
      <c r="F683" s="1549"/>
      <c r="G683" s="1549"/>
      <c r="H683" s="1549"/>
      <c r="I683" s="1549"/>
      <c r="J683" s="1549"/>
      <c r="K683" s="1549"/>
      <c r="L683" s="1549"/>
      <c r="M683" s="1549"/>
      <c r="N683" s="1549"/>
      <c r="O683" s="1549"/>
      <c r="P683" s="1549"/>
      <c r="Q683" s="1549"/>
      <c r="R683" s="1549"/>
      <c r="S683" s="1549"/>
      <c r="T683" s="1549"/>
      <c r="U683" s="1549"/>
      <c r="V683" s="1549"/>
      <c r="W683" s="1549"/>
      <c r="X683" s="1549"/>
      <c r="Y683" s="1549"/>
      <c r="Z683" s="1549"/>
    </row>
    <row r="684" spans="1:26" ht="12.75" customHeight="1" x14ac:dyDescent="0.2">
      <c r="A684" s="1549"/>
      <c r="B684" s="1549"/>
      <c r="C684" s="1549"/>
      <c r="D684" s="1558"/>
      <c r="E684" s="1549"/>
      <c r="F684" s="1549"/>
      <c r="G684" s="1549"/>
      <c r="H684" s="1549"/>
      <c r="I684" s="1549"/>
      <c r="J684" s="1549"/>
      <c r="K684" s="1549"/>
      <c r="L684" s="1549"/>
      <c r="M684" s="1549"/>
      <c r="N684" s="1549"/>
      <c r="O684" s="1549"/>
      <c r="P684" s="1549"/>
      <c r="Q684" s="1549"/>
      <c r="R684" s="1549"/>
      <c r="S684" s="1549"/>
      <c r="T684" s="1549"/>
      <c r="U684" s="1549"/>
      <c r="V684" s="1549"/>
      <c r="W684" s="1549"/>
      <c r="X684" s="1549"/>
      <c r="Y684" s="1549"/>
      <c r="Z684" s="1549"/>
    </row>
    <row r="685" spans="1:26" ht="12.75" customHeight="1" x14ac:dyDescent="0.2">
      <c r="A685" s="1549"/>
      <c r="B685" s="1549"/>
      <c r="C685" s="1549"/>
      <c r="D685" s="1558"/>
      <c r="E685" s="1549"/>
      <c r="F685" s="1549"/>
      <c r="G685" s="1549"/>
      <c r="H685" s="1549"/>
      <c r="I685" s="1549"/>
      <c r="J685" s="1549"/>
      <c r="K685" s="1549"/>
      <c r="L685" s="1549"/>
      <c r="M685" s="1549"/>
      <c r="N685" s="1549"/>
      <c r="O685" s="1549"/>
      <c r="P685" s="1549"/>
      <c r="Q685" s="1549"/>
      <c r="R685" s="1549"/>
      <c r="S685" s="1549"/>
      <c r="T685" s="1549"/>
      <c r="U685" s="1549"/>
      <c r="V685" s="1549"/>
      <c r="W685" s="1549"/>
      <c r="X685" s="1549"/>
      <c r="Y685" s="1549"/>
      <c r="Z685" s="1549"/>
    </row>
    <row r="686" spans="1:26" ht="12.75" customHeight="1" x14ac:dyDescent="0.2">
      <c r="A686" s="1549"/>
      <c r="B686" s="1549"/>
      <c r="C686" s="1549"/>
      <c r="D686" s="1558"/>
      <c r="E686" s="1549"/>
      <c r="F686" s="1549"/>
      <c r="G686" s="1549"/>
      <c r="H686" s="1549"/>
      <c r="I686" s="1549"/>
      <c r="J686" s="1549"/>
      <c r="K686" s="1549"/>
      <c r="L686" s="1549"/>
      <c r="M686" s="1549"/>
      <c r="N686" s="1549"/>
      <c r="O686" s="1549"/>
      <c r="P686" s="1549"/>
      <c r="Q686" s="1549"/>
      <c r="R686" s="1549"/>
      <c r="S686" s="1549"/>
      <c r="T686" s="1549"/>
      <c r="U686" s="1549"/>
      <c r="V686" s="1549"/>
      <c r="W686" s="1549"/>
      <c r="X686" s="1549"/>
      <c r="Y686" s="1549"/>
      <c r="Z686" s="1549"/>
    </row>
    <row r="687" spans="1:26" ht="12.75" customHeight="1" x14ac:dyDescent="0.2">
      <c r="A687" s="1549"/>
      <c r="B687" s="1549"/>
      <c r="C687" s="1549"/>
      <c r="D687" s="1558"/>
      <c r="E687" s="1549"/>
      <c r="F687" s="1549"/>
      <c r="G687" s="1549"/>
      <c r="H687" s="1549"/>
      <c r="I687" s="1549"/>
      <c r="J687" s="1549"/>
      <c r="K687" s="1549"/>
      <c r="L687" s="1549"/>
      <c r="M687" s="1549"/>
      <c r="N687" s="1549"/>
      <c r="O687" s="1549"/>
      <c r="P687" s="1549"/>
      <c r="Q687" s="1549"/>
      <c r="R687" s="1549"/>
      <c r="S687" s="1549"/>
      <c r="T687" s="1549"/>
      <c r="U687" s="1549"/>
      <c r="V687" s="1549"/>
      <c r="W687" s="1549"/>
      <c r="X687" s="1549"/>
      <c r="Y687" s="1549"/>
      <c r="Z687" s="1549"/>
    </row>
    <row r="688" spans="1:26" ht="12.75" customHeight="1" x14ac:dyDescent="0.2">
      <c r="A688" s="1549"/>
      <c r="B688" s="1549"/>
      <c r="C688" s="1549"/>
      <c r="D688" s="1558"/>
      <c r="E688" s="1549"/>
      <c r="F688" s="1549"/>
      <c r="G688" s="1549"/>
      <c r="H688" s="1549"/>
      <c r="I688" s="1549"/>
      <c r="J688" s="1549"/>
      <c r="K688" s="1549"/>
      <c r="L688" s="1549"/>
      <c r="M688" s="1549"/>
      <c r="N688" s="1549"/>
      <c r="O688" s="1549"/>
      <c r="P688" s="1549"/>
      <c r="Q688" s="1549"/>
      <c r="R688" s="1549"/>
      <c r="S688" s="1549"/>
      <c r="T688" s="1549"/>
      <c r="U688" s="1549"/>
      <c r="V688" s="1549"/>
      <c r="W688" s="1549"/>
      <c r="X688" s="1549"/>
      <c r="Y688" s="1549"/>
      <c r="Z688" s="1549"/>
    </row>
    <row r="689" spans="1:26" ht="12.75" customHeight="1" x14ac:dyDescent="0.2">
      <c r="A689" s="1549"/>
      <c r="B689" s="1549"/>
      <c r="C689" s="1549"/>
      <c r="D689" s="1558"/>
      <c r="E689" s="1549"/>
      <c r="F689" s="1549"/>
      <c r="G689" s="1549"/>
      <c r="H689" s="1549"/>
      <c r="I689" s="1549"/>
      <c r="J689" s="1549"/>
      <c r="K689" s="1549"/>
      <c r="L689" s="1549"/>
      <c r="M689" s="1549"/>
      <c r="N689" s="1549"/>
      <c r="O689" s="1549"/>
      <c r="P689" s="1549"/>
      <c r="Q689" s="1549"/>
      <c r="R689" s="1549"/>
      <c r="S689" s="1549"/>
      <c r="T689" s="1549"/>
      <c r="U689" s="1549"/>
      <c r="V689" s="1549"/>
      <c r="W689" s="1549"/>
      <c r="X689" s="1549"/>
      <c r="Y689" s="1549"/>
      <c r="Z689" s="1549"/>
    </row>
    <row r="690" spans="1:26" ht="12.75" customHeight="1" x14ac:dyDescent="0.2">
      <c r="A690" s="1549"/>
      <c r="B690" s="1549"/>
      <c r="C690" s="1549"/>
      <c r="D690" s="1558"/>
      <c r="E690" s="1549"/>
      <c r="F690" s="1549"/>
      <c r="G690" s="1549"/>
      <c r="H690" s="1549"/>
      <c r="I690" s="1549"/>
      <c r="J690" s="1549"/>
      <c r="K690" s="1549"/>
      <c r="L690" s="1549"/>
      <c r="M690" s="1549"/>
      <c r="N690" s="1549"/>
      <c r="O690" s="1549"/>
      <c r="P690" s="1549"/>
      <c r="Q690" s="1549"/>
      <c r="R690" s="1549"/>
      <c r="S690" s="1549"/>
      <c r="T690" s="1549"/>
      <c r="U690" s="1549"/>
      <c r="V690" s="1549"/>
      <c r="W690" s="1549"/>
      <c r="X690" s="1549"/>
      <c r="Y690" s="1549"/>
      <c r="Z690" s="1549"/>
    </row>
    <row r="691" spans="1:26" ht="12.75" customHeight="1" x14ac:dyDescent="0.2">
      <c r="A691" s="1549"/>
      <c r="B691" s="1549"/>
      <c r="C691" s="1549"/>
      <c r="D691" s="1558"/>
      <c r="E691" s="1549"/>
      <c r="F691" s="1549"/>
      <c r="G691" s="1549"/>
      <c r="H691" s="1549"/>
      <c r="I691" s="1549"/>
      <c r="J691" s="1549"/>
      <c r="K691" s="1549"/>
      <c r="L691" s="1549"/>
      <c r="M691" s="1549"/>
      <c r="N691" s="1549"/>
      <c r="O691" s="1549"/>
      <c r="P691" s="1549"/>
      <c r="Q691" s="1549"/>
      <c r="R691" s="1549"/>
      <c r="S691" s="1549"/>
      <c r="T691" s="1549"/>
      <c r="U691" s="1549"/>
      <c r="V691" s="1549"/>
      <c r="W691" s="1549"/>
      <c r="X691" s="1549"/>
      <c r="Y691" s="1549"/>
      <c r="Z691" s="1549"/>
    </row>
    <row r="692" spans="1:26" ht="12.75" customHeight="1" x14ac:dyDescent="0.2">
      <c r="A692" s="1549"/>
      <c r="B692" s="1549"/>
      <c r="C692" s="1549"/>
      <c r="D692" s="1558"/>
      <c r="E692" s="1549"/>
      <c r="F692" s="1549"/>
      <c r="G692" s="1549"/>
      <c r="H692" s="1549"/>
      <c r="I692" s="1549"/>
      <c r="J692" s="1549"/>
      <c r="K692" s="1549"/>
      <c r="L692" s="1549"/>
      <c r="M692" s="1549"/>
      <c r="N692" s="1549"/>
      <c r="O692" s="1549"/>
      <c r="P692" s="1549"/>
      <c r="Q692" s="1549"/>
      <c r="R692" s="1549"/>
      <c r="S692" s="1549"/>
      <c r="T692" s="1549"/>
      <c r="U692" s="1549"/>
      <c r="V692" s="1549"/>
      <c r="W692" s="1549"/>
      <c r="X692" s="1549"/>
      <c r="Y692" s="1549"/>
      <c r="Z692" s="1549"/>
    </row>
    <row r="693" spans="1:26" ht="12.75" customHeight="1" x14ac:dyDescent="0.2">
      <c r="A693" s="1549"/>
      <c r="B693" s="1549"/>
      <c r="C693" s="1549"/>
      <c r="D693" s="1558"/>
      <c r="E693" s="1549"/>
      <c r="F693" s="1549"/>
      <c r="G693" s="1549"/>
      <c r="H693" s="1549"/>
      <c r="I693" s="1549"/>
      <c r="J693" s="1549"/>
      <c r="K693" s="1549"/>
      <c r="L693" s="1549"/>
      <c r="M693" s="1549"/>
      <c r="N693" s="1549"/>
      <c r="O693" s="1549"/>
      <c r="P693" s="1549"/>
      <c r="Q693" s="1549"/>
      <c r="R693" s="1549"/>
      <c r="S693" s="1549"/>
      <c r="T693" s="1549"/>
      <c r="U693" s="1549"/>
      <c r="V693" s="1549"/>
      <c r="W693" s="1549"/>
      <c r="X693" s="1549"/>
      <c r="Y693" s="1549"/>
      <c r="Z693" s="1549"/>
    </row>
    <row r="694" spans="1:26" ht="12.75" customHeight="1" x14ac:dyDescent="0.2">
      <c r="A694" s="1549"/>
      <c r="B694" s="1549"/>
      <c r="C694" s="1549"/>
      <c r="D694" s="1558"/>
      <c r="E694" s="1549"/>
      <c r="F694" s="1549"/>
      <c r="G694" s="1549"/>
      <c r="H694" s="1549"/>
      <c r="I694" s="1549"/>
      <c r="J694" s="1549"/>
      <c r="K694" s="1549"/>
      <c r="L694" s="1549"/>
      <c r="M694" s="1549"/>
      <c r="N694" s="1549"/>
      <c r="O694" s="1549"/>
      <c r="P694" s="1549"/>
      <c r="Q694" s="1549"/>
      <c r="R694" s="1549"/>
      <c r="S694" s="1549"/>
      <c r="T694" s="1549"/>
      <c r="U694" s="1549"/>
      <c r="V694" s="1549"/>
      <c r="W694" s="1549"/>
      <c r="X694" s="1549"/>
      <c r="Y694" s="1549"/>
      <c r="Z694" s="1549"/>
    </row>
    <row r="695" spans="1:26" ht="12.75" customHeight="1" x14ac:dyDescent="0.2">
      <c r="A695" s="1549"/>
      <c r="B695" s="1549"/>
      <c r="C695" s="1549"/>
      <c r="D695" s="1558"/>
      <c r="E695" s="1549"/>
      <c r="F695" s="1549"/>
      <c r="G695" s="1549"/>
      <c r="H695" s="1549"/>
      <c r="I695" s="1549"/>
      <c r="J695" s="1549"/>
      <c r="K695" s="1549"/>
      <c r="L695" s="1549"/>
      <c r="M695" s="1549"/>
      <c r="N695" s="1549"/>
      <c r="O695" s="1549"/>
      <c r="P695" s="1549"/>
      <c r="Q695" s="1549"/>
      <c r="R695" s="1549"/>
      <c r="S695" s="1549"/>
      <c r="T695" s="1549"/>
      <c r="U695" s="1549"/>
      <c r="V695" s="1549"/>
      <c r="W695" s="1549"/>
      <c r="X695" s="1549"/>
      <c r="Y695" s="1549"/>
      <c r="Z695" s="1549"/>
    </row>
    <row r="696" spans="1:26" ht="12.75" customHeight="1" x14ac:dyDescent="0.2">
      <c r="A696" s="1549"/>
      <c r="B696" s="1549"/>
      <c r="C696" s="1549"/>
      <c r="D696" s="1558"/>
      <c r="E696" s="1549"/>
      <c r="F696" s="1549"/>
      <c r="G696" s="1549"/>
      <c r="H696" s="1549"/>
      <c r="I696" s="1549"/>
      <c r="J696" s="1549"/>
      <c r="K696" s="1549"/>
      <c r="L696" s="1549"/>
      <c r="M696" s="1549"/>
      <c r="N696" s="1549"/>
      <c r="O696" s="1549"/>
      <c r="P696" s="1549"/>
      <c r="Q696" s="1549"/>
      <c r="R696" s="1549"/>
      <c r="S696" s="1549"/>
      <c r="T696" s="1549"/>
      <c r="U696" s="1549"/>
      <c r="V696" s="1549"/>
      <c r="W696" s="1549"/>
      <c r="X696" s="1549"/>
      <c r="Y696" s="1549"/>
      <c r="Z696" s="1549"/>
    </row>
    <row r="697" spans="1:26" ht="12.75" customHeight="1" x14ac:dyDescent="0.2">
      <c r="A697" s="1549"/>
      <c r="B697" s="1549"/>
      <c r="C697" s="1549"/>
      <c r="D697" s="1558"/>
      <c r="E697" s="1549"/>
      <c r="F697" s="1549"/>
      <c r="G697" s="1549"/>
      <c r="H697" s="1549"/>
      <c r="I697" s="1549"/>
      <c r="J697" s="1549"/>
      <c r="K697" s="1549"/>
      <c r="L697" s="1549"/>
      <c r="M697" s="1549"/>
      <c r="N697" s="1549"/>
      <c r="O697" s="1549"/>
      <c r="P697" s="1549"/>
      <c r="Q697" s="1549"/>
      <c r="R697" s="1549"/>
      <c r="S697" s="1549"/>
      <c r="T697" s="1549"/>
      <c r="U697" s="1549"/>
      <c r="V697" s="1549"/>
      <c r="W697" s="1549"/>
      <c r="X697" s="1549"/>
      <c r="Y697" s="1549"/>
      <c r="Z697" s="1549"/>
    </row>
    <row r="698" spans="1:26" ht="12.75" customHeight="1" x14ac:dyDescent="0.2">
      <c r="A698" s="1549"/>
      <c r="B698" s="1549"/>
      <c r="C698" s="1549"/>
      <c r="D698" s="1558"/>
      <c r="E698" s="1549"/>
      <c r="F698" s="1549"/>
      <c r="G698" s="1549"/>
      <c r="H698" s="1549"/>
      <c r="I698" s="1549"/>
      <c r="J698" s="1549"/>
      <c r="K698" s="1549"/>
      <c r="L698" s="1549"/>
      <c r="M698" s="1549"/>
      <c r="N698" s="1549"/>
      <c r="O698" s="1549"/>
      <c r="P698" s="1549"/>
      <c r="Q698" s="1549"/>
      <c r="R698" s="1549"/>
      <c r="S698" s="1549"/>
      <c r="T698" s="1549"/>
      <c r="U698" s="1549"/>
      <c r="V698" s="1549"/>
      <c r="W698" s="1549"/>
      <c r="X698" s="1549"/>
      <c r="Y698" s="1549"/>
      <c r="Z698" s="1549"/>
    </row>
    <row r="699" spans="1:26" ht="12.75" customHeight="1" x14ac:dyDescent="0.2">
      <c r="A699" s="1549"/>
      <c r="B699" s="1549"/>
      <c r="C699" s="1549"/>
      <c r="D699" s="1558"/>
      <c r="E699" s="1549"/>
      <c r="F699" s="1549"/>
      <c r="G699" s="1549"/>
      <c r="H699" s="1549"/>
      <c r="I699" s="1549"/>
      <c r="J699" s="1549"/>
      <c r="K699" s="1549"/>
      <c r="L699" s="1549"/>
      <c r="M699" s="1549"/>
      <c r="N699" s="1549"/>
      <c r="O699" s="1549"/>
      <c r="P699" s="1549"/>
      <c r="Q699" s="1549"/>
      <c r="R699" s="1549"/>
      <c r="S699" s="1549"/>
      <c r="T699" s="1549"/>
      <c r="U699" s="1549"/>
      <c r="V699" s="1549"/>
      <c r="W699" s="1549"/>
      <c r="X699" s="1549"/>
      <c r="Y699" s="1549"/>
      <c r="Z699" s="1549"/>
    </row>
    <row r="700" spans="1:26" ht="12.75" customHeight="1" x14ac:dyDescent="0.2">
      <c r="A700" s="1549"/>
      <c r="B700" s="1549"/>
      <c r="C700" s="1549"/>
      <c r="D700" s="1558"/>
      <c r="E700" s="1549"/>
      <c r="F700" s="1549"/>
      <c r="G700" s="1549"/>
      <c r="H700" s="1549"/>
      <c r="I700" s="1549"/>
      <c r="J700" s="1549"/>
      <c r="K700" s="1549"/>
      <c r="L700" s="1549"/>
      <c r="M700" s="1549"/>
      <c r="N700" s="1549"/>
      <c r="O700" s="1549"/>
      <c r="P700" s="1549"/>
      <c r="Q700" s="1549"/>
      <c r="R700" s="1549"/>
      <c r="S700" s="1549"/>
      <c r="T700" s="1549"/>
      <c r="U700" s="1549"/>
      <c r="V700" s="1549"/>
      <c r="W700" s="1549"/>
      <c r="X700" s="1549"/>
      <c r="Y700" s="1549"/>
      <c r="Z700" s="1549"/>
    </row>
    <row r="701" spans="1:26" ht="12.75" customHeight="1" x14ac:dyDescent="0.2">
      <c r="A701" s="1549"/>
      <c r="B701" s="1549"/>
      <c r="C701" s="1549"/>
      <c r="D701" s="1558"/>
      <c r="E701" s="1549"/>
      <c r="F701" s="1549"/>
      <c r="G701" s="1549"/>
      <c r="H701" s="1549"/>
      <c r="I701" s="1549"/>
      <c r="J701" s="1549"/>
      <c r="K701" s="1549"/>
      <c r="L701" s="1549"/>
      <c r="M701" s="1549"/>
      <c r="N701" s="1549"/>
      <c r="O701" s="1549"/>
      <c r="P701" s="1549"/>
      <c r="Q701" s="1549"/>
      <c r="R701" s="1549"/>
      <c r="S701" s="1549"/>
      <c r="T701" s="1549"/>
      <c r="U701" s="1549"/>
      <c r="V701" s="1549"/>
      <c r="W701" s="1549"/>
      <c r="X701" s="1549"/>
      <c r="Y701" s="1549"/>
      <c r="Z701" s="1549"/>
    </row>
    <row r="702" spans="1:26" ht="12.75" customHeight="1" x14ac:dyDescent="0.2">
      <c r="A702" s="1549"/>
      <c r="B702" s="1549"/>
      <c r="C702" s="1549"/>
      <c r="D702" s="1558"/>
      <c r="E702" s="1549"/>
      <c r="F702" s="1549"/>
      <c r="G702" s="1549"/>
      <c r="H702" s="1549"/>
      <c r="I702" s="1549"/>
      <c r="J702" s="1549"/>
      <c r="K702" s="1549"/>
      <c r="L702" s="1549"/>
      <c r="M702" s="1549"/>
      <c r="N702" s="1549"/>
      <c r="O702" s="1549"/>
      <c r="P702" s="1549"/>
      <c r="Q702" s="1549"/>
      <c r="R702" s="1549"/>
      <c r="S702" s="1549"/>
      <c r="T702" s="1549"/>
      <c r="U702" s="1549"/>
      <c r="V702" s="1549"/>
      <c r="W702" s="1549"/>
      <c r="X702" s="1549"/>
      <c r="Y702" s="1549"/>
      <c r="Z702" s="1549"/>
    </row>
    <row r="703" spans="1:26" ht="12.75" customHeight="1" x14ac:dyDescent="0.2">
      <c r="A703" s="1549"/>
      <c r="B703" s="1549"/>
      <c r="C703" s="1549"/>
      <c r="D703" s="1558"/>
      <c r="E703" s="1549"/>
      <c r="F703" s="1549"/>
      <c r="G703" s="1549"/>
      <c r="H703" s="1549"/>
      <c r="I703" s="1549"/>
      <c r="J703" s="1549"/>
      <c r="K703" s="1549"/>
      <c r="L703" s="1549"/>
      <c r="M703" s="1549"/>
      <c r="N703" s="1549"/>
      <c r="O703" s="1549"/>
      <c r="P703" s="1549"/>
      <c r="Q703" s="1549"/>
      <c r="R703" s="1549"/>
      <c r="S703" s="1549"/>
      <c r="T703" s="1549"/>
      <c r="U703" s="1549"/>
      <c r="V703" s="1549"/>
      <c r="W703" s="1549"/>
      <c r="X703" s="1549"/>
      <c r="Y703" s="1549"/>
      <c r="Z703" s="1549"/>
    </row>
    <row r="704" spans="1:26" ht="12.75" customHeight="1" x14ac:dyDescent="0.2">
      <c r="A704" s="1549"/>
      <c r="B704" s="1549"/>
      <c r="C704" s="1549"/>
      <c r="D704" s="1558"/>
      <c r="E704" s="1549"/>
      <c r="F704" s="1549"/>
      <c r="G704" s="1549"/>
      <c r="H704" s="1549"/>
      <c r="I704" s="1549"/>
      <c r="J704" s="1549"/>
      <c r="K704" s="1549"/>
      <c r="L704" s="1549"/>
      <c r="M704" s="1549"/>
      <c r="N704" s="1549"/>
      <c r="O704" s="1549"/>
      <c r="P704" s="1549"/>
      <c r="Q704" s="1549"/>
      <c r="R704" s="1549"/>
      <c r="S704" s="1549"/>
      <c r="T704" s="1549"/>
      <c r="U704" s="1549"/>
      <c r="V704" s="1549"/>
      <c r="W704" s="1549"/>
      <c r="X704" s="1549"/>
      <c r="Y704" s="1549"/>
      <c r="Z704" s="1549"/>
    </row>
    <row r="705" spans="1:26" ht="12.75" customHeight="1" x14ac:dyDescent="0.2">
      <c r="A705" s="1549"/>
      <c r="B705" s="1549"/>
      <c r="C705" s="1549"/>
      <c r="D705" s="1558"/>
      <c r="E705" s="1549"/>
      <c r="F705" s="1549"/>
      <c r="G705" s="1549"/>
      <c r="H705" s="1549"/>
      <c r="I705" s="1549"/>
      <c r="J705" s="1549"/>
      <c r="K705" s="1549"/>
      <c r="L705" s="1549"/>
      <c r="M705" s="1549"/>
      <c r="N705" s="1549"/>
      <c r="O705" s="1549"/>
      <c r="P705" s="1549"/>
      <c r="Q705" s="1549"/>
      <c r="R705" s="1549"/>
      <c r="S705" s="1549"/>
      <c r="T705" s="1549"/>
      <c r="U705" s="1549"/>
      <c r="V705" s="1549"/>
      <c r="W705" s="1549"/>
      <c r="X705" s="1549"/>
      <c r="Y705" s="1549"/>
      <c r="Z705" s="1549"/>
    </row>
    <row r="706" spans="1:26" ht="12.75" customHeight="1" x14ac:dyDescent="0.2">
      <c r="A706" s="1549"/>
      <c r="B706" s="1549"/>
      <c r="C706" s="1549"/>
      <c r="D706" s="1558"/>
      <c r="E706" s="1549"/>
      <c r="F706" s="1549"/>
      <c r="G706" s="1549"/>
      <c r="H706" s="1549"/>
      <c r="I706" s="1549"/>
      <c r="J706" s="1549"/>
      <c r="K706" s="1549"/>
      <c r="L706" s="1549"/>
      <c r="M706" s="1549"/>
      <c r="N706" s="1549"/>
      <c r="O706" s="1549"/>
      <c r="P706" s="1549"/>
      <c r="Q706" s="1549"/>
      <c r="R706" s="1549"/>
      <c r="S706" s="1549"/>
      <c r="T706" s="1549"/>
      <c r="U706" s="1549"/>
      <c r="V706" s="1549"/>
      <c r="W706" s="1549"/>
      <c r="X706" s="1549"/>
      <c r="Y706" s="1549"/>
      <c r="Z706" s="1549"/>
    </row>
    <row r="707" spans="1:26" ht="12.75" customHeight="1" x14ac:dyDescent="0.2">
      <c r="A707" s="1549"/>
      <c r="B707" s="1549"/>
      <c r="C707" s="1549"/>
      <c r="D707" s="1558"/>
      <c r="E707" s="1549"/>
      <c r="F707" s="1549"/>
      <c r="G707" s="1549"/>
      <c r="H707" s="1549"/>
      <c r="I707" s="1549"/>
      <c r="J707" s="1549"/>
      <c r="K707" s="1549"/>
      <c r="L707" s="1549"/>
      <c r="M707" s="1549"/>
      <c r="N707" s="1549"/>
      <c r="O707" s="1549"/>
      <c r="P707" s="1549"/>
      <c r="Q707" s="1549"/>
      <c r="R707" s="1549"/>
      <c r="S707" s="1549"/>
      <c r="T707" s="1549"/>
      <c r="U707" s="1549"/>
      <c r="V707" s="1549"/>
      <c r="W707" s="1549"/>
      <c r="X707" s="1549"/>
      <c r="Y707" s="1549"/>
      <c r="Z707" s="1549"/>
    </row>
    <row r="708" spans="1:26" ht="12.75" customHeight="1" x14ac:dyDescent="0.2">
      <c r="A708" s="1549"/>
      <c r="B708" s="1549"/>
      <c r="C708" s="1549"/>
      <c r="D708" s="1558"/>
      <c r="E708" s="1549"/>
      <c r="F708" s="1549"/>
      <c r="G708" s="1549"/>
      <c r="H708" s="1549"/>
      <c r="I708" s="1549"/>
      <c r="J708" s="1549"/>
      <c r="K708" s="1549"/>
      <c r="L708" s="1549"/>
      <c r="M708" s="1549"/>
      <c r="N708" s="1549"/>
      <c r="O708" s="1549"/>
      <c r="P708" s="1549"/>
      <c r="Q708" s="1549"/>
      <c r="R708" s="1549"/>
      <c r="S708" s="1549"/>
      <c r="T708" s="1549"/>
      <c r="U708" s="1549"/>
      <c r="V708" s="1549"/>
      <c r="W708" s="1549"/>
      <c r="X708" s="1549"/>
      <c r="Y708" s="1549"/>
      <c r="Z708" s="1549"/>
    </row>
    <row r="709" spans="1:26" ht="12.75" customHeight="1" x14ac:dyDescent="0.2">
      <c r="A709" s="1549"/>
      <c r="B709" s="1549"/>
      <c r="C709" s="1549"/>
      <c r="D709" s="1558"/>
      <c r="E709" s="1549"/>
      <c r="F709" s="1549"/>
      <c r="G709" s="1549"/>
      <c r="H709" s="1549"/>
      <c r="I709" s="1549"/>
      <c r="J709" s="1549"/>
      <c r="K709" s="1549"/>
      <c r="L709" s="1549"/>
      <c r="M709" s="1549"/>
      <c r="N709" s="1549"/>
      <c r="O709" s="1549"/>
      <c r="P709" s="1549"/>
      <c r="Q709" s="1549"/>
      <c r="R709" s="1549"/>
      <c r="S709" s="1549"/>
      <c r="T709" s="1549"/>
      <c r="U709" s="1549"/>
      <c r="V709" s="1549"/>
      <c r="W709" s="1549"/>
      <c r="X709" s="1549"/>
      <c r="Y709" s="1549"/>
      <c r="Z709" s="1549"/>
    </row>
    <row r="710" spans="1:26" ht="12.75" customHeight="1" x14ac:dyDescent="0.2">
      <c r="A710" s="1549"/>
      <c r="B710" s="1549"/>
      <c r="C710" s="1549"/>
      <c r="D710" s="1558"/>
      <c r="E710" s="1549"/>
      <c r="F710" s="1549"/>
      <c r="G710" s="1549"/>
      <c r="H710" s="1549"/>
      <c r="I710" s="1549"/>
      <c r="J710" s="1549"/>
      <c r="K710" s="1549"/>
      <c r="L710" s="1549"/>
      <c r="M710" s="1549"/>
      <c r="N710" s="1549"/>
      <c r="O710" s="1549"/>
      <c r="P710" s="1549"/>
      <c r="Q710" s="1549"/>
      <c r="R710" s="1549"/>
      <c r="S710" s="1549"/>
      <c r="T710" s="1549"/>
      <c r="U710" s="1549"/>
      <c r="V710" s="1549"/>
      <c r="W710" s="1549"/>
      <c r="X710" s="1549"/>
      <c r="Y710" s="1549"/>
      <c r="Z710" s="1549"/>
    </row>
    <row r="711" spans="1:26" ht="12.75" customHeight="1" x14ac:dyDescent="0.2">
      <c r="A711" s="1549"/>
      <c r="B711" s="1549"/>
      <c r="C711" s="1549"/>
      <c r="D711" s="1558"/>
      <c r="E711" s="1549"/>
      <c r="F711" s="1549"/>
      <c r="G711" s="1549"/>
      <c r="H711" s="1549"/>
      <c r="I711" s="1549"/>
      <c r="J711" s="1549"/>
      <c r="K711" s="1549"/>
      <c r="L711" s="1549"/>
      <c r="M711" s="1549"/>
      <c r="N711" s="1549"/>
      <c r="O711" s="1549"/>
      <c r="P711" s="1549"/>
      <c r="Q711" s="1549"/>
      <c r="R711" s="1549"/>
      <c r="S711" s="1549"/>
      <c r="T711" s="1549"/>
      <c r="U711" s="1549"/>
      <c r="V711" s="1549"/>
      <c r="W711" s="1549"/>
      <c r="X711" s="1549"/>
      <c r="Y711" s="1549"/>
      <c r="Z711" s="1549"/>
    </row>
    <row r="712" spans="1:26" ht="12.75" customHeight="1" x14ac:dyDescent="0.2">
      <c r="A712" s="1549"/>
      <c r="B712" s="1549"/>
      <c r="C712" s="1549"/>
      <c r="D712" s="1558"/>
      <c r="E712" s="1549"/>
      <c r="F712" s="1549"/>
      <c r="G712" s="1549"/>
      <c r="H712" s="1549"/>
      <c r="I712" s="1549"/>
      <c r="J712" s="1549"/>
      <c r="K712" s="1549"/>
      <c r="L712" s="1549"/>
      <c r="M712" s="1549"/>
      <c r="N712" s="1549"/>
      <c r="O712" s="1549"/>
      <c r="P712" s="1549"/>
      <c r="Q712" s="1549"/>
      <c r="R712" s="1549"/>
      <c r="S712" s="1549"/>
      <c r="T712" s="1549"/>
      <c r="U712" s="1549"/>
      <c r="V712" s="1549"/>
      <c r="W712" s="1549"/>
      <c r="X712" s="1549"/>
      <c r="Y712" s="1549"/>
      <c r="Z712" s="1549"/>
    </row>
    <row r="713" spans="1:26" ht="12.75" customHeight="1" x14ac:dyDescent="0.2">
      <c r="A713" s="1549"/>
      <c r="B713" s="1549"/>
      <c r="C713" s="1549"/>
      <c r="D713" s="1558"/>
      <c r="E713" s="1549"/>
      <c r="F713" s="1549"/>
      <c r="G713" s="1549"/>
      <c r="H713" s="1549"/>
      <c r="I713" s="1549"/>
      <c r="J713" s="1549"/>
      <c r="K713" s="1549"/>
      <c r="L713" s="1549"/>
      <c r="M713" s="1549"/>
      <c r="N713" s="1549"/>
      <c r="O713" s="1549"/>
      <c r="P713" s="1549"/>
      <c r="Q713" s="1549"/>
      <c r="R713" s="1549"/>
      <c r="S713" s="1549"/>
      <c r="T713" s="1549"/>
      <c r="U713" s="1549"/>
      <c r="V713" s="1549"/>
      <c r="W713" s="1549"/>
      <c r="X713" s="1549"/>
      <c r="Y713" s="1549"/>
      <c r="Z713" s="1549"/>
    </row>
    <row r="714" spans="1:26" ht="12.75" customHeight="1" x14ac:dyDescent="0.2">
      <c r="A714" s="1549"/>
      <c r="B714" s="1549"/>
      <c r="C714" s="1549"/>
      <c r="D714" s="1558"/>
      <c r="E714" s="1549"/>
      <c r="F714" s="1549"/>
      <c r="G714" s="1549"/>
      <c r="H714" s="1549"/>
      <c r="I714" s="1549"/>
      <c r="J714" s="1549"/>
      <c r="K714" s="1549"/>
      <c r="L714" s="1549"/>
      <c r="M714" s="1549"/>
      <c r="N714" s="1549"/>
      <c r="O714" s="1549"/>
      <c r="P714" s="1549"/>
      <c r="Q714" s="1549"/>
      <c r="R714" s="1549"/>
      <c r="S714" s="1549"/>
      <c r="T714" s="1549"/>
      <c r="U714" s="1549"/>
      <c r="V714" s="1549"/>
      <c r="W714" s="1549"/>
      <c r="X714" s="1549"/>
      <c r="Y714" s="1549"/>
      <c r="Z714" s="1549"/>
    </row>
    <row r="715" spans="1:26" ht="12.75" customHeight="1" x14ac:dyDescent="0.2">
      <c r="A715" s="1549"/>
      <c r="B715" s="1549"/>
      <c r="C715" s="1549"/>
      <c r="D715" s="1558"/>
      <c r="E715" s="1549"/>
      <c r="F715" s="1549"/>
      <c r="G715" s="1549"/>
      <c r="H715" s="1549"/>
      <c r="I715" s="1549"/>
      <c r="J715" s="1549"/>
      <c r="K715" s="1549"/>
      <c r="L715" s="1549"/>
      <c r="M715" s="1549"/>
      <c r="N715" s="1549"/>
      <c r="O715" s="1549"/>
      <c r="P715" s="1549"/>
      <c r="Q715" s="1549"/>
      <c r="R715" s="1549"/>
      <c r="S715" s="1549"/>
      <c r="T715" s="1549"/>
      <c r="U715" s="1549"/>
      <c r="V715" s="1549"/>
      <c r="W715" s="1549"/>
      <c r="X715" s="1549"/>
      <c r="Y715" s="1549"/>
      <c r="Z715" s="1549"/>
    </row>
    <row r="716" spans="1:26" ht="12.75" customHeight="1" x14ac:dyDescent="0.2">
      <c r="A716" s="1549"/>
      <c r="B716" s="1549"/>
      <c r="C716" s="1549"/>
      <c r="D716" s="1558"/>
      <c r="E716" s="1549"/>
      <c r="F716" s="1549"/>
      <c r="G716" s="1549"/>
      <c r="H716" s="1549"/>
      <c r="I716" s="1549"/>
      <c r="J716" s="1549"/>
      <c r="K716" s="1549"/>
      <c r="L716" s="1549"/>
      <c r="M716" s="1549"/>
      <c r="N716" s="1549"/>
      <c r="O716" s="1549"/>
      <c r="P716" s="1549"/>
      <c r="Q716" s="1549"/>
      <c r="R716" s="1549"/>
      <c r="S716" s="1549"/>
      <c r="T716" s="1549"/>
      <c r="U716" s="1549"/>
      <c r="V716" s="1549"/>
      <c r="W716" s="1549"/>
      <c r="X716" s="1549"/>
      <c r="Y716" s="1549"/>
      <c r="Z716" s="1549"/>
    </row>
    <row r="717" spans="1:26" ht="12.75" customHeight="1" x14ac:dyDescent="0.2">
      <c r="A717" s="1549"/>
      <c r="B717" s="1549"/>
      <c r="C717" s="1549"/>
      <c r="D717" s="1558"/>
      <c r="E717" s="1549"/>
      <c r="F717" s="1549"/>
      <c r="G717" s="1549"/>
      <c r="H717" s="1549"/>
      <c r="I717" s="1549"/>
      <c r="J717" s="1549"/>
      <c r="K717" s="1549"/>
      <c r="L717" s="1549"/>
      <c r="M717" s="1549"/>
      <c r="N717" s="1549"/>
      <c r="O717" s="1549"/>
      <c r="P717" s="1549"/>
      <c r="Q717" s="1549"/>
      <c r="R717" s="1549"/>
      <c r="S717" s="1549"/>
      <c r="T717" s="1549"/>
      <c r="U717" s="1549"/>
      <c r="V717" s="1549"/>
      <c r="W717" s="1549"/>
      <c r="X717" s="1549"/>
      <c r="Y717" s="1549"/>
      <c r="Z717" s="1549"/>
    </row>
    <row r="718" spans="1:26" ht="12.75" customHeight="1" x14ac:dyDescent="0.2">
      <c r="A718" s="1549"/>
      <c r="B718" s="1549"/>
      <c r="C718" s="1549"/>
      <c r="D718" s="1558"/>
      <c r="E718" s="1549"/>
      <c r="F718" s="1549"/>
      <c r="G718" s="1549"/>
      <c r="H718" s="1549"/>
      <c r="I718" s="1549"/>
      <c r="J718" s="1549"/>
      <c r="K718" s="1549"/>
      <c r="L718" s="1549"/>
      <c r="M718" s="1549"/>
      <c r="N718" s="1549"/>
      <c r="O718" s="1549"/>
      <c r="P718" s="1549"/>
      <c r="Q718" s="1549"/>
      <c r="R718" s="1549"/>
      <c r="S718" s="1549"/>
      <c r="T718" s="1549"/>
      <c r="U718" s="1549"/>
      <c r="V718" s="1549"/>
      <c r="W718" s="1549"/>
      <c r="X718" s="1549"/>
      <c r="Y718" s="1549"/>
      <c r="Z718" s="1549"/>
    </row>
    <row r="719" spans="1:26" ht="12.75" customHeight="1" x14ac:dyDescent="0.2">
      <c r="A719" s="1549"/>
      <c r="B719" s="1549"/>
      <c r="C719" s="1549"/>
      <c r="D719" s="1558"/>
      <c r="E719" s="1549"/>
      <c r="F719" s="1549"/>
      <c r="G719" s="1549"/>
      <c r="H719" s="1549"/>
      <c r="I719" s="1549"/>
      <c r="J719" s="1549"/>
      <c r="K719" s="1549"/>
      <c r="L719" s="1549"/>
      <c r="M719" s="1549"/>
      <c r="N719" s="1549"/>
      <c r="O719" s="1549"/>
      <c r="P719" s="1549"/>
      <c r="Q719" s="1549"/>
      <c r="R719" s="1549"/>
      <c r="S719" s="1549"/>
      <c r="T719" s="1549"/>
      <c r="U719" s="1549"/>
      <c r="V719" s="1549"/>
      <c r="W719" s="1549"/>
      <c r="X719" s="1549"/>
      <c r="Y719" s="1549"/>
      <c r="Z719" s="1549"/>
    </row>
    <row r="720" spans="1:26" ht="12.75" customHeight="1" x14ac:dyDescent="0.2">
      <c r="A720" s="1549"/>
      <c r="B720" s="1549"/>
      <c r="C720" s="1549"/>
      <c r="D720" s="1558"/>
      <c r="E720" s="1549"/>
      <c r="F720" s="1549"/>
      <c r="G720" s="1549"/>
      <c r="H720" s="1549"/>
      <c r="I720" s="1549"/>
      <c r="J720" s="1549"/>
      <c r="K720" s="1549"/>
      <c r="L720" s="1549"/>
      <c r="M720" s="1549"/>
      <c r="N720" s="1549"/>
      <c r="O720" s="1549"/>
      <c r="P720" s="1549"/>
      <c r="Q720" s="1549"/>
      <c r="R720" s="1549"/>
      <c r="S720" s="1549"/>
      <c r="T720" s="1549"/>
      <c r="U720" s="1549"/>
      <c r="V720" s="1549"/>
      <c r="W720" s="1549"/>
      <c r="X720" s="1549"/>
      <c r="Y720" s="1549"/>
      <c r="Z720" s="1549"/>
    </row>
    <row r="721" spans="1:26" ht="12.75" customHeight="1" x14ac:dyDescent="0.2">
      <c r="A721" s="1549"/>
      <c r="B721" s="1549"/>
      <c r="C721" s="1549"/>
      <c r="D721" s="1558"/>
      <c r="E721" s="1549"/>
      <c r="F721" s="1549"/>
      <c r="G721" s="1549"/>
      <c r="H721" s="1549"/>
      <c r="I721" s="1549"/>
      <c r="J721" s="1549"/>
      <c r="K721" s="1549"/>
      <c r="L721" s="1549"/>
      <c r="M721" s="1549"/>
      <c r="N721" s="1549"/>
      <c r="O721" s="1549"/>
      <c r="P721" s="1549"/>
      <c r="Q721" s="1549"/>
      <c r="R721" s="1549"/>
      <c r="S721" s="1549"/>
      <c r="T721" s="1549"/>
      <c r="U721" s="1549"/>
      <c r="V721" s="1549"/>
      <c r="W721" s="1549"/>
      <c r="X721" s="1549"/>
      <c r="Y721" s="1549"/>
      <c r="Z721" s="1549"/>
    </row>
    <row r="722" spans="1:26" ht="12.75" customHeight="1" x14ac:dyDescent="0.2">
      <c r="A722" s="1549"/>
      <c r="B722" s="1549"/>
      <c r="C722" s="1549"/>
      <c r="D722" s="1558"/>
      <c r="E722" s="1549"/>
      <c r="F722" s="1549"/>
      <c r="G722" s="1549"/>
      <c r="H722" s="1549"/>
      <c r="I722" s="1549"/>
      <c r="J722" s="1549"/>
      <c r="K722" s="1549"/>
      <c r="L722" s="1549"/>
      <c r="M722" s="1549"/>
      <c r="N722" s="1549"/>
      <c r="O722" s="1549"/>
      <c r="P722" s="1549"/>
      <c r="Q722" s="1549"/>
      <c r="R722" s="1549"/>
      <c r="S722" s="1549"/>
      <c r="T722" s="1549"/>
      <c r="U722" s="1549"/>
      <c r="V722" s="1549"/>
      <c r="W722" s="1549"/>
      <c r="X722" s="1549"/>
      <c r="Y722" s="1549"/>
      <c r="Z722" s="1549"/>
    </row>
    <row r="723" spans="1:26" ht="12.75" customHeight="1" x14ac:dyDescent="0.2">
      <c r="A723" s="1549"/>
      <c r="B723" s="1549"/>
      <c r="C723" s="1549"/>
      <c r="D723" s="1558"/>
      <c r="E723" s="1549"/>
      <c r="F723" s="1549"/>
      <c r="G723" s="1549"/>
      <c r="H723" s="1549"/>
      <c r="I723" s="1549"/>
      <c r="J723" s="1549"/>
      <c r="K723" s="1549"/>
      <c r="L723" s="1549"/>
      <c r="M723" s="1549"/>
      <c r="N723" s="1549"/>
      <c r="O723" s="1549"/>
      <c r="P723" s="1549"/>
      <c r="Q723" s="1549"/>
      <c r="R723" s="1549"/>
      <c r="S723" s="1549"/>
      <c r="T723" s="1549"/>
      <c r="U723" s="1549"/>
      <c r="V723" s="1549"/>
      <c r="W723" s="1549"/>
      <c r="X723" s="1549"/>
      <c r="Y723" s="1549"/>
      <c r="Z723" s="1549"/>
    </row>
    <row r="724" spans="1:26" ht="12.75" customHeight="1" x14ac:dyDescent="0.2">
      <c r="A724" s="1549"/>
      <c r="B724" s="1549"/>
      <c r="C724" s="1549"/>
      <c r="D724" s="1558"/>
      <c r="E724" s="1549"/>
      <c r="F724" s="1549"/>
      <c r="G724" s="1549"/>
      <c r="H724" s="1549"/>
      <c r="I724" s="1549"/>
      <c r="J724" s="1549"/>
      <c r="K724" s="1549"/>
      <c r="L724" s="1549"/>
      <c r="M724" s="1549"/>
      <c r="N724" s="1549"/>
      <c r="O724" s="1549"/>
      <c r="P724" s="1549"/>
      <c r="Q724" s="1549"/>
      <c r="R724" s="1549"/>
      <c r="S724" s="1549"/>
      <c r="T724" s="1549"/>
      <c r="U724" s="1549"/>
      <c r="V724" s="1549"/>
      <c r="W724" s="1549"/>
      <c r="X724" s="1549"/>
      <c r="Y724" s="1549"/>
      <c r="Z724" s="1549"/>
    </row>
    <row r="725" spans="1:26" ht="12.75" customHeight="1" x14ac:dyDescent="0.2">
      <c r="A725" s="1549"/>
      <c r="B725" s="1549"/>
      <c r="C725" s="1549"/>
      <c r="D725" s="1558"/>
      <c r="E725" s="1549"/>
      <c r="F725" s="1549"/>
      <c r="G725" s="1549"/>
      <c r="H725" s="1549"/>
      <c r="I725" s="1549"/>
      <c r="J725" s="1549"/>
      <c r="K725" s="1549"/>
      <c r="L725" s="1549"/>
      <c r="M725" s="1549"/>
      <c r="N725" s="1549"/>
      <c r="O725" s="1549"/>
      <c r="P725" s="1549"/>
      <c r="Q725" s="1549"/>
      <c r="R725" s="1549"/>
      <c r="S725" s="1549"/>
      <c r="T725" s="1549"/>
      <c r="U725" s="1549"/>
      <c r="V725" s="1549"/>
      <c r="W725" s="1549"/>
      <c r="X725" s="1549"/>
      <c r="Y725" s="1549"/>
      <c r="Z725" s="1549"/>
    </row>
    <row r="726" spans="1:26" ht="12.75" customHeight="1" x14ac:dyDescent="0.2">
      <c r="A726" s="1549"/>
      <c r="B726" s="1549"/>
      <c r="C726" s="1549"/>
      <c r="D726" s="1558"/>
      <c r="E726" s="1549"/>
      <c r="F726" s="1549"/>
      <c r="G726" s="1549"/>
      <c r="H726" s="1549"/>
      <c r="I726" s="1549"/>
      <c r="J726" s="1549"/>
      <c r="K726" s="1549"/>
      <c r="L726" s="1549"/>
      <c r="M726" s="1549"/>
      <c r="N726" s="1549"/>
      <c r="O726" s="1549"/>
      <c r="P726" s="1549"/>
      <c r="Q726" s="1549"/>
      <c r="R726" s="1549"/>
      <c r="S726" s="1549"/>
      <c r="T726" s="1549"/>
      <c r="U726" s="1549"/>
      <c r="V726" s="1549"/>
      <c r="W726" s="1549"/>
      <c r="X726" s="1549"/>
      <c r="Y726" s="1549"/>
      <c r="Z726" s="1549"/>
    </row>
    <row r="727" spans="1:26" ht="12.75" customHeight="1" x14ac:dyDescent="0.2">
      <c r="A727" s="1549"/>
      <c r="B727" s="1549"/>
      <c r="C727" s="1549"/>
      <c r="D727" s="1558"/>
      <c r="E727" s="1549"/>
      <c r="F727" s="1549"/>
      <c r="G727" s="1549"/>
      <c r="H727" s="1549"/>
      <c r="I727" s="1549"/>
      <c r="J727" s="1549"/>
      <c r="K727" s="1549"/>
      <c r="L727" s="1549"/>
      <c r="M727" s="1549"/>
      <c r="N727" s="1549"/>
      <c r="O727" s="1549"/>
      <c r="P727" s="1549"/>
      <c r="Q727" s="1549"/>
      <c r="R727" s="1549"/>
      <c r="S727" s="1549"/>
      <c r="T727" s="1549"/>
      <c r="U727" s="1549"/>
      <c r="V727" s="1549"/>
      <c r="W727" s="1549"/>
      <c r="X727" s="1549"/>
      <c r="Y727" s="1549"/>
      <c r="Z727" s="1549"/>
    </row>
    <row r="728" spans="1:26" ht="12.75" customHeight="1" x14ac:dyDescent="0.2">
      <c r="A728" s="1549"/>
      <c r="B728" s="1549"/>
      <c r="C728" s="1549"/>
      <c r="D728" s="1558"/>
      <c r="E728" s="1549"/>
      <c r="F728" s="1549"/>
      <c r="G728" s="1549"/>
      <c r="H728" s="1549"/>
      <c r="I728" s="1549"/>
      <c r="J728" s="1549"/>
      <c r="K728" s="1549"/>
      <c r="L728" s="1549"/>
      <c r="M728" s="1549"/>
      <c r="N728" s="1549"/>
      <c r="O728" s="1549"/>
      <c r="P728" s="1549"/>
      <c r="Q728" s="1549"/>
      <c r="R728" s="1549"/>
      <c r="S728" s="1549"/>
      <c r="T728" s="1549"/>
      <c r="U728" s="1549"/>
      <c r="V728" s="1549"/>
      <c r="W728" s="1549"/>
      <c r="X728" s="1549"/>
      <c r="Y728" s="1549"/>
      <c r="Z728" s="1549"/>
    </row>
    <row r="729" spans="1:26" ht="12.75" customHeight="1" x14ac:dyDescent="0.2">
      <c r="A729" s="1549"/>
      <c r="B729" s="1549"/>
      <c r="C729" s="1549"/>
      <c r="D729" s="1558"/>
      <c r="E729" s="1549"/>
      <c r="F729" s="1549"/>
      <c r="G729" s="1549"/>
      <c r="H729" s="1549"/>
      <c r="I729" s="1549"/>
      <c r="J729" s="1549"/>
      <c r="K729" s="1549"/>
      <c r="L729" s="1549"/>
      <c r="M729" s="1549"/>
      <c r="N729" s="1549"/>
      <c r="O729" s="1549"/>
      <c r="P729" s="1549"/>
      <c r="Q729" s="1549"/>
      <c r="R729" s="1549"/>
      <c r="S729" s="1549"/>
      <c r="T729" s="1549"/>
      <c r="U729" s="1549"/>
      <c r="V729" s="1549"/>
      <c r="W729" s="1549"/>
      <c r="X729" s="1549"/>
      <c r="Y729" s="1549"/>
      <c r="Z729" s="1549"/>
    </row>
    <row r="730" spans="1:26" ht="12.75" customHeight="1" x14ac:dyDescent="0.2">
      <c r="A730" s="1549"/>
      <c r="B730" s="1549"/>
      <c r="C730" s="1549"/>
      <c r="D730" s="1558"/>
      <c r="E730" s="1549"/>
      <c r="F730" s="1549"/>
      <c r="G730" s="1549"/>
      <c r="H730" s="1549"/>
      <c r="I730" s="1549"/>
      <c r="J730" s="1549"/>
      <c r="K730" s="1549"/>
      <c r="L730" s="1549"/>
      <c r="M730" s="1549"/>
      <c r="N730" s="1549"/>
      <c r="O730" s="1549"/>
      <c r="P730" s="1549"/>
      <c r="Q730" s="1549"/>
      <c r="R730" s="1549"/>
      <c r="S730" s="1549"/>
      <c r="T730" s="1549"/>
      <c r="U730" s="1549"/>
      <c r="V730" s="1549"/>
      <c r="W730" s="1549"/>
      <c r="X730" s="1549"/>
      <c r="Y730" s="1549"/>
      <c r="Z730" s="1549"/>
    </row>
    <row r="731" spans="1:26" ht="12.75" customHeight="1" x14ac:dyDescent="0.2">
      <c r="A731" s="1549"/>
      <c r="B731" s="1549"/>
      <c r="C731" s="1549"/>
      <c r="D731" s="1558"/>
      <c r="E731" s="1549"/>
      <c r="F731" s="1549"/>
      <c r="G731" s="1549"/>
      <c r="H731" s="1549"/>
      <c r="I731" s="1549"/>
      <c r="J731" s="1549"/>
      <c r="K731" s="1549"/>
      <c r="L731" s="1549"/>
      <c r="M731" s="1549"/>
      <c r="N731" s="1549"/>
      <c r="O731" s="1549"/>
      <c r="P731" s="1549"/>
      <c r="Q731" s="1549"/>
      <c r="R731" s="1549"/>
      <c r="S731" s="1549"/>
      <c r="T731" s="1549"/>
      <c r="U731" s="1549"/>
      <c r="V731" s="1549"/>
      <c r="W731" s="1549"/>
      <c r="X731" s="1549"/>
      <c r="Y731" s="1549"/>
      <c r="Z731" s="1549"/>
    </row>
    <row r="732" spans="1:26" ht="12.75" customHeight="1" x14ac:dyDescent="0.2">
      <c r="A732" s="1549"/>
      <c r="B732" s="1549"/>
      <c r="C732" s="1549"/>
      <c r="D732" s="1558"/>
      <c r="E732" s="1549"/>
      <c r="F732" s="1549"/>
      <c r="G732" s="1549"/>
      <c r="H732" s="1549"/>
      <c r="I732" s="1549"/>
      <c r="J732" s="1549"/>
      <c r="K732" s="1549"/>
      <c r="L732" s="1549"/>
      <c r="M732" s="1549"/>
      <c r="N732" s="1549"/>
      <c r="O732" s="1549"/>
      <c r="P732" s="1549"/>
      <c r="Q732" s="1549"/>
      <c r="R732" s="1549"/>
      <c r="S732" s="1549"/>
      <c r="T732" s="1549"/>
      <c r="U732" s="1549"/>
      <c r="V732" s="1549"/>
      <c r="W732" s="1549"/>
      <c r="X732" s="1549"/>
      <c r="Y732" s="1549"/>
      <c r="Z732" s="1549"/>
    </row>
    <row r="733" spans="1:26" ht="12.75" customHeight="1" x14ac:dyDescent="0.2">
      <c r="A733" s="1549"/>
      <c r="B733" s="1549"/>
      <c r="C733" s="1549"/>
      <c r="D733" s="1558"/>
      <c r="E733" s="1549"/>
      <c r="F733" s="1549"/>
      <c r="G733" s="1549"/>
      <c r="H733" s="1549"/>
      <c r="I733" s="1549"/>
      <c r="J733" s="1549"/>
      <c r="K733" s="1549"/>
      <c r="L733" s="1549"/>
      <c r="M733" s="1549"/>
      <c r="N733" s="1549"/>
      <c r="O733" s="1549"/>
      <c r="P733" s="1549"/>
      <c r="Q733" s="1549"/>
      <c r="R733" s="1549"/>
      <c r="S733" s="1549"/>
      <c r="T733" s="1549"/>
      <c r="U733" s="1549"/>
      <c r="V733" s="1549"/>
      <c r="W733" s="1549"/>
      <c r="X733" s="1549"/>
      <c r="Y733" s="1549"/>
      <c r="Z733" s="1549"/>
    </row>
    <row r="734" spans="1:26" ht="12.75" customHeight="1" x14ac:dyDescent="0.2">
      <c r="A734" s="1549"/>
      <c r="B734" s="1549"/>
      <c r="C734" s="1549"/>
      <c r="D734" s="1558"/>
      <c r="E734" s="1549"/>
      <c r="F734" s="1549"/>
      <c r="G734" s="1549"/>
      <c r="H734" s="1549"/>
      <c r="I734" s="1549"/>
      <c r="J734" s="1549"/>
      <c r="K734" s="1549"/>
      <c r="L734" s="1549"/>
      <c r="M734" s="1549"/>
      <c r="N734" s="1549"/>
      <c r="O734" s="1549"/>
      <c r="P734" s="1549"/>
      <c r="Q734" s="1549"/>
      <c r="R734" s="1549"/>
      <c r="S734" s="1549"/>
      <c r="T734" s="1549"/>
      <c r="U734" s="1549"/>
      <c r="V734" s="1549"/>
      <c r="W734" s="1549"/>
      <c r="X734" s="1549"/>
      <c r="Y734" s="1549"/>
      <c r="Z734" s="1549"/>
    </row>
    <row r="735" spans="1:26" ht="12.75" customHeight="1" x14ac:dyDescent="0.2">
      <c r="A735" s="1549"/>
      <c r="B735" s="1549"/>
      <c r="C735" s="1549"/>
      <c r="D735" s="1558"/>
      <c r="E735" s="1549"/>
      <c r="F735" s="1549"/>
      <c r="G735" s="1549"/>
      <c r="H735" s="1549"/>
      <c r="I735" s="1549"/>
      <c r="J735" s="1549"/>
      <c r="K735" s="1549"/>
      <c r="L735" s="1549"/>
      <c r="M735" s="1549"/>
      <c r="N735" s="1549"/>
      <c r="O735" s="1549"/>
      <c r="P735" s="1549"/>
      <c r="Q735" s="1549"/>
      <c r="R735" s="1549"/>
      <c r="S735" s="1549"/>
      <c r="T735" s="1549"/>
      <c r="U735" s="1549"/>
      <c r="V735" s="1549"/>
      <c r="W735" s="1549"/>
      <c r="X735" s="1549"/>
      <c r="Y735" s="1549"/>
      <c r="Z735" s="1549"/>
    </row>
    <row r="736" spans="1:26" ht="12.75" customHeight="1" x14ac:dyDescent="0.2">
      <c r="A736" s="1549"/>
      <c r="B736" s="1549"/>
      <c r="C736" s="1549"/>
      <c r="D736" s="1558"/>
      <c r="E736" s="1549"/>
      <c r="F736" s="1549"/>
      <c r="G736" s="1549"/>
      <c r="H736" s="1549"/>
      <c r="I736" s="1549"/>
      <c r="J736" s="1549"/>
      <c r="K736" s="1549"/>
      <c r="L736" s="1549"/>
      <c r="M736" s="1549"/>
      <c r="N736" s="1549"/>
      <c r="O736" s="1549"/>
      <c r="P736" s="1549"/>
      <c r="Q736" s="1549"/>
      <c r="R736" s="1549"/>
      <c r="S736" s="1549"/>
      <c r="T736" s="1549"/>
      <c r="U736" s="1549"/>
      <c r="V736" s="1549"/>
      <c r="W736" s="1549"/>
      <c r="X736" s="1549"/>
      <c r="Y736" s="1549"/>
      <c r="Z736" s="1549"/>
    </row>
    <row r="737" spans="1:26" ht="12.75" customHeight="1" x14ac:dyDescent="0.2">
      <c r="A737" s="1549"/>
      <c r="B737" s="1549"/>
      <c r="C737" s="1549"/>
      <c r="D737" s="1558"/>
      <c r="E737" s="1549"/>
      <c r="F737" s="1549"/>
      <c r="G737" s="1549"/>
      <c r="H737" s="1549"/>
      <c r="I737" s="1549"/>
      <c r="J737" s="1549"/>
      <c r="K737" s="1549"/>
      <c r="L737" s="1549"/>
      <c r="M737" s="1549"/>
      <c r="N737" s="1549"/>
      <c r="O737" s="1549"/>
      <c r="P737" s="1549"/>
      <c r="Q737" s="1549"/>
      <c r="R737" s="1549"/>
      <c r="S737" s="1549"/>
      <c r="T737" s="1549"/>
      <c r="U737" s="1549"/>
      <c r="V737" s="1549"/>
      <c r="W737" s="1549"/>
      <c r="X737" s="1549"/>
      <c r="Y737" s="1549"/>
      <c r="Z737" s="1549"/>
    </row>
    <row r="738" spans="1:26" ht="12.75" customHeight="1" x14ac:dyDescent="0.2">
      <c r="A738" s="1549"/>
      <c r="B738" s="1549"/>
      <c r="C738" s="1549"/>
      <c r="D738" s="1558"/>
      <c r="E738" s="1549"/>
      <c r="F738" s="1549"/>
      <c r="G738" s="1549"/>
      <c r="H738" s="1549"/>
      <c r="I738" s="1549"/>
      <c r="J738" s="1549"/>
      <c r="K738" s="1549"/>
      <c r="L738" s="1549"/>
      <c r="M738" s="1549"/>
      <c r="N738" s="1549"/>
      <c r="O738" s="1549"/>
      <c r="P738" s="1549"/>
      <c r="Q738" s="1549"/>
      <c r="R738" s="1549"/>
      <c r="S738" s="1549"/>
      <c r="T738" s="1549"/>
      <c r="U738" s="1549"/>
      <c r="V738" s="1549"/>
      <c r="W738" s="1549"/>
      <c r="X738" s="1549"/>
      <c r="Y738" s="1549"/>
      <c r="Z738" s="1549"/>
    </row>
    <row r="739" spans="1:26" ht="12.75" customHeight="1" x14ac:dyDescent="0.2">
      <c r="A739" s="1549"/>
      <c r="B739" s="1549"/>
      <c r="C739" s="1549"/>
      <c r="D739" s="1558"/>
      <c r="E739" s="1549"/>
      <c r="F739" s="1549"/>
      <c r="G739" s="1549"/>
      <c r="H739" s="1549"/>
      <c r="I739" s="1549"/>
      <c r="J739" s="1549"/>
      <c r="K739" s="1549"/>
      <c r="L739" s="1549"/>
      <c r="M739" s="1549"/>
      <c r="N739" s="1549"/>
      <c r="O739" s="1549"/>
      <c r="P739" s="1549"/>
      <c r="Q739" s="1549"/>
      <c r="R739" s="1549"/>
      <c r="S739" s="1549"/>
      <c r="T739" s="1549"/>
      <c r="U739" s="1549"/>
      <c r="V739" s="1549"/>
      <c r="W739" s="1549"/>
      <c r="X739" s="1549"/>
      <c r="Y739" s="1549"/>
      <c r="Z739" s="1549"/>
    </row>
    <row r="740" spans="1:26" ht="12.75" customHeight="1" x14ac:dyDescent="0.2">
      <c r="A740" s="1549"/>
      <c r="B740" s="1549"/>
      <c r="C740" s="1549"/>
      <c r="D740" s="1558"/>
      <c r="E740" s="1549"/>
      <c r="F740" s="1549"/>
      <c r="G740" s="1549"/>
      <c r="H740" s="1549"/>
      <c r="I740" s="1549"/>
      <c r="J740" s="1549"/>
      <c r="K740" s="1549"/>
      <c r="L740" s="1549"/>
      <c r="M740" s="1549"/>
      <c r="N740" s="1549"/>
      <c r="O740" s="1549"/>
      <c r="P740" s="1549"/>
      <c r="Q740" s="1549"/>
      <c r="R740" s="1549"/>
      <c r="S740" s="1549"/>
      <c r="T740" s="1549"/>
      <c r="U740" s="1549"/>
      <c r="V740" s="1549"/>
      <c r="W740" s="1549"/>
      <c r="X740" s="1549"/>
      <c r="Y740" s="1549"/>
      <c r="Z740" s="1549"/>
    </row>
    <row r="741" spans="1:26" ht="12.75" customHeight="1" x14ac:dyDescent="0.2">
      <c r="A741" s="1549"/>
      <c r="B741" s="1549"/>
      <c r="C741" s="1549"/>
      <c r="D741" s="1558"/>
      <c r="E741" s="1549"/>
      <c r="F741" s="1549"/>
      <c r="G741" s="1549"/>
      <c r="H741" s="1549"/>
      <c r="I741" s="1549"/>
      <c r="J741" s="1549"/>
      <c r="K741" s="1549"/>
      <c r="L741" s="1549"/>
      <c r="M741" s="1549"/>
      <c r="N741" s="1549"/>
      <c r="O741" s="1549"/>
      <c r="P741" s="1549"/>
      <c r="Q741" s="1549"/>
      <c r="R741" s="1549"/>
      <c r="S741" s="1549"/>
      <c r="T741" s="1549"/>
      <c r="U741" s="1549"/>
      <c r="V741" s="1549"/>
      <c r="W741" s="1549"/>
      <c r="X741" s="1549"/>
      <c r="Y741" s="1549"/>
      <c r="Z741" s="1549"/>
    </row>
    <row r="742" spans="1:26" ht="12.75" customHeight="1" x14ac:dyDescent="0.2">
      <c r="A742" s="1549"/>
      <c r="B742" s="1549"/>
      <c r="C742" s="1549"/>
      <c r="D742" s="1558"/>
      <c r="E742" s="1549"/>
      <c r="F742" s="1549"/>
      <c r="G742" s="1549"/>
      <c r="H742" s="1549"/>
      <c r="I742" s="1549"/>
      <c r="J742" s="1549"/>
      <c r="K742" s="1549"/>
      <c r="L742" s="1549"/>
      <c r="M742" s="1549"/>
      <c r="N742" s="1549"/>
      <c r="O742" s="1549"/>
      <c r="P742" s="1549"/>
      <c r="Q742" s="1549"/>
      <c r="R742" s="1549"/>
      <c r="S742" s="1549"/>
      <c r="T742" s="1549"/>
      <c r="U742" s="1549"/>
      <c r="V742" s="1549"/>
      <c r="W742" s="1549"/>
      <c r="X742" s="1549"/>
      <c r="Y742" s="1549"/>
      <c r="Z742" s="1549"/>
    </row>
    <row r="743" spans="1:26" ht="12.75" customHeight="1" x14ac:dyDescent="0.2">
      <c r="A743" s="1549"/>
      <c r="B743" s="1549"/>
      <c r="C743" s="1549"/>
      <c r="D743" s="1558"/>
      <c r="E743" s="1549"/>
      <c r="F743" s="1549"/>
      <c r="G743" s="1549"/>
      <c r="H743" s="1549"/>
      <c r="I743" s="1549"/>
      <c r="J743" s="1549"/>
      <c r="K743" s="1549"/>
      <c r="L743" s="1549"/>
      <c r="M743" s="1549"/>
      <c r="N743" s="1549"/>
      <c r="O743" s="1549"/>
      <c r="P743" s="1549"/>
      <c r="Q743" s="1549"/>
      <c r="R743" s="1549"/>
      <c r="S743" s="1549"/>
      <c r="T743" s="1549"/>
      <c r="U743" s="1549"/>
      <c r="V743" s="1549"/>
      <c r="W743" s="1549"/>
      <c r="X743" s="1549"/>
      <c r="Y743" s="1549"/>
      <c r="Z743" s="1549"/>
    </row>
    <row r="744" spans="1:26" ht="12.75" customHeight="1" x14ac:dyDescent="0.2">
      <c r="A744" s="1549"/>
      <c r="B744" s="1549"/>
      <c r="C744" s="1549"/>
      <c r="D744" s="1558"/>
      <c r="E744" s="1549"/>
      <c r="F744" s="1549"/>
      <c r="G744" s="1549"/>
      <c r="H744" s="1549"/>
      <c r="I744" s="1549"/>
      <c r="J744" s="1549"/>
      <c r="K744" s="1549"/>
      <c r="L744" s="1549"/>
      <c r="M744" s="1549"/>
      <c r="N744" s="1549"/>
      <c r="O744" s="1549"/>
      <c r="P744" s="1549"/>
      <c r="Q744" s="1549"/>
      <c r="R744" s="1549"/>
      <c r="S744" s="1549"/>
      <c r="T744" s="1549"/>
      <c r="U744" s="1549"/>
      <c r="V744" s="1549"/>
      <c r="W744" s="1549"/>
      <c r="X744" s="1549"/>
      <c r="Y744" s="1549"/>
      <c r="Z744" s="1549"/>
    </row>
    <row r="745" spans="1:26" ht="12.75" customHeight="1" x14ac:dyDescent="0.2">
      <c r="A745" s="1549"/>
      <c r="B745" s="1549"/>
      <c r="C745" s="1549"/>
      <c r="D745" s="1558"/>
      <c r="E745" s="1549"/>
      <c r="F745" s="1549"/>
      <c r="G745" s="1549"/>
      <c r="H745" s="1549"/>
      <c r="I745" s="1549"/>
      <c r="J745" s="1549"/>
      <c r="K745" s="1549"/>
      <c r="L745" s="1549"/>
      <c r="M745" s="1549"/>
      <c r="N745" s="1549"/>
      <c r="O745" s="1549"/>
      <c r="P745" s="1549"/>
      <c r="Q745" s="1549"/>
      <c r="R745" s="1549"/>
      <c r="S745" s="1549"/>
      <c r="T745" s="1549"/>
      <c r="U745" s="1549"/>
      <c r="V745" s="1549"/>
      <c r="W745" s="1549"/>
      <c r="X745" s="1549"/>
      <c r="Y745" s="1549"/>
      <c r="Z745" s="1549"/>
    </row>
    <row r="746" spans="1:26" ht="12.75" customHeight="1" x14ac:dyDescent="0.2">
      <c r="A746" s="1549"/>
      <c r="B746" s="1549"/>
      <c r="C746" s="1549"/>
      <c r="D746" s="1558"/>
      <c r="E746" s="1549"/>
      <c r="F746" s="1549"/>
      <c r="G746" s="1549"/>
      <c r="H746" s="1549"/>
      <c r="I746" s="1549"/>
      <c r="J746" s="1549"/>
      <c r="K746" s="1549"/>
      <c r="L746" s="1549"/>
      <c r="M746" s="1549"/>
      <c r="N746" s="1549"/>
      <c r="O746" s="1549"/>
      <c r="P746" s="1549"/>
      <c r="Q746" s="1549"/>
      <c r="R746" s="1549"/>
      <c r="S746" s="1549"/>
      <c r="T746" s="1549"/>
      <c r="U746" s="1549"/>
      <c r="V746" s="1549"/>
      <c r="W746" s="1549"/>
      <c r="X746" s="1549"/>
      <c r="Y746" s="1549"/>
      <c r="Z746" s="1549"/>
    </row>
    <row r="747" spans="1:26" ht="12.75" customHeight="1" x14ac:dyDescent="0.2">
      <c r="A747" s="1549"/>
      <c r="B747" s="1549"/>
      <c r="C747" s="1549"/>
      <c r="D747" s="1558"/>
      <c r="E747" s="1549"/>
      <c r="F747" s="1549"/>
      <c r="G747" s="1549"/>
      <c r="H747" s="1549"/>
      <c r="I747" s="1549"/>
      <c r="J747" s="1549"/>
      <c r="K747" s="1549"/>
      <c r="L747" s="1549"/>
      <c r="M747" s="1549"/>
      <c r="N747" s="1549"/>
      <c r="O747" s="1549"/>
      <c r="P747" s="1549"/>
      <c r="Q747" s="1549"/>
      <c r="R747" s="1549"/>
      <c r="S747" s="1549"/>
      <c r="T747" s="1549"/>
      <c r="U747" s="1549"/>
      <c r="V747" s="1549"/>
      <c r="W747" s="1549"/>
      <c r="X747" s="1549"/>
      <c r="Y747" s="1549"/>
      <c r="Z747" s="1549"/>
    </row>
    <row r="748" spans="1:26" ht="12.75" customHeight="1" x14ac:dyDescent="0.2">
      <c r="A748" s="1549"/>
      <c r="B748" s="1549"/>
      <c r="C748" s="1549"/>
      <c r="D748" s="1558"/>
      <c r="E748" s="1549"/>
      <c r="F748" s="1549"/>
      <c r="G748" s="1549"/>
      <c r="H748" s="1549"/>
      <c r="I748" s="1549"/>
      <c r="J748" s="1549"/>
      <c r="K748" s="1549"/>
      <c r="L748" s="1549"/>
      <c r="M748" s="1549"/>
      <c r="N748" s="1549"/>
      <c r="O748" s="1549"/>
      <c r="P748" s="1549"/>
      <c r="Q748" s="1549"/>
      <c r="R748" s="1549"/>
      <c r="S748" s="1549"/>
      <c r="T748" s="1549"/>
      <c r="U748" s="1549"/>
      <c r="V748" s="1549"/>
      <c r="W748" s="1549"/>
      <c r="X748" s="1549"/>
      <c r="Y748" s="1549"/>
      <c r="Z748" s="1549"/>
    </row>
    <row r="749" spans="1:26" ht="12.75" customHeight="1" x14ac:dyDescent="0.2">
      <c r="A749" s="1549"/>
      <c r="B749" s="1549"/>
      <c r="C749" s="1549"/>
      <c r="D749" s="1558"/>
      <c r="E749" s="1549"/>
      <c r="F749" s="1549"/>
      <c r="G749" s="1549"/>
      <c r="H749" s="1549"/>
      <c r="I749" s="1549"/>
      <c r="J749" s="1549"/>
      <c r="K749" s="1549"/>
      <c r="L749" s="1549"/>
      <c r="M749" s="1549"/>
      <c r="N749" s="1549"/>
      <c r="O749" s="1549"/>
      <c r="P749" s="1549"/>
      <c r="Q749" s="1549"/>
      <c r="R749" s="1549"/>
      <c r="S749" s="1549"/>
      <c r="T749" s="1549"/>
      <c r="U749" s="1549"/>
      <c r="V749" s="1549"/>
      <c r="W749" s="1549"/>
      <c r="X749" s="1549"/>
      <c r="Y749" s="1549"/>
      <c r="Z749" s="1549"/>
    </row>
    <row r="750" spans="1:26" ht="12.75" customHeight="1" x14ac:dyDescent="0.2">
      <c r="A750" s="1549"/>
      <c r="B750" s="1549"/>
      <c r="C750" s="1549"/>
      <c r="D750" s="1558"/>
      <c r="E750" s="1549"/>
      <c r="F750" s="1549"/>
      <c r="G750" s="1549"/>
      <c r="H750" s="1549"/>
      <c r="I750" s="1549"/>
      <c r="J750" s="1549"/>
      <c r="K750" s="1549"/>
      <c r="L750" s="1549"/>
      <c r="M750" s="1549"/>
      <c r="N750" s="1549"/>
      <c r="O750" s="1549"/>
      <c r="P750" s="1549"/>
      <c r="Q750" s="1549"/>
      <c r="R750" s="1549"/>
      <c r="S750" s="1549"/>
      <c r="T750" s="1549"/>
      <c r="U750" s="1549"/>
      <c r="V750" s="1549"/>
      <c r="W750" s="1549"/>
      <c r="X750" s="1549"/>
      <c r="Y750" s="1549"/>
      <c r="Z750" s="1549"/>
    </row>
    <row r="751" spans="1:26" ht="12.75" customHeight="1" x14ac:dyDescent="0.2">
      <c r="A751" s="1549"/>
      <c r="B751" s="1549"/>
      <c r="C751" s="1549"/>
      <c r="D751" s="1558"/>
      <c r="E751" s="1549"/>
      <c r="F751" s="1549"/>
      <c r="G751" s="1549"/>
      <c r="H751" s="1549"/>
      <c r="I751" s="1549"/>
      <c r="J751" s="1549"/>
      <c r="K751" s="1549"/>
      <c r="L751" s="1549"/>
      <c r="M751" s="1549"/>
      <c r="N751" s="1549"/>
      <c r="O751" s="1549"/>
      <c r="P751" s="1549"/>
      <c r="Q751" s="1549"/>
      <c r="R751" s="1549"/>
      <c r="S751" s="1549"/>
      <c r="T751" s="1549"/>
      <c r="U751" s="1549"/>
      <c r="V751" s="1549"/>
      <c r="W751" s="1549"/>
      <c r="X751" s="1549"/>
      <c r="Y751" s="1549"/>
      <c r="Z751" s="1549"/>
    </row>
    <row r="752" spans="1:26" ht="12.75" customHeight="1" x14ac:dyDescent="0.2">
      <c r="A752" s="1549"/>
      <c r="B752" s="1549"/>
      <c r="C752" s="1549"/>
      <c r="D752" s="1558"/>
      <c r="E752" s="1549"/>
      <c r="F752" s="1549"/>
      <c r="G752" s="1549"/>
      <c r="H752" s="1549"/>
      <c r="I752" s="1549"/>
      <c r="J752" s="1549"/>
      <c r="K752" s="1549"/>
      <c r="L752" s="1549"/>
      <c r="M752" s="1549"/>
      <c r="N752" s="1549"/>
      <c r="O752" s="1549"/>
      <c r="P752" s="1549"/>
      <c r="Q752" s="1549"/>
      <c r="R752" s="1549"/>
      <c r="S752" s="1549"/>
      <c r="T752" s="1549"/>
      <c r="U752" s="1549"/>
      <c r="V752" s="1549"/>
      <c r="W752" s="1549"/>
      <c r="X752" s="1549"/>
      <c r="Y752" s="1549"/>
      <c r="Z752" s="1549"/>
    </row>
    <row r="753" spans="1:26" ht="12.75" customHeight="1" x14ac:dyDescent="0.2">
      <c r="A753" s="1549"/>
      <c r="B753" s="1549"/>
      <c r="C753" s="1549"/>
      <c r="D753" s="1558"/>
      <c r="E753" s="1549"/>
      <c r="F753" s="1549"/>
      <c r="G753" s="1549"/>
      <c r="H753" s="1549"/>
      <c r="I753" s="1549"/>
      <c r="J753" s="1549"/>
      <c r="K753" s="1549"/>
      <c r="L753" s="1549"/>
      <c r="M753" s="1549"/>
      <c r="N753" s="1549"/>
      <c r="O753" s="1549"/>
      <c r="P753" s="1549"/>
      <c r="Q753" s="1549"/>
      <c r="R753" s="1549"/>
      <c r="S753" s="1549"/>
      <c r="T753" s="1549"/>
      <c r="U753" s="1549"/>
      <c r="V753" s="1549"/>
      <c r="W753" s="1549"/>
      <c r="X753" s="1549"/>
      <c r="Y753" s="1549"/>
      <c r="Z753" s="1549"/>
    </row>
    <row r="754" spans="1:26" ht="12.75" customHeight="1" x14ac:dyDescent="0.2">
      <c r="A754" s="1549"/>
      <c r="B754" s="1549"/>
      <c r="C754" s="1549"/>
      <c r="D754" s="1558"/>
      <c r="E754" s="1549"/>
      <c r="F754" s="1549"/>
      <c r="G754" s="1549"/>
      <c r="H754" s="1549"/>
      <c r="I754" s="1549"/>
      <c r="J754" s="1549"/>
      <c r="K754" s="1549"/>
      <c r="L754" s="1549"/>
      <c r="M754" s="1549"/>
      <c r="N754" s="1549"/>
      <c r="O754" s="1549"/>
      <c r="P754" s="1549"/>
      <c r="Q754" s="1549"/>
      <c r="R754" s="1549"/>
      <c r="S754" s="1549"/>
      <c r="T754" s="1549"/>
      <c r="U754" s="1549"/>
      <c r="V754" s="1549"/>
      <c r="W754" s="1549"/>
      <c r="X754" s="1549"/>
      <c r="Y754" s="1549"/>
      <c r="Z754" s="1549"/>
    </row>
    <row r="755" spans="1:26" ht="12.75" customHeight="1" x14ac:dyDescent="0.2">
      <c r="A755" s="1549"/>
      <c r="B755" s="1549"/>
      <c r="C755" s="1549"/>
      <c r="D755" s="1558"/>
      <c r="E755" s="1549"/>
      <c r="F755" s="1549"/>
      <c r="G755" s="1549"/>
      <c r="H755" s="1549"/>
      <c r="I755" s="1549"/>
      <c r="J755" s="1549"/>
      <c r="K755" s="1549"/>
      <c r="L755" s="1549"/>
      <c r="M755" s="1549"/>
      <c r="N755" s="1549"/>
      <c r="O755" s="1549"/>
      <c r="P755" s="1549"/>
      <c r="Q755" s="1549"/>
      <c r="R755" s="1549"/>
      <c r="S755" s="1549"/>
      <c r="T755" s="1549"/>
      <c r="U755" s="1549"/>
      <c r="V755" s="1549"/>
      <c r="W755" s="1549"/>
      <c r="X755" s="1549"/>
      <c r="Y755" s="1549"/>
      <c r="Z755" s="1549"/>
    </row>
    <row r="756" spans="1:26" ht="12.75" customHeight="1" x14ac:dyDescent="0.2">
      <c r="A756" s="1549"/>
      <c r="B756" s="1549"/>
      <c r="C756" s="1549"/>
      <c r="D756" s="1558"/>
      <c r="E756" s="1549"/>
      <c r="F756" s="1549"/>
      <c r="G756" s="1549"/>
      <c r="H756" s="1549"/>
      <c r="I756" s="1549"/>
      <c r="J756" s="1549"/>
      <c r="K756" s="1549"/>
      <c r="L756" s="1549"/>
      <c r="M756" s="1549"/>
      <c r="N756" s="1549"/>
      <c r="O756" s="1549"/>
      <c r="P756" s="1549"/>
      <c r="Q756" s="1549"/>
      <c r="R756" s="1549"/>
      <c r="S756" s="1549"/>
      <c r="T756" s="1549"/>
      <c r="U756" s="1549"/>
      <c r="V756" s="1549"/>
      <c r="W756" s="1549"/>
      <c r="X756" s="1549"/>
      <c r="Y756" s="1549"/>
      <c r="Z756" s="1549"/>
    </row>
    <row r="757" spans="1:26" ht="12.75" customHeight="1" x14ac:dyDescent="0.2">
      <c r="A757" s="1549"/>
      <c r="B757" s="1549"/>
      <c r="C757" s="1549"/>
      <c r="D757" s="1558"/>
      <c r="E757" s="1549"/>
      <c r="F757" s="1549"/>
      <c r="G757" s="1549"/>
      <c r="H757" s="1549"/>
      <c r="I757" s="1549"/>
      <c r="J757" s="1549"/>
      <c r="K757" s="1549"/>
      <c r="L757" s="1549"/>
      <c r="M757" s="1549"/>
      <c r="N757" s="1549"/>
      <c r="O757" s="1549"/>
      <c r="P757" s="1549"/>
      <c r="Q757" s="1549"/>
      <c r="R757" s="1549"/>
      <c r="S757" s="1549"/>
      <c r="T757" s="1549"/>
      <c r="U757" s="1549"/>
      <c r="V757" s="1549"/>
      <c r="W757" s="1549"/>
      <c r="X757" s="1549"/>
      <c r="Y757" s="1549"/>
      <c r="Z757" s="1549"/>
    </row>
    <row r="758" spans="1:26" ht="12.75" customHeight="1" x14ac:dyDescent="0.2">
      <c r="A758" s="1549"/>
      <c r="B758" s="1549"/>
      <c r="C758" s="1549"/>
      <c r="D758" s="1558"/>
      <c r="E758" s="1549"/>
      <c r="F758" s="1549"/>
      <c r="G758" s="1549"/>
      <c r="H758" s="1549"/>
      <c r="I758" s="1549"/>
      <c r="J758" s="1549"/>
      <c r="K758" s="1549"/>
      <c r="L758" s="1549"/>
      <c r="M758" s="1549"/>
      <c r="N758" s="1549"/>
      <c r="O758" s="1549"/>
      <c r="P758" s="1549"/>
      <c r="Q758" s="1549"/>
      <c r="R758" s="1549"/>
      <c r="S758" s="1549"/>
      <c r="T758" s="1549"/>
      <c r="U758" s="1549"/>
      <c r="V758" s="1549"/>
      <c r="W758" s="1549"/>
      <c r="X758" s="1549"/>
      <c r="Y758" s="1549"/>
      <c r="Z758" s="1549"/>
    </row>
    <row r="759" spans="1:26" ht="12.75" customHeight="1" x14ac:dyDescent="0.2">
      <c r="A759" s="1549"/>
      <c r="B759" s="1549"/>
      <c r="C759" s="1549"/>
      <c r="D759" s="1558"/>
      <c r="E759" s="1549"/>
      <c r="F759" s="1549"/>
      <c r="G759" s="1549"/>
      <c r="H759" s="1549"/>
      <c r="I759" s="1549"/>
      <c r="J759" s="1549"/>
      <c r="K759" s="1549"/>
      <c r="L759" s="1549"/>
      <c r="M759" s="1549"/>
      <c r="N759" s="1549"/>
      <c r="O759" s="1549"/>
      <c r="P759" s="1549"/>
      <c r="Q759" s="1549"/>
      <c r="R759" s="1549"/>
      <c r="S759" s="1549"/>
      <c r="T759" s="1549"/>
      <c r="U759" s="1549"/>
      <c r="V759" s="1549"/>
      <c r="W759" s="1549"/>
      <c r="X759" s="1549"/>
      <c r="Y759" s="1549"/>
      <c r="Z759" s="1549"/>
    </row>
    <row r="760" spans="1:26" ht="12.75" customHeight="1" x14ac:dyDescent="0.2">
      <c r="A760" s="1549"/>
      <c r="B760" s="1549"/>
      <c r="C760" s="1549"/>
      <c r="D760" s="1558"/>
      <c r="E760" s="1549"/>
      <c r="F760" s="1549"/>
      <c r="G760" s="1549"/>
      <c r="H760" s="1549"/>
      <c r="I760" s="1549"/>
      <c r="J760" s="1549"/>
      <c r="K760" s="1549"/>
      <c r="L760" s="1549"/>
      <c r="M760" s="1549"/>
      <c r="N760" s="1549"/>
      <c r="O760" s="1549"/>
      <c r="P760" s="1549"/>
      <c r="Q760" s="1549"/>
      <c r="R760" s="1549"/>
      <c r="S760" s="1549"/>
      <c r="T760" s="1549"/>
      <c r="U760" s="1549"/>
      <c r="V760" s="1549"/>
      <c r="W760" s="1549"/>
      <c r="X760" s="1549"/>
      <c r="Y760" s="1549"/>
      <c r="Z760" s="1549"/>
    </row>
    <row r="761" spans="1:26" ht="12.75" customHeight="1" x14ac:dyDescent="0.2">
      <c r="A761" s="1549"/>
      <c r="B761" s="1549"/>
      <c r="C761" s="1549"/>
      <c r="D761" s="1558"/>
      <c r="E761" s="1549"/>
      <c r="F761" s="1549"/>
      <c r="G761" s="1549"/>
      <c r="H761" s="1549"/>
      <c r="I761" s="1549"/>
      <c r="J761" s="1549"/>
      <c r="K761" s="1549"/>
      <c r="L761" s="1549"/>
      <c r="M761" s="1549"/>
      <c r="N761" s="1549"/>
      <c r="O761" s="1549"/>
      <c r="P761" s="1549"/>
      <c r="Q761" s="1549"/>
      <c r="R761" s="1549"/>
      <c r="S761" s="1549"/>
      <c r="T761" s="1549"/>
      <c r="U761" s="1549"/>
      <c r="V761" s="1549"/>
      <c r="W761" s="1549"/>
      <c r="X761" s="1549"/>
      <c r="Y761" s="1549"/>
      <c r="Z761" s="1549"/>
    </row>
    <row r="762" spans="1:26" ht="12.75" customHeight="1" x14ac:dyDescent="0.2">
      <c r="A762" s="1549"/>
      <c r="B762" s="1549"/>
      <c r="C762" s="1549"/>
      <c r="D762" s="1558"/>
      <c r="E762" s="1549"/>
      <c r="F762" s="1549"/>
      <c r="G762" s="1549"/>
      <c r="H762" s="1549"/>
      <c r="I762" s="1549"/>
      <c r="J762" s="1549"/>
      <c r="K762" s="1549"/>
      <c r="L762" s="1549"/>
      <c r="M762" s="1549"/>
      <c r="N762" s="1549"/>
      <c r="O762" s="1549"/>
      <c r="P762" s="1549"/>
      <c r="Q762" s="1549"/>
      <c r="R762" s="1549"/>
      <c r="S762" s="1549"/>
      <c r="T762" s="1549"/>
      <c r="U762" s="1549"/>
      <c r="V762" s="1549"/>
      <c r="W762" s="1549"/>
      <c r="X762" s="1549"/>
      <c r="Y762" s="1549"/>
      <c r="Z762" s="1549"/>
    </row>
    <row r="763" spans="1:26" ht="12.75" customHeight="1" x14ac:dyDescent="0.2">
      <c r="A763" s="1549"/>
      <c r="B763" s="1549"/>
      <c r="C763" s="1549"/>
      <c r="D763" s="1558"/>
      <c r="E763" s="1549"/>
      <c r="F763" s="1549"/>
      <c r="G763" s="1549"/>
      <c r="H763" s="1549"/>
      <c r="I763" s="1549"/>
      <c r="J763" s="1549"/>
      <c r="K763" s="1549"/>
      <c r="L763" s="1549"/>
      <c r="M763" s="1549"/>
      <c r="N763" s="1549"/>
      <c r="O763" s="1549"/>
      <c r="P763" s="1549"/>
      <c r="Q763" s="1549"/>
      <c r="R763" s="1549"/>
      <c r="S763" s="1549"/>
      <c r="T763" s="1549"/>
      <c r="U763" s="1549"/>
      <c r="V763" s="1549"/>
      <c r="W763" s="1549"/>
      <c r="X763" s="1549"/>
      <c r="Y763" s="1549"/>
      <c r="Z763" s="1549"/>
    </row>
    <row r="764" spans="1:26" ht="12.75" customHeight="1" x14ac:dyDescent="0.2">
      <c r="A764" s="1549"/>
      <c r="B764" s="1549"/>
      <c r="C764" s="1549"/>
      <c r="D764" s="1558"/>
      <c r="E764" s="1549"/>
      <c r="F764" s="1549"/>
      <c r="G764" s="1549"/>
      <c r="H764" s="1549"/>
      <c r="I764" s="1549"/>
      <c r="J764" s="1549"/>
      <c r="K764" s="1549"/>
      <c r="L764" s="1549"/>
      <c r="M764" s="1549"/>
      <c r="N764" s="1549"/>
      <c r="O764" s="1549"/>
      <c r="P764" s="1549"/>
      <c r="Q764" s="1549"/>
      <c r="R764" s="1549"/>
      <c r="S764" s="1549"/>
      <c r="T764" s="1549"/>
      <c r="U764" s="1549"/>
      <c r="V764" s="1549"/>
      <c r="W764" s="1549"/>
      <c r="X764" s="1549"/>
      <c r="Y764" s="1549"/>
      <c r="Z764" s="1549"/>
    </row>
    <row r="765" spans="1:26" ht="12.75" customHeight="1" x14ac:dyDescent="0.2">
      <c r="A765" s="1549"/>
      <c r="B765" s="1549"/>
      <c r="C765" s="1549"/>
      <c r="D765" s="1558"/>
      <c r="E765" s="1549"/>
      <c r="F765" s="1549"/>
      <c r="G765" s="1549"/>
      <c r="H765" s="1549"/>
      <c r="I765" s="1549"/>
      <c r="J765" s="1549"/>
      <c r="K765" s="1549"/>
      <c r="L765" s="1549"/>
      <c r="M765" s="1549"/>
      <c r="N765" s="1549"/>
      <c r="O765" s="1549"/>
      <c r="P765" s="1549"/>
      <c r="Q765" s="1549"/>
      <c r="R765" s="1549"/>
      <c r="S765" s="1549"/>
      <c r="T765" s="1549"/>
      <c r="U765" s="1549"/>
      <c r="V765" s="1549"/>
      <c r="W765" s="1549"/>
      <c r="X765" s="1549"/>
      <c r="Y765" s="1549"/>
      <c r="Z765" s="1549"/>
    </row>
    <row r="766" spans="1:26" ht="12.75" customHeight="1" x14ac:dyDescent="0.2">
      <c r="A766" s="1549"/>
      <c r="B766" s="1549"/>
      <c r="C766" s="1549"/>
      <c r="D766" s="1558"/>
      <c r="E766" s="1549"/>
      <c r="F766" s="1549"/>
      <c r="G766" s="1549"/>
      <c r="H766" s="1549"/>
      <c r="I766" s="1549"/>
      <c r="J766" s="1549"/>
      <c r="K766" s="1549"/>
      <c r="L766" s="1549"/>
      <c r="M766" s="1549"/>
      <c r="N766" s="1549"/>
      <c r="O766" s="1549"/>
      <c r="P766" s="1549"/>
      <c r="Q766" s="1549"/>
      <c r="R766" s="1549"/>
      <c r="S766" s="1549"/>
      <c r="T766" s="1549"/>
      <c r="U766" s="1549"/>
      <c r="V766" s="1549"/>
      <c r="W766" s="1549"/>
      <c r="X766" s="1549"/>
      <c r="Y766" s="1549"/>
      <c r="Z766" s="1549"/>
    </row>
    <row r="767" spans="1:26" ht="12.75" customHeight="1" x14ac:dyDescent="0.2">
      <c r="A767" s="1549"/>
      <c r="B767" s="1549"/>
      <c r="C767" s="1549"/>
      <c r="D767" s="1558"/>
      <c r="E767" s="1549"/>
      <c r="F767" s="1549"/>
      <c r="G767" s="1549"/>
      <c r="H767" s="1549"/>
      <c r="I767" s="1549"/>
      <c r="J767" s="1549"/>
      <c r="K767" s="1549"/>
      <c r="L767" s="1549"/>
      <c r="M767" s="1549"/>
      <c r="N767" s="1549"/>
      <c r="O767" s="1549"/>
      <c r="P767" s="1549"/>
      <c r="Q767" s="1549"/>
      <c r="R767" s="1549"/>
      <c r="S767" s="1549"/>
      <c r="T767" s="1549"/>
      <c r="U767" s="1549"/>
      <c r="V767" s="1549"/>
      <c r="W767" s="1549"/>
      <c r="X767" s="1549"/>
      <c r="Y767" s="1549"/>
      <c r="Z767" s="1549"/>
    </row>
    <row r="768" spans="1:26" ht="12.75" customHeight="1" x14ac:dyDescent="0.2">
      <c r="A768" s="1549"/>
      <c r="B768" s="1549"/>
      <c r="C768" s="1549"/>
      <c r="D768" s="1558"/>
      <c r="E768" s="1549"/>
      <c r="F768" s="1549"/>
      <c r="G768" s="1549"/>
      <c r="H768" s="1549"/>
      <c r="I768" s="1549"/>
      <c r="J768" s="1549"/>
      <c r="K768" s="1549"/>
      <c r="L768" s="1549"/>
      <c r="M768" s="1549"/>
      <c r="N768" s="1549"/>
      <c r="O768" s="1549"/>
      <c r="P768" s="1549"/>
      <c r="Q768" s="1549"/>
      <c r="R768" s="1549"/>
      <c r="S768" s="1549"/>
      <c r="T768" s="1549"/>
      <c r="U768" s="1549"/>
      <c r="V768" s="1549"/>
      <c r="W768" s="1549"/>
      <c r="X768" s="1549"/>
      <c r="Y768" s="1549"/>
      <c r="Z768" s="1549"/>
    </row>
    <row r="769" spans="1:26" ht="12.75" customHeight="1" x14ac:dyDescent="0.2">
      <c r="A769" s="1549"/>
      <c r="B769" s="1549"/>
      <c r="C769" s="1549"/>
      <c r="D769" s="1558"/>
      <c r="E769" s="1549"/>
      <c r="F769" s="1549"/>
      <c r="G769" s="1549"/>
      <c r="H769" s="1549"/>
      <c r="I769" s="1549"/>
      <c r="J769" s="1549"/>
      <c r="K769" s="1549"/>
      <c r="L769" s="1549"/>
      <c r="M769" s="1549"/>
      <c r="N769" s="1549"/>
      <c r="O769" s="1549"/>
      <c r="P769" s="1549"/>
      <c r="Q769" s="1549"/>
      <c r="R769" s="1549"/>
      <c r="S769" s="1549"/>
      <c r="T769" s="1549"/>
      <c r="U769" s="1549"/>
      <c r="V769" s="1549"/>
      <c r="W769" s="1549"/>
      <c r="X769" s="1549"/>
      <c r="Y769" s="1549"/>
      <c r="Z769" s="1549"/>
    </row>
    <row r="770" spans="1:26" ht="12.75" customHeight="1" x14ac:dyDescent="0.2">
      <c r="A770" s="1549"/>
      <c r="B770" s="1549"/>
      <c r="C770" s="1549"/>
      <c r="D770" s="1558"/>
      <c r="E770" s="1549"/>
      <c r="F770" s="1549"/>
      <c r="G770" s="1549"/>
      <c r="H770" s="1549"/>
      <c r="I770" s="1549"/>
      <c r="J770" s="1549"/>
      <c r="K770" s="1549"/>
      <c r="L770" s="1549"/>
      <c r="M770" s="1549"/>
      <c r="N770" s="1549"/>
      <c r="O770" s="1549"/>
      <c r="P770" s="1549"/>
      <c r="Q770" s="1549"/>
      <c r="R770" s="1549"/>
      <c r="S770" s="1549"/>
      <c r="T770" s="1549"/>
      <c r="U770" s="1549"/>
      <c r="V770" s="1549"/>
      <c r="W770" s="1549"/>
      <c r="X770" s="1549"/>
      <c r="Y770" s="1549"/>
      <c r="Z770" s="1549"/>
    </row>
    <row r="771" spans="1:26" ht="12.75" customHeight="1" x14ac:dyDescent="0.2">
      <c r="A771" s="1549"/>
      <c r="B771" s="1549"/>
      <c r="C771" s="1549"/>
      <c r="D771" s="1558"/>
      <c r="E771" s="1549"/>
      <c r="F771" s="1549"/>
      <c r="G771" s="1549"/>
      <c r="H771" s="1549"/>
      <c r="I771" s="1549"/>
      <c r="J771" s="1549"/>
      <c r="K771" s="1549"/>
      <c r="L771" s="1549"/>
      <c r="M771" s="1549"/>
      <c r="N771" s="1549"/>
      <c r="O771" s="1549"/>
      <c r="P771" s="1549"/>
      <c r="Q771" s="1549"/>
      <c r="R771" s="1549"/>
      <c r="S771" s="1549"/>
      <c r="T771" s="1549"/>
      <c r="U771" s="1549"/>
      <c r="V771" s="1549"/>
      <c r="W771" s="1549"/>
      <c r="X771" s="1549"/>
      <c r="Y771" s="1549"/>
      <c r="Z771" s="1549"/>
    </row>
    <row r="772" spans="1:26" ht="12.75" customHeight="1" x14ac:dyDescent="0.2">
      <c r="A772" s="1549"/>
      <c r="B772" s="1549"/>
      <c r="C772" s="1549"/>
      <c r="D772" s="1558"/>
      <c r="E772" s="1549"/>
      <c r="F772" s="1549"/>
      <c r="G772" s="1549"/>
      <c r="H772" s="1549"/>
      <c r="I772" s="1549"/>
      <c r="J772" s="1549"/>
      <c r="K772" s="1549"/>
      <c r="L772" s="1549"/>
      <c r="M772" s="1549"/>
      <c r="N772" s="1549"/>
      <c r="O772" s="1549"/>
      <c r="P772" s="1549"/>
      <c r="Q772" s="1549"/>
      <c r="R772" s="1549"/>
      <c r="S772" s="1549"/>
      <c r="T772" s="1549"/>
      <c r="U772" s="1549"/>
      <c r="V772" s="1549"/>
      <c r="W772" s="1549"/>
      <c r="X772" s="1549"/>
      <c r="Y772" s="1549"/>
      <c r="Z772" s="1549"/>
    </row>
    <row r="773" spans="1:26" ht="12.75" customHeight="1" x14ac:dyDescent="0.2">
      <c r="A773" s="1549"/>
      <c r="B773" s="1549"/>
      <c r="C773" s="1549"/>
      <c r="D773" s="1558"/>
      <c r="E773" s="1549"/>
      <c r="F773" s="1549"/>
      <c r="G773" s="1549"/>
      <c r="H773" s="1549"/>
      <c r="I773" s="1549"/>
      <c r="J773" s="1549"/>
      <c r="K773" s="1549"/>
      <c r="L773" s="1549"/>
      <c r="M773" s="1549"/>
      <c r="N773" s="1549"/>
      <c r="O773" s="1549"/>
      <c r="P773" s="1549"/>
      <c r="Q773" s="1549"/>
      <c r="R773" s="1549"/>
      <c r="S773" s="1549"/>
      <c r="T773" s="1549"/>
      <c r="U773" s="1549"/>
      <c r="V773" s="1549"/>
      <c r="W773" s="1549"/>
      <c r="X773" s="1549"/>
      <c r="Y773" s="1549"/>
      <c r="Z773" s="1549"/>
    </row>
    <row r="774" spans="1:26" ht="12.75" customHeight="1" x14ac:dyDescent="0.2">
      <c r="A774" s="1549"/>
      <c r="B774" s="1549"/>
      <c r="C774" s="1549"/>
      <c r="D774" s="1558"/>
      <c r="E774" s="1549"/>
      <c r="F774" s="1549"/>
      <c r="G774" s="1549"/>
      <c r="H774" s="1549"/>
      <c r="I774" s="1549"/>
      <c r="J774" s="1549"/>
      <c r="K774" s="1549"/>
      <c r="L774" s="1549"/>
      <c r="M774" s="1549"/>
      <c r="N774" s="1549"/>
      <c r="O774" s="1549"/>
      <c r="P774" s="1549"/>
      <c r="Q774" s="1549"/>
      <c r="R774" s="1549"/>
      <c r="S774" s="1549"/>
      <c r="T774" s="1549"/>
      <c r="U774" s="1549"/>
      <c r="V774" s="1549"/>
      <c r="W774" s="1549"/>
      <c r="X774" s="1549"/>
      <c r="Y774" s="1549"/>
      <c r="Z774" s="1549"/>
    </row>
    <row r="775" spans="1:26" ht="12.75" customHeight="1" x14ac:dyDescent="0.2">
      <c r="A775" s="1549"/>
      <c r="B775" s="1549"/>
      <c r="C775" s="1549"/>
      <c r="D775" s="1558"/>
      <c r="E775" s="1549"/>
      <c r="F775" s="1549"/>
      <c r="G775" s="1549"/>
      <c r="H775" s="1549"/>
      <c r="I775" s="1549"/>
      <c r="J775" s="1549"/>
      <c r="K775" s="1549"/>
      <c r="L775" s="1549"/>
      <c r="M775" s="1549"/>
      <c r="N775" s="1549"/>
      <c r="O775" s="1549"/>
      <c r="P775" s="1549"/>
      <c r="Q775" s="1549"/>
      <c r="R775" s="1549"/>
      <c r="S775" s="1549"/>
      <c r="T775" s="1549"/>
      <c r="U775" s="1549"/>
      <c r="V775" s="1549"/>
      <c r="W775" s="1549"/>
      <c r="X775" s="1549"/>
      <c r="Y775" s="1549"/>
      <c r="Z775" s="1549"/>
    </row>
    <row r="776" spans="1:26" ht="12.75" customHeight="1" x14ac:dyDescent="0.2">
      <c r="A776" s="1549"/>
      <c r="B776" s="1549"/>
      <c r="C776" s="1549"/>
      <c r="D776" s="1558"/>
      <c r="E776" s="1549"/>
      <c r="F776" s="1549"/>
      <c r="G776" s="1549"/>
      <c r="H776" s="1549"/>
      <c r="I776" s="1549"/>
      <c r="J776" s="1549"/>
      <c r="K776" s="1549"/>
      <c r="L776" s="1549"/>
      <c r="M776" s="1549"/>
      <c r="N776" s="1549"/>
      <c r="O776" s="1549"/>
      <c r="P776" s="1549"/>
      <c r="Q776" s="1549"/>
      <c r="R776" s="1549"/>
      <c r="S776" s="1549"/>
      <c r="T776" s="1549"/>
      <c r="U776" s="1549"/>
      <c r="V776" s="1549"/>
      <c r="W776" s="1549"/>
      <c r="X776" s="1549"/>
      <c r="Y776" s="1549"/>
      <c r="Z776" s="1549"/>
    </row>
    <row r="777" spans="1:26" ht="12.75" customHeight="1" x14ac:dyDescent="0.2">
      <c r="A777" s="1549"/>
      <c r="B777" s="1549"/>
      <c r="C777" s="1549"/>
      <c r="D777" s="1558"/>
      <c r="E777" s="1549"/>
      <c r="F777" s="1549"/>
      <c r="G777" s="1549"/>
      <c r="H777" s="1549"/>
      <c r="I777" s="1549"/>
      <c r="J777" s="1549"/>
      <c r="K777" s="1549"/>
      <c r="L777" s="1549"/>
      <c r="M777" s="1549"/>
      <c r="N777" s="1549"/>
      <c r="O777" s="1549"/>
      <c r="P777" s="1549"/>
      <c r="Q777" s="1549"/>
      <c r="R777" s="1549"/>
      <c r="S777" s="1549"/>
      <c r="T777" s="1549"/>
      <c r="U777" s="1549"/>
      <c r="V777" s="1549"/>
      <c r="W777" s="1549"/>
      <c r="X777" s="1549"/>
      <c r="Y777" s="1549"/>
      <c r="Z777" s="1549"/>
    </row>
    <row r="778" spans="1:26" ht="12.75" customHeight="1" x14ac:dyDescent="0.2">
      <c r="A778" s="1549"/>
      <c r="B778" s="1549"/>
      <c r="C778" s="1549"/>
      <c r="D778" s="1558"/>
      <c r="E778" s="1549"/>
      <c r="F778" s="1549"/>
      <c r="G778" s="1549"/>
      <c r="H778" s="1549"/>
      <c r="I778" s="1549"/>
      <c r="J778" s="1549"/>
      <c r="K778" s="1549"/>
      <c r="L778" s="1549"/>
      <c r="M778" s="1549"/>
      <c r="N778" s="1549"/>
      <c r="O778" s="1549"/>
      <c r="P778" s="1549"/>
      <c r="Q778" s="1549"/>
      <c r="R778" s="1549"/>
      <c r="S778" s="1549"/>
      <c r="T778" s="1549"/>
      <c r="U778" s="1549"/>
      <c r="V778" s="1549"/>
      <c r="W778" s="1549"/>
      <c r="X778" s="1549"/>
      <c r="Y778" s="1549"/>
      <c r="Z778" s="1549"/>
    </row>
    <row r="779" spans="1:26" ht="12.75" customHeight="1" x14ac:dyDescent="0.2">
      <c r="A779" s="1549"/>
      <c r="B779" s="1549"/>
      <c r="C779" s="1549"/>
      <c r="D779" s="1558"/>
      <c r="E779" s="1549"/>
      <c r="F779" s="1549"/>
      <c r="G779" s="1549"/>
      <c r="H779" s="1549"/>
      <c r="I779" s="1549"/>
      <c r="J779" s="1549"/>
      <c r="K779" s="1549"/>
      <c r="L779" s="1549"/>
      <c r="M779" s="1549"/>
      <c r="N779" s="1549"/>
      <c r="O779" s="1549"/>
      <c r="P779" s="1549"/>
      <c r="Q779" s="1549"/>
      <c r="R779" s="1549"/>
      <c r="S779" s="1549"/>
      <c r="T779" s="1549"/>
      <c r="U779" s="1549"/>
      <c r="V779" s="1549"/>
      <c r="W779" s="1549"/>
      <c r="X779" s="1549"/>
      <c r="Y779" s="1549"/>
      <c r="Z779" s="1549"/>
    </row>
    <row r="780" spans="1:26" ht="12.75" customHeight="1" x14ac:dyDescent="0.2">
      <c r="A780" s="1549"/>
      <c r="B780" s="1549"/>
      <c r="C780" s="1549"/>
      <c r="D780" s="1558"/>
      <c r="E780" s="1549"/>
      <c r="F780" s="1549"/>
      <c r="G780" s="1549"/>
      <c r="H780" s="1549"/>
      <c r="I780" s="1549"/>
      <c r="J780" s="1549"/>
      <c r="K780" s="1549"/>
      <c r="L780" s="1549"/>
      <c r="M780" s="1549"/>
      <c r="N780" s="1549"/>
      <c r="O780" s="1549"/>
      <c r="P780" s="1549"/>
      <c r="Q780" s="1549"/>
      <c r="R780" s="1549"/>
      <c r="S780" s="1549"/>
      <c r="T780" s="1549"/>
      <c r="U780" s="1549"/>
      <c r="V780" s="1549"/>
      <c r="W780" s="1549"/>
      <c r="X780" s="1549"/>
      <c r="Y780" s="1549"/>
      <c r="Z780" s="1549"/>
    </row>
    <row r="781" spans="1:26" ht="12.75" customHeight="1" x14ac:dyDescent="0.2">
      <c r="A781" s="1549"/>
      <c r="B781" s="1549"/>
      <c r="C781" s="1549"/>
      <c r="D781" s="1558"/>
      <c r="E781" s="1549"/>
      <c r="F781" s="1549"/>
      <c r="G781" s="1549"/>
      <c r="H781" s="1549"/>
      <c r="I781" s="1549"/>
      <c r="J781" s="1549"/>
      <c r="K781" s="1549"/>
      <c r="L781" s="1549"/>
      <c r="M781" s="1549"/>
      <c r="N781" s="1549"/>
      <c r="O781" s="1549"/>
      <c r="P781" s="1549"/>
      <c r="Q781" s="1549"/>
      <c r="R781" s="1549"/>
      <c r="S781" s="1549"/>
      <c r="T781" s="1549"/>
      <c r="U781" s="1549"/>
      <c r="V781" s="1549"/>
      <c r="W781" s="1549"/>
      <c r="X781" s="1549"/>
      <c r="Y781" s="1549"/>
      <c r="Z781" s="1549"/>
    </row>
    <row r="782" spans="1:26" ht="12.75" customHeight="1" x14ac:dyDescent="0.2">
      <c r="A782" s="1549"/>
      <c r="B782" s="1549"/>
      <c r="C782" s="1549"/>
      <c r="D782" s="1558"/>
      <c r="E782" s="1549"/>
      <c r="F782" s="1549"/>
      <c r="G782" s="1549"/>
      <c r="H782" s="1549"/>
      <c r="I782" s="1549"/>
      <c r="J782" s="1549"/>
      <c r="K782" s="1549"/>
      <c r="L782" s="1549"/>
      <c r="M782" s="1549"/>
      <c r="N782" s="1549"/>
      <c r="O782" s="1549"/>
      <c r="P782" s="1549"/>
      <c r="Q782" s="1549"/>
      <c r="R782" s="1549"/>
      <c r="S782" s="1549"/>
      <c r="T782" s="1549"/>
      <c r="U782" s="1549"/>
      <c r="V782" s="1549"/>
      <c r="W782" s="1549"/>
      <c r="X782" s="1549"/>
      <c r="Y782" s="1549"/>
      <c r="Z782" s="1549"/>
    </row>
    <row r="783" spans="1:26" ht="12.75" customHeight="1" x14ac:dyDescent="0.2">
      <c r="A783" s="1549"/>
      <c r="B783" s="1549"/>
      <c r="C783" s="1549"/>
      <c r="D783" s="1558"/>
      <c r="E783" s="1549"/>
      <c r="F783" s="1549"/>
      <c r="G783" s="1549"/>
      <c r="H783" s="1549"/>
      <c r="I783" s="1549"/>
      <c r="J783" s="1549"/>
      <c r="K783" s="1549"/>
      <c r="L783" s="1549"/>
      <c r="M783" s="1549"/>
      <c r="N783" s="1549"/>
      <c r="O783" s="1549"/>
      <c r="P783" s="1549"/>
      <c r="Q783" s="1549"/>
      <c r="R783" s="1549"/>
      <c r="S783" s="1549"/>
      <c r="T783" s="1549"/>
      <c r="U783" s="1549"/>
      <c r="V783" s="1549"/>
      <c r="W783" s="1549"/>
      <c r="X783" s="1549"/>
      <c r="Y783" s="1549"/>
      <c r="Z783" s="1549"/>
    </row>
    <row r="784" spans="1:26" ht="12.75" customHeight="1" x14ac:dyDescent="0.2">
      <c r="A784" s="1549"/>
      <c r="B784" s="1549"/>
      <c r="C784" s="1549"/>
      <c r="D784" s="1558"/>
      <c r="E784" s="1549"/>
      <c r="F784" s="1549"/>
      <c r="G784" s="1549"/>
      <c r="H784" s="1549"/>
      <c r="I784" s="1549"/>
      <c r="J784" s="1549"/>
      <c r="K784" s="1549"/>
      <c r="L784" s="1549"/>
      <c r="M784" s="1549"/>
      <c r="N784" s="1549"/>
      <c r="O784" s="1549"/>
      <c r="P784" s="1549"/>
      <c r="Q784" s="1549"/>
      <c r="R784" s="1549"/>
      <c r="S784" s="1549"/>
      <c r="T784" s="1549"/>
      <c r="U784" s="1549"/>
      <c r="V784" s="1549"/>
      <c r="W784" s="1549"/>
      <c r="X784" s="1549"/>
      <c r="Y784" s="1549"/>
      <c r="Z784" s="1549"/>
    </row>
    <row r="785" spans="1:26" ht="12.75" customHeight="1" x14ac:dyDescent="0.2">
      <c r="A785" s="1549"/>
      <c r="B785" s="1549"/>
      <c r="C785" s="1549"/>
      <c r="D785" s="1558"/>
      <c r="E785" s="1549"/>
      <c r="F785" s="1549"/>
      <c r="G785" s="1549"/>
      <c r="H785" s="1549"/>
      <c r="I785" s="1549"/>
      <c r="J785" s="1549"/>
      <c r="K785" s="1549"/>
      <c r="L785" s="1549"/>
      <c r="M785" s="1549"/>
      <c r="N785" s="1549"/>
      <c r="O785" s="1549"/>
      <c r="P785" s="1549"/>
      <c r="Q785" s="1549"/>
      <c r="R785" s="1549"/>
      <c r="S785" s="1549"/>
      <c r="T785" s="1549"/>
      <c r="U785" s="1549"/>
      <c r="V785" s="1549"/>
      <c r="W785" s="1549"/>
      <c r="X785" s="1549"/>
      <c r="Y785" s="1549"/>
      <c r="Z785" s="1549"/>
    </row>
    <row r="786" spans="1:26" ht="12.75" customHeight="1" x14ac:dyDescent="0.2">
      <c r="A786" s="1549"/>
      <c r="B786" s="1549"/>
      <c r="C786" s="1549"/>
      <c r="D786" s="1558"/>
      <c r="E786" s="1549"/>
      <c r="F786" s="1549"/>
      <c r="G786" s="1549"/>
      <c r="H786" s="1549"/>
      <c r="I786" s="1549"/>
      <c r="J786" s="1549"/>
      <c r="K786" s="1549"/>
      <c r="L786" s="1549"/>
      <c r="M786" s="1549"/>
      <c r="N786" s="1549"/>
      <c r="O786" s="1549"/>
      <c r="P786" s="1549"/>
      <c r="Q786" s="1549"/>
      <c r="R786" s="1549"/>
      <c r="S786" s="1549"/>
      <c r="T786" s="1549"/>
      <c r="U786" s="1549"/>
      <c r="V786" s="1549"/>
      <c r="W786" s="1549"/>
      <c r="X786" s="1549"/>
      <c r="Y786" s="1549"/>
      <c r="Z786" s="1549"/>
    </row>
    <row r="787" spans="1:26" ht="12.75" customHeight="1" x14ac:dyDescent="0.2">
      <c r="A787" s="1549"/>
      <c r="B787" s="1549"/>
      <c r="C787" s="1549"/>
      <c r="D787" s="1558"/>
      <c r="E787" s="1549"/>
      <c r="F787" s="1549"/>
      <c r="G787" s="1549"/>
      <c r="H787" s="1549"/>
      <c r="I787" s="1549"/>
      <c r="J787" s="1549"/>
      <c r="K787" s="1549"/>
      <c r="L787" s="1549"/>
      <c r="M787" s="1549"/>
      <c r="N787" s="1549"/>
      <c r="O787" s="1549"/>
      <c r="P787" s="1549"/>
      <c r="Q787" s="1549"/>
      <c r="R787" s="1549"/>
      <c r="S787" s="1549"/>
      <c r="T787" s="1549"/>
      <c r="U787" s="1549"/>
      <c r="V787" s="1549"/>
      <c r="W787" s="1549"/>
      <c r="X787" s="1549"/>
      <c r="Y787" s="1549"/>
      <c r="Z787" s="1549"/>
    </row>
    <row r="788" spans="1:26" ht="12.75" customHeight="1" x14ac:dyDescent="0.2">
      <c r="A788" s="1549"/>
      <c r="B788" s="1549"/>
      <c r="C788" s="1549"/>
      <c r="D788" s="1558"/>
      <c r="E788" s="1549"/>
      <c r="F788" s="1549"/>
      <c r="G788" s="1549"/>
      <c r="H788" s="1549"/>
      <c r="I788" s="1549"/>
      <c r="J788" s="1549"/>
      <c r="K788" s="1549"/>
      <c r="L788" s="1549"/>
      <c r="M788" s="1549"/>
      <c r="N788" s="1549"/>
      <c r="O788" s="1549"/>
      <c r="P788" s="1549"/>
      <c r="Q788" s="1549"/>
      <c r="R788" s="1549"/>
      <c r="S788" s="1549"/>
      <c r="T788" s="1549"/>
      <c r="U788" s="1549"/>
      <c r="V788" s="1549"/>
      <c r="W788" s="1549"/>
      <c r="X788" s="1549"/>
      <c r="Y788" s="1549"/>
      <c r="Z788" s="1549"/>
    </row>
    <row r="789" spans="1:26" ht="12.75" customHeight="1" x14ac:dyDescent="0.2">
      <c r="A789" s="1549"/>
      <c r="B789" s="1549"/>
      <c r="C789" s="1549"/>
      <c r="D789" s="1558"/>
      <c r="E789" s="1549"/>
      <c r="F789" s="1549"/>
      <c r="G789" s="1549"/>
      <c r="H789" s="1549"/>
      <c r="I789" s="1549"/>
      <c r="J789" s="1549"/>
      <c r="K789" s="1549"/>
      <c r="L789" s="1549"/>
      <c r="M789" s="1549"/>
      <c r="N789" s="1549"/>
      <c r="O789" s="1549"/>
      <c r="P789" s="1549"/>
      <c r="Q789" s="1549"/>
      <c r="R789" s="1549"/>
      <c r="S789" s="1549"/>
      <c r="T789" s="1549"/>
      <c r="U789" s="1549"/>
      <c r="V789" s="1549"/>
      <c r="W789" s="1549"/>
      <c r="X789" s="1549"/>
      <c r="Y789" s="1549"/>
      <c r="Z789" s="1549"/>
    </row>
    <row r="790" spans="1:26" ht="12.75" customHeight="1" x14ac:dyDescent="0.2">
      <c r="A790" s="1549"/>
      <c r="B790" s="1549"/>
      <c r="C790" s="1549"/>
      <c r="D790" s="1558"/>
      <c r="E790" s="1549"/>
      <c r="F790" s="1549"/>
      <c r="G790" s="1549"/>
      <c r="H790" s="1549"/>
      <c r="I790" s="1549"/>
      <c r="J790" s="1549"/>
      <c r="K790" s="1549"/>
      <c r="L790" s="1549"/>
      <c r="M790" s="1549"/>
      <c r="N790" s="1549"/>
      <c r="O790" s="1549"/>
      <c r="P790" s="1549"/>
      <c r="Q790" s="1549"/>
      <c r="R790" s="1549"/>
      <c r="S790" s="1549"/>
      <c r="T790" s="1549"/>
      <c r="U790" s="1549"/>
      <c r="V790" s="1549"/>
      <c r="W790" s="1549"/>
      <c r="X790" s="1549"/>
      <c r="Y790" s="1549"/>
      <c r="Z790" s="1549"/>
    </row>
    <row r="791" spans="1:26" ht="12.75" customHeight="1" x14ac:dyDescent="0.2">
      <c r="A791" s="1549"/>
      <c r="B791" s="1549"/>
      <c r="C791" s="1549"/>
      <c r="D791" s="1558"/>
      <c r="E791" s="1549"/>
      <c r="F791" s="1549"/>
      <c r="G791" s="1549"/>
      <c r="H791" s="1549"/>
      <c r="I791" s="1549"/>
      <c r="J791" s="1549"/>
      <c r="K791" s="1549"/>
      <c r="L791" s="1549"/>
      <c r="M791" s="1549"/>
      <c r="N791" s="1549"/>
      <c r="O791" s="1549"/>
      <c r="P791" s="1549"/>
      <c r="Q791" s="1549"/>
      <c r="R791" s="1549"/>
      <c r="S791" s="1549"/>
      <c r="T791" s="1549"/>
      <c r="U791" s="1549"/>
      <c r="V791" s="1549"/>
      <c r="W791" s="1549"/>
      <c r="X791" s="1549"/>
      <c r="Y791" s="1549"/>
      <c r="Z791" s="1549"/>
    </row>
    <row r="792" spans="1:26" ht="12.75" customHeight="1" x14ac:dyDescent="0.2">
      <c r="A792" s="1549"/>
      <c r="B792" s="1549"/>
      <c r="C792" s="1549"/>
      <c r="D792" s="1558"/>
      <c r="E792" s="1549"/>
      <c r="F792" s="1549"/>
      <c r="G792" s="1549"/>
      <c r="H792" s="1549"/>
      <c r="I792" s="1549"/>
      <c r="J792" s="1549"/>
      <c r="K792" s="1549"/>
      <c r="L792" s="1549"/>
      <c r="M792" s="1549"/>
      <c r="N792" s="1549"/>
      <c r="O792" s="1549"/>
      <c r="P792" s="1549"/>
      <c r="Q792" s="1549"/>
      <c r="R792" s="1549"/>
      <c r="S792" s="1549"/>
      <c r="T792" s="1549"/>
      <c r="U792" s="1549"/>
      <c r="V792" s="1549"/>
      <c r="W792" s="1549"/>
      <c r="X792" s="1549"/>
      <c r="Y792" s="1549"/>
      <c r="Z792" s="1549"/>
    </row>
    <row r="793" spans="1:26" ht="12.75" customHeight="1" x14ac:dyDescent="0.2">
      <c r="A793" s="1549"/>
      <c r="B793" s="1549"/>
      <c r="C793" s="1549"/>
      <c r="D793" s="1558"/>
      <c r="E793" s="1549"/>
      <c r="F793" s="1549"/>
      <c r="G793" s="1549"/>
      <c r="H793" s="1549"/>
      <c r="I793" s="1549"/>
      <c r="J793" s="1549"/>
      <c r="K793" s="1549"/>
      <c r="L793" s="1549"/>
      <c r="M793" s="1549"/>
      <c r="N793" s="1549"/>
      <c r="O793" s="1549"/>
      <c r="P793" s="1549"/>
      <c r="Q793" s="1549"/>
      <c r="R793" s="1549"/>
      <c r="S793" s="1549"/>
      <c r="T793" s="1549"/>
      <c r="U793" s="1549"/>
      <c r="V793" s="1549"/>
      <c r="W793" s="1549"/>
      <c r="X793" s="1549"/>
      <c r="Y793" s="1549"/>
      <c r="Z793" s="1549"/>
    </row>
    <row r="794" spans="1:26" ht="12.75" customHeight="1" x14ac:dyDescent="0.2">
      <c r="A794" s="1549"/>
      <c r="B794" s="1549"/>
      <c r="C794" s="1549"/>
      <c r="D794" s="1558"/>
      <c r="E794" s="1549"/>
      <c r="F794" s="1549"/>
      <c r="G794" s="1549"/>
      <c r="H794" s="1549"/>
      <c r="I794" s="1549"/>
      <c r="J794" s="1549"/>
      <c r="K794" s="1549"/>
      <c r="L794" s="1549"/>
      <c r="M794" s="1549"/>
      <c r="N794" s="1549"/>
      <c r="O794" s="1549"/>
      <c r="P794" s="1549"/>
      <c r="Q794" s="1549"/>
      <c r="R794" s="1549"/>
      <c r="S794" s="1549"/>
      <c r="T794" s="1549"/>
      <c r="U794" s="1549"/>
      <c r="V794" s="1549"/>
      <c r="W794" s="1549"/>
      <c r="X794" s="1549"/>
      <c r="Y794" s="1549"/>
      <c r="Z794" s="1549"/>
    </row>
    <row r="795" spans="1:26" ht="12.75" customHeight="1" x14ac:dyDescent="0.2">
      <c r="A795" s="1549"/>
      <c r="B795" s="1549"/>
      <c r="C795" s="1549"/>
      <c r="D795" s="1558"/>
      <c r="E795" s="1549"/>
      <c r="F795" s="1549"/>
      <c r="G795" s="1549"/>
      <c r="H795" s="1549"/>
      <c r="I795" s="1549"/>
      <c r="J795" s="1549"/>
      <c r="K795" s="1549"/>
      <c r="L795" s="1549"/>
      <c r="M795" s="1549"/>
      <c r="N795" s="1549"/>
      <c r="O795" s="1549"/>
      <c r="P795" s="1549"/>
      <c r="Q795" s="1549"/>
      <c r="R795" s="1549"/>
      <c r="S795" s="1549"/>
      <c r="T795" s="1549"/>
      <c r="U795" s="1549"/>
      <c r="V795" s="1549"/>
      <c r="W795" s="1549"/>
      <c r="X795" s="1549"/>
      <c r="Y795" s="1549"/>
      <c r="Z795" s="1549"/>
    </row>
    <row r="796" spans="1:26" ht="12.75" customHeight="1" x14ac:dyDescent="0.2">
      <c r="A796" s="1549"/>
      <c r="B796" s="1549"/>
      <c r="C796" s="1549"/>
      <c r="D796" s="1558"/>
      <c r="E796" s="1549"/>
      <c r="F796" s="1549"/>
      <c r="G796" s="1549"/>
      <c r="H796" s="1549"/>
      <c r="I796" s="1549"/>
      <c r="J796" s="1549"/>
      <c r="K796" s="1549"/>
      <c r="L796" s="1549"/>
      <c r="M796" s="1549"/>
      <c r="N796" s="1549"/>
      <c r="O796" s="1549"/>
      <c r="P796" s="1549"/>
      <c r="Q796" s="1549"/>
      <c r="R796" s="1549"/>
      <c r="S796" s="1549"/>
      <c r="T796" s="1549"/>
      <c r="U796" s="1549"/>
      <c r="V796" s="1549"/>
      <c r="W796" s="1549"/>
      <c r="X796" s="1549"/>
      <c r="Y796" s="1549"/>
      <c r="Z796" s="1549"/>
    </row>
    <row r="797" spans="1:26" ht="12.75" customHeight="1" x14ac:dyDescent="0.2">
      <c r="A797" s="1549"/>
      <c r="B797" s="1549"/>
      <c r="C797" s="1549"/>
      <c r="D797" s="1558"/>
      <c r="E797" s="1549"/>
      <c r="F797" s="1549"/>
      <c r="G797" s="1549"/>
      <c r="H797" s="1549"/>
      <c r="I797" s="1549"/>
      <c r="J797" s="1549"/>
      <c r="K797" s="1549"/>
      <c r="L797" s="1549"/>
      <c r="M797" s="1549"/>
      <c r="N797" s="1549"/>
      <c r="O797" s="1549"/>
      <c r="P797" s="1549"/>
      <c r="Q797" s="1549"/>
      <c r="R797" s="1549"/>
      <c r="S797" s="1549"/>
      <c r="T797" s="1549"/>
      <c r="U797" s="1549"/>
      <c r="V797" s="1549"/>
      <c r="W797" s="1549"/>
      <c r="X797" s="1549"/>
      <c r="Y797" s="1549"/>
      <c r="Z797" s="1549"/>
    </row>
    <row r="798" spans="1:26" ht="12.75" customHeight="1" x14ac:dyDescent="0.2">
      <c r="A798" s="1549"/>
      <c r="B798" s="1549"/>
      <c r="C798" s="1549"/>
      <c r="D798" s="1558"/>
      <c r="E798" s="1549"/>
      <c r="F798" s="1549"/>
      <c r="G798" s="1549"/>
      <c r="H798" s="1549"/>
      <c r="I798" s="1549"/>
      <c r="J798" s="1549"/>
      <c r="K798" s="1549"/>
      <c r="L798" s="1549"/>
      <c r="M798" s="1549"/>
      <c r="N798" s="1549"/>
      <c r="O798" s="1549"/>
      <c r="P798" s="1549"/>
      <c r="Q798" s="1549"/>
      <c r="R798" s="1549"/>
      <c r="S798" s="1549"/>
      <c r="T798" s="1549"/>
      <c r="U798" s="1549"/>
      <c r="V798" s="1549"/>
      <c r="W798" s="1549"/>
      <c r="X798" s="1549"/>
      <c r="Y798" s="1549"/>
      <c r="Z798" s="1549"/>
    </row>
    <row r="799" spans="1:26" ht="12.75" customHeight="1" x14ac:dyDescent="0.2">
      <c r="A799" s="1549"/>
      <c r="B799" s="1549"/>
      <c r="C799" s="1549"/>
      <c r="D799" s="1558"/>
      <c r="E799" s="1549"/>
      <c r="F799" s="1549"/>
      <c r="G799" s="1549"/>
      <c r="H799" s="1549"/>
      <c r="I799" s="1549"/>
      <c r="J799" s="1549"/>
      <c r="K799" s="1549"/>
      <c r="L799" s="1549"/>
      <c r="M799" s="1549"/>
      <c r="N799" s="1549"/>
      <c r="O799" s="1549"/>
      <c r="P799" s="1549"/>
      <c r="Q799" s="1549"/>
      <c r="R799" s="1549"/>
      <c r="S799" s="1549"/>
      <c r="T799" s="1549"/>
      <c r="U799" s="1549"/>
      <c r="V799" s="1549"/>
      <c r="W799" s="1549"/>
      <c r="X799" s="1549"/>
      <c r="Y799" s="1549"/>
      <c r="Z799" s="1549"/>
    </row>
    <row r="800" spans="1:26" ht="12.75" customHeight="1" x14ac:dyDescent="0.2">
      <c r="A800" s="1549"/>
      <c r="B800" s="1549"/>
      <c r="C800" s="1549"/>
      <c r="D800" s="1558"/>
      <c r="E800" s="1549"/>
      <c r="F800" s="1549"/>
      <c r="G800" s="1549"/>
      <c r="H800" s="1549"/>
      <c r="I800" s="1549"/>
      <c r="J800" s="1549"/>
      <c r="K800" s="1549"/>
      <c r="L800" s="1549"/>
      <c r="M800" s="1549"/>
      <c r="N800" s="1549"/>
      <c r="O800" s="1549"/>
      <c r="P800" s="1549"/>
      <c r="Q800" s="1549"/>
      <c r="R800" s="1549"/>
      <c r="S800" s="1549"/>
      <c r="T800" s="1549"/>
      <c r="U800" s="1549"/>
      <c r="V800" s="1549"/>
      <c r="W800" s="1549"/>
      <c r="X800" s="1549"/>
      <c r="Y800" s="1549"/>
      <c r="Z800" s="1549"/>
    </row>
    <row r="801" spans="1:26" ht="12.75" customHeight="1" x14ac:dyDescent="0.2">
      <c r="A801" s="1549"/>
      <c r="B801" s="1549"/>
      <c r="C801" s="1549"/>
      <c r="D801" s="1558"/>
      <c r="E801" s="1549"/>
      <c r="F801" s="1549"/>
      <c r="G801" s="1549"/>
      <c r="H801" s="1549"/>
      <c r="I801" s="1549"/>
      <c r="J801" s="1549"/>
      <c r="K801" s="1549"/>
      <c r="L801" s="1549"/>
      <c r="M801" s="1549"/>
      <c r="N801" s="1549"/>
      <c r="O801" s="1549"/>
      <c r="P801" s="1549"/>
      <c r="Q801" s="1549"/>
      <c r="R801" s="1549"/>
      <c r="S801" s="1549"/>
      <c r="T801" s="1549"/>
      <c r="U801" s="1549"/>
      <c r="V801" s="1549"/>
      <c r="W801" s="1549"/>
      <c r="X801" s="1549"/>
      <c r="Y801" s="1549"/>
      <c r="Z801" s="1549"/>
    </row>
    <row r="802" spans="1:26" ht="12.75" customHeight="1" x14ac:dyDescent="0.2">
      <c r="A802" s="1549"/>
      <c r="B802" s="1549"/>
      <c r="C802" s="1549"/>
      <c r="D802" s="1558"/>
      <c r="E802" s="1549"/>
      <c r="F802" s="1549"/>
      <c r="G802" s="1549"/>
      <c r="H802" s="1549"/>
      <c r="I802" s="1549"/>
      <c r="J802" s="1549"/>
      <c r="K802" s="1549"/>
      <c r="L802" s="1549"/>
      <c r="M802" s="1549"/>
      <c r="N802" s="1549"/>
      <c r="O802" s="1549"/>
      <c r="P802" s="1549"/>
      <c r="Q802" s="1549"/>
      <c r="R802" s="1549"/>
      <c r="S802" s="1549"/>
      <c r="T802" s="1549"/>
      <c r="U802" s="1549"/>
      <c r="V802" s="1549"/>
      <c r="W802" s="1549"/>
      <c r="X802" s="1549"/>
      <c r="Y802" s="1549"/>
      <c r="Z802" s="1549"/>
    </row>
    <row r="803" spans="1:26" ht="12.75" customHeight="1" x14ac:dyDescent="0.2">
      <c r="A803" s="1549"/>
      <c r="B803" s="1549"/>
      <c r="C803" s="1549"/>
      <c r="D803" s="1558"/>
      <c r="E803" s="1549"/>
      <c r="F803" s="1549"/>
      <c r="G803" s="1549"/>
      <c r="H803" s="1549"/>
      <c r="I803" s="1549"/>
      <c r="J803" s="1549"/>
      <c r="K803" s="1549"/>
      <c r="L803" s="1549"/>
      <c r="M803" s="1549"/>
      <c r="N803" s="1549"/>
      <c r="O803" s="1549"/>
      <c r="P803" s="1549"/>
      <c r="Q803" s="1549"/>
      <c r="R803" s="1549"/>
      <c r="S803" s="1549"/>
      <c r="T803" s="1549"/>
      <c r="U803" s="1549"/>
      <c r="V803" s="1549"/>
      <c r="W803" s="1549"/>
      <c r="X803" s="1549"/>
      <c r="Y803" s="1549"/>
      <c r="Z803" s="1549"/>
    </row>
    <row r="804" spans="1:26" ht="12.75" customHeight="1" x14ac:dyDescent="0.2">
      <c r="A804" s="1549"/>
      <c r="B804" s="1549"/>
      <c r="C804" s="1549"/>
      <c r="D804" s="1558"/>
      <c r="E804" s="1549"/>
      <c r="F804" s="1549"/>
      <c r="G804" s="1549"/>
      <c r="H804" s="1549"/>
      <c r="I804" s="1549"/>
      <c r="J804" s="1549"/>
      <c r="K804" s="1549"/>
      <c r="L804" s="1549"/>
      <c r="M804" s="1549"/>
      <c r="N804" s="1549"/>
      <c r="O804" s="1549"/>
      <c r="P804" s="1549"/>
      <c r="Q804" s="1549"/>
      <c r="R804" s="1549"/>
      <c r="S804" s="1549"/>
      <c r="T804" s="1549"/>
      <c r="U804" s="1549"/>
      <c r="V804" s="1549"/>
      <c r="W804" s="1549"/>
      <c r="X804" s="1549"/>
      <c r="Y804" s="1549"/>
      <c r="Z804" s="1549"/>
    </row>
    <row r="805" spans="1:26" ht="12.75" customHeight="1" x14ac:dyDescent="0.2">
      <c r="A805" s="1549"/>
      <c r="B805" s="1549"/>
      <c r="C805" s="1549"/>
      <c r="D805" s="1558"/>
      <c r="E805" s="1549"/>
      <c r="F805" s="1549"/>
      <c r="G805" s="1549"/>
      <c r="H805" s="1549"/>
      <c r="I805" s="1549"/>
      <c r="J805" s="1549"/>
      <c r="K805" s="1549"/>
      <c r="L805" s="1549"/>
      <c r="M805" s="1549"/>
      <c r="N805" s="1549"/>
      <c r="O805" s="1549"/>
      <c r="P805" s="1549"/>
      <c r="Q805" s="1549"/>
      <c r="R805" s="1549"/>
      <c r="S805" s="1549"/>
      <c r="T805" s="1549"/>
      <c r="U805" s="1549"/>
      <c r="V805" s="1549"/>
      <c r="W805" s="1549"/>
      <c r="X805" s="1549"/>
      <c r="Y805" s="1549"/>
      <c r="Z805" s="1549"/>
    </row>
    <row r="806" spans="1:26" ht="12.75" customHeight="1" x14ac:dyDescent="0.2">
      <c r="A806" s="1549"/>
      <c r="B806" s="1549"/>
      <c r="C806" s="1549"/>
      <c r="D806" s="1558"/>
      <c r="E806" s="1549"/>
      <c r="F806" s="1549"/>
      <c r="G806" s="1549"/>
      <c r="H806" s="1549"/>
      <c r="I806" s="1549"/>
      <c r="J806" s="1549"/>
      <c r="K806" s="1549"/>
      <c r="L806" s="1549"/>
      <c r="M806" s="1549"/>
      <c r="N806" s="1549"/>
      <c r="O806" s="1549"/>
      <c r="P806" s="1549"/>
      <c r="Q806" s="1549"/>
      <c r="R806" s="1549"/>
      <c r="S806" s="1549"/>
      <c r="T806" s="1549"/>
      <c r="U806" s="1549"/>
      <c r="V806" s="1549"/>
      <c r="W806" s="1549"/>
      <c r="X806" s="1549"/>
      <c r="Y806" s="1549"/>
      <c r="Z806" s="1549"/>
    </row>
    <row r="807" spans="1:26" ht="12.75" customHeight="1" x14ac:dyDescent="0.2">
      <c r="A807" s="1549"/>
      <c r="B807" s="1549"/>
      <c r="C807" s="1549"/>
      <c r="D807" s="1558"/>
      <c r="E807" s="1549"/>
      <c r="F807" s="1549"/>
      <c r="G807" s="1549"/>
      <c r="H807" s="1549"/>
      <c r="I807" s="1549"/>
      <c r="J807" s="1549"/>
      <c r="K807" s="1549"/>
      <c r="L807" s="1549"/>
      <c r="M807" s="1549"/>
      <c r="N807" s="1549"/>
      <c r="O807" s="1549"/>
      <c r="P807" s="1549"/>
      <c r="Q807" s="1549"/>
      <c r="R807" s="1549"/>
      <c r="S807" s="1549"/>
      <c r="T807" s="1549"/>
      <c r="U807" s="1549"/>
      <c r="V807" s="1549"/>
      <c r="W807" s="1549"/>
      <c r="X807" s="1549"/>
      <c r="Y807" s="1549"/>
      <c r="Z807" s="1549"/>
    </row>
    <row r="808" spans="1:26" ht="12.75" customHeight="1" x14ac:dyDescent="0.2">
      <c r="A808" s="1549"/>
      <c r="B808" s="1549"/>
      <c r="C808" s="1549"/>
      <c r="D808" s="1558"/>
      <c r="E808" s="1549"/>
      <c r="F808" s="1549"/>
      <c r="G808" s="1549"/>
      <c r="H808" s="1549"/>
      <c r="I808" s="1549"/>
      <c r="J808" s="1549"/>
      <c r="K808" s="1549"/>
      <c r="L808" s="1549"/>
      <c r="M808" s="1549"/>
      <c r="N808" s="1549"/>
      <c r="O808" s="1549"/>
      <c r="P808" s="1549"/>
      <c r="Q808" s="1549"/>
      <c r="R808" s="1549"/>
      <c r="S808" s="1549"/>
      <c r="T808" s="1549"/>
      <c r="U808" s="1549"/>
      <c r="V808" s="1549"/>
      <c r="W808" s="1549"/>
      <c r="X808" s="1549"/>
      <c r="Y808" s="1549"/>
      <c r="Z808" s="1549"/>
    </row>
    <row r="809" spans="1:26" ht="12.75" customHeight="1" x14ac:dyDescent="0.2">
      <c r="A809" s="1549"/>
      <c r="B809" s="1549"/>
      <c r="C809" s="1549"/>
      <c r="D809" s="1558"/>
      <c r="E809" s="1549"/>
      <c r="F809" s="1549"/>
      <c r="G809" s="1549"/>
      <c r="H809" s="1549"/>
      <c r="I809" s="1549"/>
      <c r="J809" s="1549"/>
      <c r="K809" s="1549"/>
      <c r="L809" s="1549"/>
      <c r="M809" s="1549"/>
      <c r="N809" s="1549"/>
      <c r="O809" s="1549"/>
      <c r="P809" s="1549"/>
      <c r="Q809" s="1549"/>
      <c r="R809" s="1549"/>
      <c r="S809" s="1549"/>
      <c r="T809" s="1549"/>
      <c r="U809" s="1549"/>
      <c r="V809" s="1549"/>
      <c r="W809" s="1549"/>
      <c r="X809" s="1549"/>
      <c r="Y809" s="1549"/>
      <c r="Z809" s="1549"/>
    </row>
    <row r="810" spans="1:26" ht="12.75" customHeight="1" x14ac:dyDescent="0.2">
      <c r="A810" s="1549"/>
      <c r="B810" s="1549"/>
      <c r="C810" s="1549"/>
      <c r="D810" s="1558"/>
      <c r="E810" s="1549"/>
      <c r="F810" s="1549"/>
      <c r="G810" s="1549"/>
      <c r="H810" s="1549"/>
      <c r="I810" s="1549"/>
      <c r="J810" s="1549"/>
      <c r="K810" s="1549"/>
      <c r="L810" s="1549"/>
      <c r="M810" s="1549"/>
      <c r="N810" s="1549"/>
      <c r="O810" s="1549"/>
      <c r="P810" s="1549"/>
      <c r="Q810" s="1549"/>
      <c r="R810" s="1549"/>
      <c r="S810" s="1549"/>
      <c r="T810" s="1549"/>
      <c r="U810" s="1549"/>
      <c r="V810" s="1549"/>
      <c r="W810" s="1549"/>
      <c r="X810" s="1549"/>
      <c r="Y810" s="1549"/>
      <c r="Z810" s="1549"/>
    </row>
    <row r="811" spans="1:26" ht="12.75" customHeight="1" x14ac:dyDescent="0.2">
      <c r="A811" s="1549"/>
      <c r="B811" s="1549"/>
      <c r="C811" s="1549"/>
      <c r="D811" s="1558"/>
      <c r="E811" s="1549"/>
      <c r="F811" s="1549"/>
      <c r="G811" s="1549"/>
      <c r="H811" s="1549"/>
      <c r="I811" s="1549"/>
      <c r="J811" s="1549"/>
      <c r="K811" s="1549"/>
      <c r="L811" s="1549"/>
      <c r="M811" s="1549"/>
      <c r="N811" s="1549"/>
      <c r="O811" s="1549"/>
      <c r="P811" s="1549"/>
      <c r="Q811" s="1549"/>
      <c r="R811" s="1549"/>
      <c r="S811" s="1549"/>
      <c r="T811" s="1549"/>
      <c r="U811" s="1549"/>
      <c r="V811" s="1549"/>
      <c r="W811" s="1549"/>
      <c r="X811" s="1549"/>
      <c r="Y811" s="1549"/>
      <c r="Z811" s="1549"/>
    </row>
    <row r="812" spans="1:26" ht="12.75" customHeight="1" x14ac:dyDescent="0.2">
      <c r="A812" s="1549"/>
      <c r="B812" s="1549"/>
      <c r="C812" s="1549"/>
      <c r="D812" s="1558"/>
      <c r="E812" s="1549"/>
      <c r="F812" s="1549"/>
      <c r="G812" s="1549"/>
      <c r="H812" s="1549"/>
      <c r="I812" s="1549"/>
      <c r="J812" s="1549"/>
      <c r="K812" s="1549"/>
      <c r="L812" s="1549"/>
      <c r="M812" s="1549"/>
      <c r="N812" s="1549"/>
      <c r="O812" s="1549"/>
      <c r="P812" s="1549"/>
      <c r="Q812" s="1549"/>
      <c r="R812" s="1549"/>
      <c r="S812" s="1549"/>
      <c r="T812" s="1549"/>
      <c r="U812" s="1549"/>
      <c r="V812" s="1549"/>
      <c r="W812" s="1549"/>
      <c r="X812" s="1549"/>
      <c r="Y812" s="1549"/>
      <c r="Z812" s="1549"/>
    </row>
    <row r="813" spans="1:26" ht="12.75" customHeight="1" x14ac:dyDescent="0.2">
      <c r="A813" s="1549"/>
      <c r="B813" s="1549"/>
      <c r="C813" s="1549"/>
      <c r="D813" s="1558"/>
      <c r="E813" s="1549"/>
      <c r="F813" s="1549"/>
      <c r="G813" s="1549"/>
      <c r="H813" s="1549"/>
      <c r="I813" s="1549"/>
      <c r="J813" s="1549"/>
      <c r="K813" s="1549"/>
      <c r="L813" s="1549"/>
      <c r="M813" s="1549"/>
      <c r="N813" s="1549"/>
      <c r="O813" s="1549"/>
      <c r="P813" s="1549"/>
      <c r="Q813" s="1549"/>
      <c r="R813" s="1549"/>
      <c r="S813" s="1549"/>
      <c r="T813" s="1549"/>
      <c r="U813" s="1549"/>
      <c r="V813" s="1549"/>
      <c r="W813" s="1549"/>
      <c r="X813" s="1549"/>
      <c r="Y813" s="1549"/>
      <c r="Z813" s="1549"/>
    </row>
    <row r="814" spans="1:26" ht="12.75" customHeight="1" x14ac:dyDescent="0.2">
      <c r="A814" s="1549"/>
      <c r="B814" s="1549"/>
      <c r="C814" s="1549"/>
      <c r="D814" s="1558"/>
      <c r="E814" s="1549"/>
      <c r="F814" s="1549"/>
      <c r="G814" s="1549"/>
      <c r="H814" s="1549"/>
      <c r="I814" s="1549"/>
      <c r="J814" s="1549"/>
      <c r="K814" s="1549"/>
      <c r="L814" s="1549"/>
      <c r="M814" s="1549"/>
      <c r="N814" s="1549"/>
      <c r="O814" s="1549"/>
      <c r="P814" s="1549"/>
      <c r="Q814" s="1549"/>
      <c r="R814" s="1549"/>
      <c r="S814" s="1549"/>
      <c r="T814" s="1549"/>
      <c r="U814" s="1549"/>
      <c r="V814" s="1549"/>
      <c r="W814" s="1549"/>
      <c r="X814" s="1549"/>
      <c r="Y814" s="1549"/>
      <c r="Z814" s="1549"/>
    </row>
    <row r="815" spans="1:26" ht="12.75" customHeight="1" x14ac:dyDescent="0.2">
      <c r="A815" s="1549"/>
      <c r="B815" s="1549"/>
      <c r="C815" s="1549"/>
      <c r="D815" s="1558"/>
      <c r="E815" s="1549"/>
      <c r="F815" s="1549"/>
      <c r="G815" s="1549"/>
      <c r="H815" s="1549"/>
      <c r="I815" s="1549"/>
      <c r="J815" s="1549"/>
      <c r="K815" s="1549"/>
      <c r="L815" s="1549"/>
      <c r="M815" s="1549"/>
      <c r="N815" s="1549"/>
      <c r="O815" s="1549"/>
      <c r="P815" s="1549"/>
      <c r="Q815" s="1549"/>
      <c r="R815" s="1549"/>
      <c r="S815" s="1549"/>
      <c r="T815" s="1549"/>
      <c r="U815" s="1549"/>
      <c r="V815" s="1549"/>
      <c r="W815" s="1549"/>
      <c r="X815" s="1549"/>
      <c r="Y815" s="1549"/>
      <c r="Z815" s="1549"/>
    </row>
    <row r="816" spans="1:26" ht="12.75" customHeight="1" x14ac:dyDescent="0.2">
      <c r="A816" s="1549"/>
      <c r="B816" s="1549"/>
      <c r="C816" s="1549"/>
      <c r="D816" s="1558"/>
      <c r="E816" s="1549"/>
      <c r="F816" s="1549"/>
      <c r="G816" s="1549"/>
      <c r="H816" s="1549"/>
      <c r="I816" s="1549"/>
      <c r="J816" s="1549"/>
      <c r="K816" s="1549"/>
      <c r="L816" s="1549"/>
      <c r="M816" s="1549"/>
      <c r="N816" s="1549"/>
      <c r="O816" s="1549"/>
      <c r="P816" s="1549"/>
      <c r="Q816" s="1549"/>
      <c r="R816" s="1549"/>
      <c r="S816" s="1549"/>
      <c r="T816" s="1549"/>
      <c r="U816" s="1549"/>
      <c r="V816" s="1549"/>
      <c r="W816" s="1549"/>
      <c r="X816" s="1549"/>
      <c r="Y816" s="1549"/>
      <c r="Z816" s="1549"/>
    </row>
    <row r="817" spans="1:26" ht="12.75" customHeight="1" x14ac:dyDescent="0.2">
      <c r="A817" s="1549"/>
      <c r="B817" s="1549"/>
      <c r="C817" s="1549"/>
      <c r="D817" s="1558"/>
      <c r="E817" s="1549"/>
      <c r="F817" s="1549"/>
      <c r="G817" s="1549"/>
      <c r="H817" s="1549"/>
      <c r="I817" s="1549"/>
      <c r="J817" s="1549"/>
      <c r="K817" s="1549"/>
      <c r="L817" s="1549"/>
      <c r="M817" s="1549"/>
      <c r="N817" s="1549"/>
      <c r="O817" s="1549"/>
      <c r="P817" s="1549"/>
      <c r="Q817" s="1549"/>
      <c r="R817" s="1549"/>
      <c r="S817" s="1549"/>
      <c r="T817" s="1549"/>
      <c r="U817" s="1549"/>
      <c r="V817" s="1549"/>
      <c r="W817" s="1549"/>
      <c r="X817" s="1549"/>
      <c r="Y817" s="1549"/>
      <c r="Z817" s="1549"/>
    </row>
    <row r="818" spans="1:26" ht="12.75" customHeight="1" x14ac:dyDescent="0.2">
      <c r="A818" s="1549"/>
      <c r="B818" s="1549"/>
      <c r="C818" s="1549"/>
      <c r="D818" s="1558"/>
      <c r="E818" s="1549"/>
      <c r="F818" s="1549"/>
      <c r="G818" s="1549"/>
      <c r="H818" s="1549"/>
      <c r="I818" s="1549"/>
      <c r="J818" s="1549"/>
      <c r="K818" s="1549"/>
      <c r="L818" s="1549"/>
      <c r="M818" s="1549"/>
      <c r="N818" s="1549"/>
      <c r="O818" s="1549"/>
      <c r="P818" s="1549"/>
      <c r="Q818" s="1549"/>
      <c r="R818" s="1549"/>
      <c r="S818" s="1549"/>
      <c r="T818" s="1549"/>
      <c r="U818" s="1549"/>
      <c r="V818" s="1549"/>
      <c r="W818" s="1549"/>
      <c r="X818" s="1549"/>
      <c r="Y818" s="1549"/>
      <c r="Z818" s="1549"/>
    </row>
    <row r="819" spans="1:26" ht="12.75" customHeight="1" x14ac:dyDescent="0.2">
      <c r="A819" s="1549"/>
      <c r="B819" s="1549"/>
      <c r="C819" s="1549"/>
      <c r="D819" s="1558"/>
      <c r="E819" s="1549"/>
      <c r="F819" s="1549"/>
      <c r="G819" s="1549"/>
      <c r="H819" s="1549"/>
      <c r="I819" s="1549"/>
      <c r="J819" s="1549"/>
      <c r="K819" s="1549"/>
      <c r="L819" s="1549"/>
      <c r="M819" s="1549"/>
      <c r="N819" s="1549"/>
      <c r="O819" s="1549"/>
      <c r="P819" s="1549"/>
      <c r="Q819" s="1549"/>
      <c r="R819" s="1549"/>
      <c r="S819" s="1549"/>
      <c r="T819" s="1549"/>
      <c r="U819" s="1549"/>
      <c r="V819" s="1549"/>
      <c r="W819" s="1549"/>
      <c r="X819" s="1549"/>
      <c r="Y819" s="1549"/>
      <c r="Z819" s="1549"/>
    </row>
    <row r="820" spans="1:26" ht="12.75" customHeight="1" x14ac:dyDescent="0.2">
      <c r="A820" s="1549"/>
      <c r="B820" s="1549"/>
      <c r="C820" s="1549"/>
      <c r="D820" s="1558"/>
      <c r="E820" s="1549"/>
      <c r="F820" s="1549"/>
      <c r="G820" s="1549"/>
      <c r="H820" s="1549"/>
      <c r="I820" s="1549"/>
      <c r="J820" s="1549"/>
      <c r="K820" s="1549"/>
      <c r="L820" s="1549"/>
      <c r="M820" s="1549"/>
      <c r="N820" s="1549"/>
      <c r="O820" s="1549"/>
      <c r="P820" s="1549"/>
      <c r="Q820" s="1549"/>
      <c r="R820" s="1549"/>
      <c r="S820" s="1549"/>
      <c r="T820" s="1549"/>
      <c r="U820" s="1549"/>
      <c r="V820" s="1549"/>
      <c r="W820" s="1549"/>
      <c r="X820" s="1549"/>
      <c r="Y820" s="1549"/>
      <c r="Z820" s="1549"/>
    </row>
    <row r="821" spans="1:26" ht="12.75" customHeight="1" x14ac:dyDescent="0.2">
      <c r="A821" s="1549"/>
      <c r="B821" s="1549"/>
      <c r="C821" s="1549"/>
      <c r="D821" s="1558"/>
      <c r="E821" s="1549"/>
      <c r="F821" s="1549"/>
      <c r="G821" s="1549"/>
      <c r="H821" s="1549"/>
      <c r="I821" s="1549"/>
      <c r="J821" s="1549"/>
      <c r="K821" s="1549"/>
      <c r="L821" s="1549"/>
      <c r="M821" s="1549"/>
      <c r="N821" s="1549"/>
      <c r="O821" s="1549"/>
      <c r="P821" s="1549"/>
      <c r="Q821" s="1549"/>
      <c r="R821" s="1549"/>
      <c r="S821" s="1549"/>
      <c r="T821" s="1549"/>
      <c r="U821" s="1549"/>
      <c r="V821" s="1549"/>
      <c r="W821" s="1549"/>
      <c r="X821" s="1549"/>
      <c r="Y821" s="1549"/>
      <c r="Z821" s="1549"/>
    </row>
    <row r="822" spans="1:26" ht="12.75" customHeight="1" x14ac:dyDescent="0.2">
      <c r="A822" s="1549"/>
      <c r="B822" s="1549"/>
      <c r="C822" s="1549"/>
      <c r="D822" s="1558"/>
      <c r="E822" s="1549"/>
      <c r="F822" s="1549"/>
      <c r="G822" s="1549"/>
      <c r="H822" s="1549"/>
      <c r="I822" s="1549"/>
      <c r="J822" s="1549"/>
      <c r="K822" s="1549"/>
      <c r="L822" s="1549"/>
      <c r="M822" s="1549"/>
      <c r="N822" s="1549"/>
      <c r="O822" s="1549"/>
      <c r="P822" s="1549"/>
      <c r="Q822" s="1549"/>
      <c r="R822" s="1549"/>
      <c r="S822" s="1549"/>
      <c r="T822" s="1549"/>
      <c r="U822" s="1549"/>
      <c r="V822" s="1549"/>
      <c r="W822" s="1549"/>
      <c r="X822" s="1549"/>
      <c r="Y822" s="1549"/>
      <c r="Z822" s="1549"/>
    </row>
    <row r="823" spans="1:26" ht="12.75" customHeight="1" x14ac:dyDescent="0.2">
      <c r="A823" s="1549"/>
      <c r="B823" s="1549"/>
      <c r="C823" s="1549"/>
      <c r="D823" s="1558"/>
      <c r="E823" s="1549"/>
      <c r="F823" s="1549"/>
      <c r="G823" s="1549"/>
      <c r="H823" s="1549"/>
      <c r="I823" s="1549"/>
      <c r="J823" s="1549"/>
      <c r="K823" s="1549"/>
      <c r="L823" s="1549"/>
      <c r="M823" s="1549"/>
      <c r="N823" s="1549"/>
      <c r="O823" s="1549"/>
      <c r="P823" s="1549"/>
      <c r="Q823" s="1549"/>
      <c r="R823" s="1549"/>
      <c r="S823" s="1549"/>
      <c r="T823" s="1549"/>
      <c r="U823" s="1549"/>
      <c r="V823" s="1549"/>
      <c r="W823" s="1549"/>
      <c r="X823" s="1549"/>
      <c r="Y823" s="1549"/>
      <c r="Z823" s="1549"/>
    </row>
    <row r="824" spans="1:26" ht="12.75" customHeight="1" x14ac:dyDescent="0.2">
      <c r="A824" s="1549"/>
      <c r="B824" s="1549"/>
      <c r="C824" s="1549"/>
      <c r="D824" s="1558"/>
      <c r="E824" s="1549"/>
      <c r="F824" s="1549"/>
      <c r="G824" s="1549"/>
      <c r="H824" s="1549"/>
      <c r="I824" s="1549"/>
      <c r="J824" s="1549"/>
      <c r="K824" s="1549"/>
      <c r="L824" s="1549"/>
      <c r="M824" s="1549"/>
      <c r="N824" s="1549"/>
      <c r="O824" s="1549"/>
      <c r="P824" s="1549"/>
      <c r="Q824" s="1549"/>
      <c r="R824" s="1549"/>
      <c r="S824" s="1549"/>
      <c r="T824" s="1549"/>
      <c r="U824" s="1549"/>
      <c r="V824" s="1549"/>
      <c r="W824" s="1549"/>
      <c r="X824" s="1549"/>
      <c r="Y824" s="1549"/>
      <c r="Z824" s="1549"/>
    </row>
    <row r="825" spans="1:26" ht="12.75" customHeight="1" x14ac:dyDescent="0.2">
      <c r="A825" s="1549"/>
      <c r="B825" s="1549"/>
      <c r="C825" s="1549"/>
      <c r="D825" s="1558"/>
      <c r="E825" s="1549"/>
      <c r="F825" s="1549"/>
      <c r="G825" s="1549"/>
      <c r="H825" s="1549"/>
      <c r="I825" s="1549"/>
      <c r="J825" s="1549"/>
      <c r="K825" s="1549"/>
      <c r="L825" s="1549"/>
      <c r="M825" s="1549"/>
      <c r="N825" s="1549"/>
      <c r="O825" s="1549"/>
      <c r="P825" s="1549"/>
      <c r="Q825" s="1549"/>
      <c r="R825" s="1549"/>
      <c r="S825" s="1549"/>
      <c r="T825" s="1549"/>
      <c r="U825" s="1549"/>
      <c r="V825" s="1549"/>
      <c r="W825" s="1549"/>
      <c r="X825" s="1549"/>
      <c r="Y825" s="1549"/>
      <c r="Z825" s="1549"/>
    </row>
    <row r="826" spans="1:26" ht="12.75" customHeight="1" x14ac:dyDescent="0.2">
      <c r="A826" s="1549"/>
      <c r="B826" s="1549"/>
      <c r="C826" s="1549"/>
      <c r="D826" s="1558"/>
      <c r="E826" s="1549"/>
      <c r="F826" s="1549"/>
      <c r="G826" s="1549"/>
      <c r="H826" s="1549"/>
      <c r="I826" s="1549"/>
      <c r="J826" s="1549"/>
      <c r="K826" s="1549"/>
      <c r="L826" s="1549"/>
      <c r="M826" s="1549"/>
      <c r="N826" s="1549"/>
      <c r="O826" s="1549"/>
      <c r="P826" s="1549"/>
      <c r="Q826" s="1549"/>
      <c r="R826" s="1549"/>
      <c r="S826" s="1549"/>
      <c r="T826" s="1549"/>
      <c r="U826" s="1549"/>
      <c r="V826" s="1549"/>
      <c r="W826" s="1549"/>
      <c r="X826" s="1549"/>
      <c r="Y826" s="1549"/>
      <c r="Z826" s="1549"/>
    </row>
    <row r="827" spans="1:26" ht="12.75" customHeight="1" x14ac:dyDescent="0.2">
      <c r="A827" s="1549"/>
      <c r="B827" s="1549"/>
      <c r="C827" s="1549"/>
      <c r="D827" s="1558"/>
      <c r="E827" s="1549"/>
      <c r="F827" s="1549"/>
      <c r="G827" s="1549"/>
      <c r="H827" s="1549"/>
      <c r="I827" s="1549"/>
      <c r="J827" s="1549"/>
      <c r="K827" s="1549"/>
      <c r="L827" s="1549"/>
      <c r="M827" s="1549"/>
      <c r="N827" s="1549"/>
      <c r="O827" s="1549"/>
      <c r="P827" s="1549"/>
      <c r="Q827" s="1549"/>
      <c r="R827" s="1549"/>
      <c r="S827" s="1549"/>
      <c r="T827" s="1549"/>
      <c r="U827" s="1549"/>
      <c r="V827" s="1549"/>
      <c r="W827" s="1549"/>
      <c r="X827" s="1549"/>
      <c r="Y827" s="1549"/>
      <c r="Z827" s="1549"/>
    </row>
    <row r="828" spans="1:26" ht="12.75" customHeight="1" x14ac:dyDescent="0.2">
      <c r="A828" s="1549"/>
      <c r="B828" s="1549"/>
      <c r="C828" s="1549"/>
      <c r="D828" s="1558"/>
      <c r="E828" s="1549"/>
      <c r="F828" s="1549"/>
      <c r="G828" s="1549"/>
      <c r="H828" s="1549"/>
      <c r="I828" s="1549"/>
      <c r="J828" s="1549"/>
      <c r="K828" s="1549"/>
      <c r="L828" s="1549"/>
      <c r="M828" s="1549"/>
      <c r="N828" s="1549"/>
      <c r="O828" s="1549"/>
      <c r="P828" s="1549"/>
      <c r="Q828" s="1549"/>
      <c r="R828" s="1549"/>
      <c r="S828" s="1549"/>
      <c r="T828" s="1549"/>
      <c r="U828" s="1549"/>
      <c r="V828" s="1549"/>
      <c r="W828" s="1549"/>
      <c r="X828" s="1549"/>
      <c r="Y828" s="1549"/>
      <c r="Z828" s="1549"/>
    </row>
    <row r="829" spans="1:26" ht="12.75" customHeight="1" x14ac:dyDescent="0.2">
      <c r="A829" s="1549"/>
      <c r="B829" s="1549"/>
      <c r="C829" s="1549"/>
      <c r="D829" s="1558"/>
      <c r="E829" s="1549"/>
      <c r="F829" s="1549"/>
      <c r="G829" s="1549"/>
      <c r="H829" s="1549"/>
      <c r="I829" s="1549"/>
      <c r="J829" s="1549"/>
      <c r="K829" s="1549"/>
      <c r="L829" s="1549"/>
      <c r="M829" s="1549"/>
      <c r="N829" s="1549"/>
      <c r="O829" s="1549"/>
      <c r="P829" s="1549"/>
      <c r="Q829" s="1549"/>
      <c r="R829" s="1549"/>
      <c r="S829" s="1549"/>
      <c r="T829" s="1549"/>
      <c r="U829" s="1549"/>
      <c r="V829" s="1549"/>
      <c r="W829" s="1549"/>
      <c r="X829" s="1549"/>
      <c r="Y829" s="1549"/>
      <c r="Z829" s="1549"/>
    </row>
    <row r="830" spans="1:26" ht="12.75" customHeight="1" x14ac:dyDescent="0.2">
      <c r="A830" s="1549"/>
      <c r="B830" s="1549"/>
      <c r="C830" s="1549"/>
      <c r="D830" s="1558"/>
      <c r="E830" s="1549"/>
      <c r="F830" s="1549"/>
      <c r="G830" s="1549"/>
      <c r="H830" s="1549"/>
      <c r="I830" s="1549"/>
      <c r="J830" s="1549"/>
      <c r="K830" s="1549"/>
      <c r="L830" s="1549"/>
      <c r="M830" s="1549"/>
      <c r="N830" s="1549"/>
      <c r="O830" s="1549"/>
      <c r="P830" s="1549"/>
      <c r="Q830" s="1549"/>
      <c r="R830" s="1549"/>
      <c r="S830" s="1549"/>
      <c r="T830" s="1549"/>
      <c r="U830" s="1549"/>
      <c r="V830" s="1549"/>
      <c r="W830" s="1549"/>
      <c r="X830" s="1549"/>
      <c r="Y830" s="1549"/>
      <c r="Z830" s="1549"/>
    </row>
    <row r="831" spans="1:26" ht="12.75" customHeight="1" x14ac:dyDescent="0.2">
      <c r="A831" s="1549"/>
      <c r="B831" s="1549"/>
      <c r="C831" s="1549"/>
      <c r="D831" s="1558"/>
      <c r="E831" s="1549"/>
      <c r="F831" s="1549"/>
      <c r="G831" s="1549"/>
      <c r="H831" s="1549"/>
      <c r="I831" s="1549"/>
      <c r="J831" s="1549"/>
      <c r="K831" s="1549"/>
      <c r="L831" s="1549"/>
      <c r="M831" s="1549"/>
      <c r="N831" s="1549"/>
      <c r="O831" s="1549"/>
      <c r="P831" s="1549"/>
      <c r="Q831" s="1549"/>
      <c r="R831" s="1549"/>
      <c r="S831" s="1549"/>
      <c r="T831" s="1549"/>
      <c r="U831" s="1549"/>
      <c r="V831" s="1549"/>
      <c r="W831" s="1549"/>
      <c r="X831" s="1549"/>
      <c r="Y831" s="1549"/>
      <c r="Z831" s="1549"/>
    </row>
    <row r="832" spans="1:26" ht="12.75" customHeight="1" x14ac:dyDescent="0.2">
      <c r="A832" s="1549"/>
      <c r="B832" s="1549"/>
      <c r="C832" s="1549"/>
      <c r="D832" s="1558"/>
      <c r="E832" s="1549"/>
      <c r="F832" s="1549"/>
      <c r="G832" s="1549"/>
      <c r="H832" s="1549"/>
      <c r="I832" s="1549"/>
      <c r="J832" s="1549"/>
      <c r="K832" s="1549"/>
      <c r="L832" s="1549"/>
      <c r="M832" s="1549"/>
      <c r="N832" s="1549"/>
      <c r="O832" s="1549"/>
      <c r="P832" s="1549"/>
      <c r="Q832" s="1549"/>
      <c r="R832" s="1549"/>
      <c r="S832" s="1549"/>
      <c r="T832" s="1549"/>
      <c r="U832" s="1549"/>
      <c r="V832" s="1549"/>
      <c r="W832" s="1549"/>
      <c r="X832" s="1549"/>
      <c r="Y832" s="1549"/>
      <c r="Z832" s="1549"/>
    </row>
    <row r="833" spans="1:26" ht="12.75" customHeight="1" x14ac:dyDescent="0.2">
      <c r="A833" s="1549"/>
      <c r="B833" s="1549"/>
      <c r="C833" s="1549"/>
      <c r="D833" s="1558"/>
      <c r="E833" s="1549"/>
      <c r="F833" s="1549"/>
      <c r="G833" s="1549"/>
      <c r="H833" s="1549"/>
      <c r="I833" s="1549"/>
      <c r="J833" s="1549"/>
      <c r="K833" s="1549"/>
      <c r="L833" s="1549"/>
      <c r="M833" s="1549"/>
      <c r="N833" s="1549"/>
      <c r="O833" s="1549"/>
      <c r="P833" s="1549"/>
      <c r="Q833" s="1549"/>
      <c r="R833" s="1549"/>
      <c r="S833" s="1549"/>
      <c r="T833" s="1549"/>
      <c r="U833" s="1549"/>
      <c r="V833" s="1549"/>
      <c r="W833" s="1549"/>
      <c r="X833" s="1549"/>
      <c r="Y833" s="1549"/>
      <c r="Z833" s="1549"/>
    </row>
    <row r="834" spans="1:26" ht="12.75" customHeight="1" x14ac:dyDescent="0.2">
      <c r="A834" s="1549"/>
      <c r="B834" s="1549"/>
      <c r="C834" s="1549"/>
      <c r="D834" s="1558"/>
      <c r="E834" s="1549"/>
      <c r="F834" s="1549"/>
      <c r="G834" s="1549"/>
      <c r="H834" s="1549"/>
      <c r="I834" s="1549"/>
      <c r="J834" s="1549"/>
      <c r="K834" s="1549"/>
      <c r="L834" s="1549"/>
      <c r="M834" s="1549"/>
      <c r="N834" s="1549"/>
      <c r="O834" s="1549"/>
      <c r="P834" s="1549"/>
      <c r="Q834" s="1549"/>
      <c r="R834" s="1549"/>
      <c r="S834" s="1549"/>
      <c r="T834" s="1549"/>
      <c r="U834" s="1549"/>
      <c r="V834" s="1549"/>
      <c r="W834" s="1549"/>
      <c r="X834" s="1549"/>
      <c r="Y834" s="1549"/>
      <c r="Z834" s="1549"/>
    </row>
    <row r="835" spans="1:26" ht="12.75" customHeight="1" x14ac:dyDescent="0.2">
      <c r="A835" s="1549"/>
      <c r="B835" s="1549"/>
      <c r="C835" s="1549"/>
      <c r="D835" s="1558"/>
      <c r="E835" s="1549"/>
      <c r="F835" s="1549"/>
      <c r="G835" s="1549"/>
      <c r="H835" s="1549"/>
      <c r="I835" s="1549"/>
      <c r="J835" s="1549"/>
      <c r="K835" s="1549"/>
      <c r="L835" s="1549"/>
      <c r="M835" s="1549"/>
      <c r="N835" s="1549"/>
      <c r="O835" s="1549"/>
      <c r="P835" s="1549"/>
      <c r="Q835" s="1549"/>
      <c r="R835" s="1549"/>
      <c r="S835" s="1549"/>
      <c r="T835" s="1549"/>
      <c r="U835" s="1549"/>
      <c r="V835" s="1549"/>
      <c r="W835" s="1549"/>
      <c r="X835" s="1549"/>
      <c r="Y835" s="1549"/>
      <c r="Z835" s="1549"/>
    </row>
    <row r="836" spans="1:26" ht="12.75" customHeight="1" x14ac:dyDescent="0.2">
      <c r="A836" s="1549"/>
      <c r="B836" s="1549"/>
      <c r="C836" s="1549"/>
      <c r="D836" s="1558"/>
      <c r="E836" s="1549"/>
      <c r="F836" s="1549"/>
      <c r="G836" s="1549"/>
      <c r="H836" s="1549"/>
      <c r="I836" s="1549"/>
      <c r="J836" s="1549"/>
      <c r="K836" s="1549"/>
      <c r="L836" s="1549"/>
      <c r="M836" s="1549"/>
      <c r="N836" s="1549"/>
      <c r="O836" s="1549"/>
      <c r="P836" s="1549"/>
      <c r="Q836" s="1549"/>
      <c r="R836" s="1549"/>
      <c r="S836" s="1549"/>
      <c r="T836" s="1549"/>
      <c r="U836" s="1549"/>
      <c r="V836" s="1549"/>
      <c r="W836" s="1549"/>
      <c r="X836" s="1549"/>
      <c r="Y836" s="1549"/>
      <c r="Z836" s="1549"/>
    </row>
    <row r="837" spans="1:26" ht="12.75" customHeight="1" x14ac:dyDescent="0.2">
      <c r="A837" s="1549"/>
      <c r="B837" s="1549"/>
      <c r="C837" s="1549"/>
      <c r="D837" s="1558"/>
      <c r="E837" s="1549"/>
      <c r="F837" s="1549"/>
      <c r="G837" s="1549"/>
      <c r="H837" s="1549"/>
      <c r="I837" s="1549"/>
      <c r="J837" s="1549"/>
      <c r="K837" s="1549"/>
      <c r="L837" s="1549"/>
      <c r="M837" s="1549"/>
      <c r="N837" s="1549"/>
      <c r="O837" s="1549"/>
      <c r="P837" s="1549"/>
      <c r="Q837" s="1549"/>
      <c r="R837" s="1549"/>
      <c r="S837" s="1549"/>
      <c r="T837" s="1549"/>
      <c r="U837" s="1549"/>
      <c r="V837" s="1549"/>
      <c r="W837" s="1549"/>
      <c r="X837" s="1549"/>
      <c r="Y837" s="1549"/>
      <c r="Z837" s="1549"/>
    </row>
    <row r="838" spans="1:26" ht="12.75" customHeight="1" x14ac:dyDescent="0.2">
      <c r="A838" s="1549"/>
      <c r="B838" s="1549"/>
      <c r="C838" s="1549"/>
      <c r="D838" s="1558"/>
      <c r="E838" s="1549"/>
      <c r="F838" s="1549"/>
      <c r="G838" s="1549"/>
      <c r="H838" s="1549"/>
      <c r="I838" s="1549"/>
      <c r="J838" s="1549"/>
      <c r="K838" s="1549"/>
      <c r="L838" s="1549"/>
      <c r="M838" s="1549"/>
      <c r="N838" s="1549"/>
      <c r="O838" s="1549"/>
      <c r="P838" s="1549"/>
      <c r="Q838" s="1549"/>
      <c r="R838" s="1549"/>
      <c r="S838" s="1549"/>
      <c r="T838" s="1549"/>
      <c r="U838" s="1549"/>
      <c r="V838" s="1549"/>
      <c r="W838" s="1549"/>
      <c r="X838" s="1549"/>
      <c r="Y838" s="1549"/>
      <c r="Z838" s="1549"/>
    </row>
    <row r="839" spans="1:26" ht="12.75" customHeight="1" x14ac:dyDescent="0.2">
      <c r="A839" s="1549"/>
      <c r="B839" s="1549"/>
      <c r="C839" s="1549"/>
      <c r="D839" s="1558"/>
      <c r="E839" s="1549"/>
      <c r="F839" s="1549"/>
      <c r="G839" s="1549"/>
      <c r="H839" s="1549"/>
      <c r="I839" s="1549"/>
      <c r="J839" s="1549"/>
      <c r="K839" s="1549"/>
      <c r="L839" s="1549"/>
      <c r="M839" s="1549"/>
      <c r="N839" s="1549"/>
      <c r="O839" s="1549"/>
      <c r="P839" s="1549"/>
      <c r="Q839" s="1549"/>
      <c r="R839" s="1549"/>
      <c r="S839" s="1549"/>
      <c r="T839" s="1549"/>
      <c r="U839" s="1549"/>
      <c r="V839" s="1549"/>
      <c r="W839" s="1549"/>
      <c r="X839" s="1549"/>
      <c r="Y839" s="1549"/>
      <c r="Z839" s="1549"/>
    </row>
    <row r="840" spans="1:26" ht="12.75" customHeight="1" x14ac:dyDescent="0.2">
      <c r="A840" s="1549"/>
      <c r="B840" s="1549"/>
      <c r="C840" s="1549"/>
      <c r="D840" s="1558"/>
      <c r="E840" s="1549"/>
      <c r="F840" s="1549"/>
      <c r="G840" s="1549"/>
      <c r="H840" s="1549"/>
      <c r="I840" s="1549"/>
      <c r="J840" s="1549"/>
      <c r="K840" s="1549"/>
      <c r="L840" s="1549"/>
      <c r="M840" s="1549"/>
      <c r="N840" s="1549"/>
      <c r="O840" s="1549"/>
      <c r="P840" s="1549"/>
      <c r="Q840" s="1549"/>
      <c r="R840" s="1549"/>
      <c r="S840" s="1549"/>
      <c r="T840" s="1549"/>
      <c r="U840" s="1549"/>
      <c r="V840" s="1549"/>
      <c r="W840" s="1549"/>
      <c r="X840" s="1549"/>
      <c r="Y840" s="1549"/>
      <c r="Z840" s="1549"/>
    </row>
    <row r="841" spans="1:26" ht="12.75" customHeight="1" x14ac:dyDescent="0.2">
      <c r="A841" s="1549"/>
      <c r="B841" s="1549"/>
      <c r="C841" s="1549"/>
      <c r="D841" s="1558"/>
      <c r="E841" s="1549"/>
      <c r="F841" s="1549"/>
      <c r="G841" s="1549"/>
      <c r="H841" s="1549"/>
      <c r="I841" s="1549"/>
      <c r="J841" s="1549"/>
      <c r="K841" s="1549"/>
      <c r="L841" s="1549"/>
      <c r="M841" s="1549"/>
      <c r="N841" s="1549"/>
      <c r="O841" s="1549"/>
      <c r="P841" s="1549"/>
      <c r="Q841" s="1549"/>
      <c r="R841" s="1549"/>
      <c r="S841" s="1549"/>
      <c r="T841" s="1549"/>
      <c r="U841" s="1549"/>
      <c r="V841" s="1549"/>
      <c r="W841" s="1549"/>
      <c r="X841" s="1549"/>
      <c r="Y841" s="1549"/>
      <c r="Z841" s="1549"/>
    </row>
    <row r="842" spans="1:26" ht="12.75" customHeight="1" x14ac:dyDescent="0.2">
      <c r="A842" s="1549"/>
      <c r="B842" s="1549"/>
      <c r="C842" s="1549"/>
      <c r="D842" s="1558"/>
      <c r="E842" s="1549"/>
      <c r="F842" s="1549"/>
      <c r="G842" s="1549"/>
      <c r="H842" s="1549"/>
      <c r="I842" s="1549"/>
      <c r="J842" s="1549"/>
      <c r="K842" s="1549"/>
      <c r="L842" s="1549"/>
      <c r="M842" s="1549"/>
      <c r="N842" s="1549"/>
      <c r="O842" s="1549"/>
      <c r="P842" s="1549"/>
      <c r="Q842" s="1549"/>
      <c r="R842" s="1549"/>
      <c r="S842" s="1549"/>
      <c r="T842" s="1549"/>
      <c r="U842" s="1549"/>
      <c r="V842" s="1549"/>
      <c r="W842" s="1549"/>
      <c r="X842" s="1549"/>
      <c r="Y842" s="1549"/>
      <c r="Z842" s="1549"/>
    </row>
    <row r="843" spans="1:26" ht="12.75" customHeight="1" x14ac:dyDescent="0.2">
      <c r="A843" s="1549"/>
      <c r="B843" s="1549"/>
      <c r="C843" s="1549"/>
      <c r="D843" s="1558"/>
      <c r="E843" s="1549"/>
      <c r="F843" s="1549"/>
      <c r="G843" s="1549"/>
      <c r="H843" s="1549"/>
      <c r="I843" s="1549"/>
      <c r="J843" s="1549"/>
      <c r="K843" s="1549"/>
      <c r="L843" s="1549"/>
      <c r="M843" s="1549"/>
      <c r="N843" s="1549"/>
      <c r="O843" s="1549"/>
      <c r="P843" s="1549"/>
      <c r="Q843" s="1549"/>
      <c r="R843" s="1549"/>
      <c r="S843" s="1549"/>
      <c r="T843" s="1549"/>
      <c r="U843" s="1549"/>
      <c r="V843" s="1549"/>
      <c r="W843" s="1549"/>
      <c r="X843" s="1549"/>
      <c r="Y843" s="1549"/>
      <c r="Z843" s="1549"/>
    </row>
    <row r="844" spans="1:26" ht="12.75" customHeight="1" x14ac:dyDescent="0.2">
      <c r="A844" s="1549"/>
      <c r="B844" s="1549"/>
      <c r="C844" s="1549"/>
      <c r="D844" s="1558"/>
      <c r="E844" s="1549"/>
      <c r="F844" s="1549"/>
      <c r="G844" s="1549"/>
      <c r="H844" s="1549"/>
      <c r="I844" s="1549"/>
      <c r="J844" s="1549"/>
      <c r="K844" s="1549"/>
      <c r="L844" s="1549"/>
      <c r="M844" s="1549"/>
      <c r="N844" s="1549"/>
      <c r="O844" s="1549"/>
      <c r="P844" s="1549"/>
      <c r="Q844" s="1549"/>
      <c r="R844" s="1549"/>
      <c r="S844" s="1549"/>
      <c r="T844" s="1549"/>
      <c r="U844" s="1549"/>
      <c r="V844" s="1549"/>
      <c r="W844" s="1549"/>
      <c r="X844" s="1549"/>
      <c r="Y844" s="1549"/>
      <c r="Z844" s="1549"/>
    </row>
    <row r="845" spans="1:26" ht="12.75" customHeight="1" x14ac:dyDescent="0.2">
      <c r="A845" s="1549"/>
      <c r="B845" s="1549"/>
      <c r="C845" s="1549"/>
      <c r="D845" s="1558"/>
      <c r="E845" s="1549"/>
      <c r="F845" s="1549"/>
      <c r="G845" s="1549"/>
      <c r="H845" s="1549"/>
      <c r="I845" s="1549"/>
      <c r="J845" s="1549"/>
      <c r="K845" s="1549"/>
      <c r="L845" s="1549"/>
      <c r="M845" s="1549"/>
      <c r="N845" s="1549"/>
      <c r="O845" s="1549"/>
      <c r="P845" s="1549"/>
      <c r="Q845" s="1549"/>
      <c r="R845" s="1549"/>
      <c r="S845" s="1549"/>
      <c r="T845" s="1549"/>
      <c r="U845" s="1549"/>
      <c r="V845" s="1549"/>
      <c r="W845" s="1549"/>
      <c r="X845" s="1549"/>
      <c r="Y845" s="1549"/>
      <c r="Z845" s="1549"/>
    </row>
    <row r="846" spans="1:26" ht="12.75" customHeight="1" x14ac:dyDescent="0.2">
      <c r="A846" s="1549"/>
      <c r="B846" s="1549"/>
      <c r="C846" s="1549"/>
      <c r="D846" s="1558"/>
      <c r="E846" s="1549"/>
      <c r="F846" s="1549"/>
      <c r="G846" s="1549"/>
      <c r="H846" s="1549"/>
      <c r="I846" s="1549"/>
      <c r="J846" s="1549"/>
      <c r="K846" s="1549"/>
      <c r="L846" s="1549"/>
      <c r="M846" s="1549"/>
      <c r="N846" s="1549"/>
      <c r="O846" s="1549"/>
      <c r="P846" s="1549"/>
      <c r="Q846" s="1549"/>
      <c r="R846" s="1549"/>
      <c r="S846" s="1549"/>
      <c r="T846" s="1549"/>
      <c r="U846" s="1549"/>
      <c r="V846" s="1549"/>
      <c r="W846" s="1549"/>
      <c r="X846" s="1549"/>
      <c r="Y846" s="1549"/>
      <c r="Z846" s="1549"/>
    </row>
    <row r="847" spans="1:26" ht="12.75" customHeight="1" x14ac:dyDescent="0.2">
      <c r="A847" s="1549"/>
      <c r="B847" s="1549"/>
      <c r="C847" s="1549"/>
      <c r="D847" s="1558"/>
      <c r="E847" s="1549"/>
      <c r="F847" s="1549"/>
      <c r="G847" s="1549"/>
      <c r="H847" s="1549"/>
      <c r="I847" s="1549"/>
      <c r="J847" s="1549"/>
      <c r="K847" s="1549"/>
      <c r="L847" s="1549"/>
      <c r="M847" s="1549"/>
      <c r="N847" s="1549"/>
      <c r="O847" s="1549"/>
      <c r="P847" s="1549"/>
      <c r="Q847" s="1549"/>
      <c r="R847" s="1549"/>
      <c r="S847" s="1549"/>
      <c r="T847" s="1549"/>
      <c r="U847" s="1549"/>
      <c r="V847" s="1549"/>
      <c r="W847" s="1549"/>
      <c r="X847" s="1549"/>
      <c r="Y847" s="1549"/>
      <c r="Z847" s="1549"/>
    </row>
    <row r="848" spans="1:26" ht="12.75" customHeight="1" x14ac:dyDescent="0.2">
      <c r="A848" s="1549"/>
      <c r="B848" s="1549"/>
      <c r="C848" s="1549"/>
      <c r="D848" s="1558"/>
      <c r="E848" s="1549"/>
      <c r="F848" s="1549"/>
      <c r="G848" s="1549"/>
      <c r="H848" s="1549"/>
      <c r="I848" s="1549"/>
      <c r="J848" s="1549"/>
      <c r="K848" s="1549"/>
      <c r="L848" s="1549"/>
      <c r="M848" s="1549"/>
      <c r="N848" s="1549"/>
      <c r="O848" s="1549"/>
      <c r="P848" s="1549"/>
      <c r="Q848" s="1549"/>
      <c r="R848" s="1549"/>
      <c r="S848" s="1549"/>
      <c r="T848" s="1549"/>
      <c r="U848" s="1549"/>
      <c r="V848" s="1549"/>
      <c r="W848" s="1549"/>
      <c r="X848" s="1549"/>
      <c r="Y848" s="1549"/>
      <c r="Z848" s="1549"/>
    </row>
    <row r="849" spans="1:26" ht="12.75" customHeight="1" x14ac:dyDescent="0.2">
      <c r="A849" s="1549"/>
      <c r="B849" s="1549"/>
      <c r="C849" s="1549"/>
      <c r="D849" s="1558"/>
      <c r="E849" s="1549"/>
      <c r="F849" s="1549"/>
      <c r="G849" s="1549"/>
      <c r="H849" s="1549"/>
      <c r="I849" s="1549"/>
      <c r="J849" s="1549"/>
      <c r="K849" s="1549"/>
      <c r="L849" s="1549"/>
      <c r="M849" s="1549"/>
      <c r="N849" s="1549"/>
      <c r="O849" s="1549"/>
      <c r="P849" s="1549"/>
      <c r="Q849" s="1549"/>
      <c r="R849" s="1549"/>
      <c r="S849" s="1549"/>
      <c r="T849" s="1549"/>
      <c r="U849" s="1549"/>
      <c r="V849" s="1549"/>
      <c r="W849" s="1549"/>
      <c r="X849" s="1549"/>
      <c r="Y849" s="1549"/>
      <c r="Z849" s="1549"/>
    </row>
    <row r="850" spans="1:26" ht="12.75" customHeight="1" x14ac:dyDescent="0.2">
      <c r="A850" s="1549"/>
      <c r="B850" s="1549"/>
      <c r="C850" s="1549"/>
      <c r="D850" s="1558"/>
      <c r="E850" s="1549"/>
      <c r="F850" s="1549"/>
      <c r="G850" s="1549"/>
      <c r="H850" s="1549"/>
      <c r="I850" s="1549"/>
      <c r="J850" s="1549"/>
      <c r="K850" s="1549"/>
      <c r="L850" s="1549"/>
      <c r="M850" s="1549"/>
      <c r="N850" s="1549"/>
      <c r="O850" s="1549"/>
      <c r="P850" s="1549"/>
      <c r="Q850" s="1549"/>
      <c r="R850" s="1549"/>
      <c r="S850" s="1549"/>
      <c r="T850" s="1549"/>
      <c r="U850" s="1549"/>
      <c r="V850" s="1549"/>
      <c r="W850" s="1549"/>
      <c r="X850" s="1549"/>
      <c r="Y850" s="1549"/>
      <c r="Z850" s="1549"/>
    </row>
    <row r="851" spans="1:26" ht="12.75" customHeight="1" x14ac:dyDescent="0.2">
      <c r="A851" s="1549"/>
      <c r="B851" s="1549"/>
      <c r="C851" s="1549"/>
      <c r="D851" s="1558"/>
      <c r="E851" s="1549"/>
      <c r="F851" s="1549"/>
      <c r="G851" s="1549"/>
      <c r="H851" s="1549"/>
      <c r="I851" s="1549"/>
      <c r="J851" s="1549"/>
      <c r="K851" s="1549"/>
      <c r="L851" s="1549"/>
      <c r="M851" s="1549"/>
      <c r="N851" s="1549"/>
      <c r="O851" s="1549"/>
      <c r="P851" s="1549"/>
      <c r="Q851" s="1549"/>
      <c r="R851" s="1549"/>
      <c r="S851" s="1549"/>
      <c r="T851" s="1549"/>
      <c r="U851" s="1549"/>
      <c r="V851" s="1549"/>
      <c r="W851" s="1549"/>
      <c r="X851" s="1549"/>
      <c r="Y851" s="1549"/>
      <c r="Z851" s="1549"/>
    </row>
    <row r="852" spans="1:26" ht="12.75" customHeight="1" x14ac:dyDescent="0.2">
      <c r="A852" s="1549"/>
      <c r="B852" s="1549"/>
      <c r="C852" s="1549"/>
      <c r="D852" s="1558"/>
      <c r="E852" s="1549"/>
      <c r="F852" s="1549"/>
      <c r="G852" s="1549"/>
      <c r="H852" s="1549"/>
      <c r="I852" s="1549"/>
      <c r="J852" s="1549"/>
      <c r="K852" s="1549"/>
      <c r="L852" s="1549"/>
      <c r="M852" s="1549"/>
      <c r="N852" s="1549"/>
      <c r="O852" s="1549"/>
      <c r="P852" s="1549"/>
      <c r="Q852" s="1549"/>
      <c r="R852" s="1549"/>
      <c r="S852" s="1549"/>
      <c r="T852" s="1549"/>
      <c r="U852" s="1549"/>
      <c r="V852" s="1549"/>
      <c r="W852" s="1549"/>
      <c r="X852" s="1549"/>
      <c r="Y852" s="1549"/>
      <c r="Z852" s="1549"/>
    </row>
    <row r="853" spans="1:26" ht="12.75" customHeight="1" x14ac:dyDescent="0.2">
      <c r="A853" s="1549"/>
      <c r="B853" s="1549"/>
      <c r="C853" s="1549"/>
      <c r="D853" s="1558"/>
      <c r="E853" s="1549"/>
      <c r="F853" s="1549"/>
      <c r="G853" s="1549"/>
      <c r="H853" s="1549"/>
      <c r="I853" s="1549"/>
      <c r="J853" s="1549"/>
      <c r="K853" s="1549"/>
      <c r="L853" s="1549"/>
      <c r="M853" s="1549"/>
      <c r="N853" s="1549"/>
      <c r="O853" s="1549"/>
      <c r="P853" s="1549"/>
      <c r="Q853" s="1549"/>
      <c r="R853" s="1549"/>
      <c r="S853" s="1549"/>
      <c r="T853" s="1549"/>
      <c r="U853" s="1549"/>
      <c r="V853" s="1549"/>
      <c r="W853" s="1549"/>
      <c r="X853" s="1549"/>
      <c r="Y853" s="1549"/>
      <c r="Z853" s="1549"/>
    </row>
    <row r="854" spans="1:26" ht="12.75" customHeight="1" x14ac:dyDescent="0.2">
      <c r="A854" s="1549"/>
      <c r="B854" s="1549"/>
      <c r="C854" s="1549"/>
      <c r="D854" s="1558"/>
      <c r="E854" s="1549"/>
      <c r="F854" s="1549"/>
      <c r="G854" s="1549"/>
      <c r="H854" s="1549"/>
      <c r="I854" s="1549"/>
      <c r="J854" s="1549"/>
      <c r="K854" s="1549"/>
      <c r="L854" s="1549"/>
      <c r="M854" s="1549"/>
      <c r="N854" s="1549"/>
      <c r="O854" s="1549"/>
      <c r="P854" s="1549"/>
      <c r="Q854" s="1549"/>
      <c r="R854" s="1549"/>
      <c r="S854" s="1549"/>
      <c r="T854" s="1549"/>
      <c r="U854" s="1549"/>
      <c r="V854" s="1549"/>
      <c r="W854" s="1549"/>
      <c r="X854" s="1549"/>
      <c r="Y854" s="1549"/>
      <c r="Z854" s="1549"/>
    </row>
    <row r="855" spans="1:26" ht="12.75" customHeight="1" x14ac:dyDescent="0.2">
      <c r="A855" s="1549"/>
      <c r="B855" s="1549"/>
      <c r="C855" s="1549"/>
      <c r="D855" s="1558"/>
      <c r="E855" s="1549"/>
      <c r="F855" s="1549"/>
      <c r="G855" s="1549"/>
      <c r="H855" s="1549"/>
      <c r="I855" s="1549"/>
      <c r="J855" s="1549"/>
      <c r="K855" s="1549"/>
      <c r="L855" s="1549"/>
      <c r="M855" s="1549"/>
      <c r="N855" s="1549"/>
      <c r="O855" s="1549"/>
      <c r="P855" s="1549"/>
      <c r="Q855" s="1549"/>
      <c r="R855" s="1549"/>
      <c r="S855" s="1549"/>
      <c r="T855" s="1549"/>
      <c r="U855" s="1549"/>
      <c r="V855" s="1549"/>
      <c r="W855" s="1549"/>
      <c r="X855" s="1549"/>
      <c r="Y855" s="1549"/>
      <c r="Z855" s="1549"/>
    </row>
    <row r="856" spans="1:26" ht="12.75" customHeight="1" x14ac:dyDescent="0.2">
      <c r="A856" s="1549"/>
      <c r="B856" s="1549"/>
      <c r="C856" s="1549"/>
      <c r="D856" s="1558"/>
      <c r="E856" s="1549"/>
      <c r="F856" s="1549"/>
      <c r="G856" s="1549"/>
      <c r="H856" s="1549"/>
      <c r="I856" s="1549"/>
      <c r="J856" s="1549"/>
      <c r="K856" s="1549"/>
      <c r="L856" s="1549"/>
      <c r="M856" s="1549"/>
      <c r="N856" s="1549"/>
      <c r="O856" s="1549"/>
      <c r="P856" s="1549"/>
      <c r="Q856" s="1549"/>
      <c r="R856" s="1549"/>
      <c r="S856" s="1549"/>
      <c r="T856" s="1549"/>
      <c r="U856" s="1549"/>
      <c r="V856" s="1549"/>
      <c r="W856" s="1549"/>
      <c r="X856" s="1549"/>
      <c r="Y856" s="1549"/>
      <c r="Z856" s="1549"/>
    </row>
    <row r="857" spans="1:26" ht="12.75" customHeight="1" x14ac:dyDescent="0.2">
      <c r="A857" s="1549"/>
      <c r="B857" s="1549"/>
      <c r="C857" s="1549"/>
      <c r="D857" s="1558"/>
      <c r="E857" s="1549"/>
      <c r="F857" s="1549"/>
      <c r="G857" s="1549"/>
      <c r="H857" s="1549"/>
      <c r="I857" s="1549"/>
      <c r="J857" s="1549"/>
      <c r="K857" s="1549"/>
      <c r="L857" s="1549"/>
      <c r="M857" s="1549"/>
      <c r="N857" s="1549"/>
      <c r="O857" s="1549"/>
      <c r="P857" s="1549"/>
      <c r="Q857" s="1549"/>
      <c r="R857" s="1549"/>
      <c r="S857" s="1549"/>
      <c r="T857" s="1549"/>
      <c r="U857" s="1549"/>
      <c r="V857" s="1549"/>
      <c r="W857" s="1549"/>
      <c r="X857" s="1549"/>
      <c r="Y857" s="1549"/>
      <c r="Z857" s="1549"/>
    </row>
    <row r="858" spans="1:26" ht="12.75" customHeight="1" x14ac:dyDescent="0.2">
      <c r="A858" s="1549"/>
      <c r="B858" s="1549"/>
      <c r="C858" s="1549"/>
      <c r="D858" s="1558"/>
      <c r="E858" s="1549"/>
      <c r="F858" s="1549"/>
      <c r="G858" s="1549"/>
      <c r="H858" s="1549"/>
      <c r="I858" s="1549"/>
      <c r="J858" s="1549"/>
      <c r="K858" s="1549"/>
      <c r="L858" s="1549"/>
      <c r="M858" s="1549"/>
      <c r="N858" s="1549"/>
      <c r="O858" s="1549"/>
      <c r="P858" s="1549"/>
      <c r="Q858" s="1549"/>
      <c r="R858" s="1549"/>
      <c r="S858" s="1549"/>
      <c r="T858" s="1549"/>
      <c r="U858" s="1549"/>
      <c r="V858" s="1549"/>
      <c r="W858" s="1549"/>
      <c r="X858" s="1549"/>
      <c r="Y858" s="1549"/>
      <c r="Z858" s="1549"/>
    </row>
    <row r="859" spans="1:26" ht="12.75" customHeight="1" x14ac:dyDescent="0.2">
      <c r="A859" s="1549"/>
      <c r="B859" s="1549"/>
      <c r="C859" s="1549"/>
      <c r="D859" s="1558"/>
      <c r="E859" s="1549"/>
      <c r="F859" s="1549"/>
      <c r="G859" s="1549"/>
      <c r="H859" s="1549"/>
      <c r="I859" s="1549"/>
      <c r="J859" s="1549"/>
      <c r="K859" s="1549"/>
      <c r="L859" s="1549"/>
      <c r="M859" s="1549"/>
      <c r="N859" s="1549"/>
      <c r="O859" s="1549"/>
      <c r="P859" s="1549"/>
      <c r="Q859" s="1549"/>
      <c r="R859" s="1549"/>
      <c r="S859" s="1549"/>
      <c r="T859" s="1549"/>
      <c r="U859" s="1549"/>
      <c r="V859" s="1549"/>
      <c r="W859" s="1549"/>
      <c r="X859" s="1549"/>
      <c r="Y859" s="1549"/>
      <c r="Z859" s="1549"/>
    </row>
    <row r="860" spans="1:26" ht="12.75" customHeight="1" x14ac:dyDescent="0.2">
      <c r="A860" s="1549"/>
      <c r="B860" s="1549"/>
      <c r="C860" s="1549"/>
      <c r="D860" s="1558"/>
      <c r="E860" s="1549"/>
      <c r="F860" s="1549"/>
      <c r="G860" s="1549"/>
      <c r="H860" s="1549"/>
      <c r="I860" s="1549"/>
      <c r="J860" s="1549"/>
      <c r="K860" s="1549"/>
      <c r="L860" s="1549"/>
      <c r="M860" s="1549"/>
      <c r="N860" s="1549"/>
      <c r="O860" s="1549"/>
      <c r="P860" s="1549"/>
      <c r="Q860" s="1549"/>
      <c r="R860" s="1549"/>
      <c r="S860" s="1549"/>
      <c r="T860" s="1549"/>
      <c r="U860" s="1549"/>
      <c r="V860" s="1549"/>
      <c r="W860" s="1549"/>
      <c r="X860" s="1549"/>
      <c r="Y860" s="1549"/>
      <c r="Z860" s="1549"/>
    </row>
    <row r="861" spans="1:26" ht="12.75" customHeight="1" x14ac:dyDescent="0.2">
      <c r="A861" s="1549"/>
      <c r="B861" s="1549"/>
      <c r="C861" s="1549"/>
      <c r="D861" s="1558"/>
      <c r="E861" s="1549"/>
      <c r="F861" s="1549"/>
      <c r="G861" s="1549"/>
      <c r="H861" s="1549"/>
      <c r="I861" s="1549"/>
      <c r="J861" s="1549"/>
      <c r="K861" s="1549"/>
      <c r="L861" s="1549"/>
      <c r="M861" s="1549"/>
      <c r="N861" s="1549"/>
      <c r="O861" s="1549"/>
      <c r="P861" s="1549"/>
      <c r="Q861" s="1549"/>
      <c r="R861" s="1549"/>
      <c r="S861" s="1549"/>
      <c r="T861" s="1549"/>
      <c r="U861" s="1549"/>
      <c r="V861" s="1549"/>
      <c r="W861" s="1549"/>
      <c r="X861" s="1549"/>
      <c r="Y861" s="1549"/>
      <c r="Z861" s="1549"/>
    </row>
    <row r="862" spans="1:26" ht="12.75" customHeight="1" x14ac:dyDescent="0.2">
      <c r="A862" s="1549"/>
      <c r="B862" s="1549"/>
      <c r="C862" s="1549"/>
      <c r="D862" s="1558"/>
      <c r="E862" s="1549"/>
      <c r="F862" s="1549"/>
      <c r="G862" s="1549"/>
      <c r="H862" s="1549"/>
      <c r="I862" s="1549"/>
      <c r="J862" s="1549"/>
      <c r="K862" s="1549"/>
      <c r="L862" s="1549"/>
      <c r="M862" s="1549"/>
      <c r="N862" s="1549"/>
      <c r="O862" s="1549"/>
      <c r="P862" s="1549"/>
      <c r="Q862" s="1549"/>
      <c r="R862" s="1549"/>
      <c r="S862" s="1549"/>
      <c r="T862" s="1549"/>
      <c r="U862" s="1549"/>
      <c r="V862" s="1549"/>
      <c r="W862" s="1549"/>
      <c r="X862" s="1549"/>
      <c r="Y862" s="1549"/>
      <c r="Z862" s="1549"/>
    </row>
    <row r="863" spans="1:26" ht="12.75" customHeight="1" x14ac:dyDescent="0.2">
      <c r="A863" s="1549"/>
      <c r="B863" s="1549"/>
      <c r="C863" s="1549"/>
      <c r="D863" s="1558"/>
      <c r="E863" s="1549"/>
      <c r="F863" s="1549"/>
      <c r="G863" s="1549"/>
      <c r="H863" s="1549"/>
      <c r="I863" s="1549"/>
      <c r="J863" s="1549"/>
      <c r="K863" s="1549"/>
      <c r="L863" s="1549"/>
      <c r="M863" s="1549"/>
      <c r="N863" s="1549"/>
      <c r="O863" s="1549"/>
      <c r="P863" s="1549"/>
      <c r="Q863" s="1549"/>
      <c r="R863" s="1549"/>
      <c r="S863" s="1549"/>
      <c r="T863" s="1549"/>
      <c r="U863" s="1549"/>
      <c r="V863" s="1549"/>
      <c r="W863" s="1549"/>
      <c r="X863" s="1549"/>
      <c r="Y863" s="1549"/>
      <c r="Z863" s="1549"/>
    </row>
    <row r="864" spans="1:26" ht="12.75" customHeight="1" x14ac:dyDescent="0.2">
      <c r="A864" s="1549"/>
      <c r="B864" s="1549"/>
      <c r="C864" s="1549"/>
      <c r="D864" s="1558"/>
      <c r="E864" s="1549"/>
      <c r="F864" s="1549"/>
      <c r="G864" s="1549"/>
      <c r="H864" s="1549"/>
      <c r="I864" s="1549"/>
      <c r="J864" s="1549"/>
      <c r="K864" s="1549"/>
      <c r="L864" s="1549"/>
      <c r="M864" s="1549"/>
      <c r="N864" s="1549"/>
      <c r="O864" s="1549"/>
      <c r="P864" s="1549"/>
      <c r="Q864" s="1549"/>
      <c r="R864" s="1549"/>
      <c r="S864" s="1549"/>
      <c r="T864" s="1549"/>
      <c r="U864" s="1549"/>
      <c r="V864" s="1549"/>
      <c r="W864" s="1549"/>
      <c r="X864" s="1549"/>
      <c r="Y864" s="1549"/>
      <c r="Z864" s="1549"/>
    </row>
    <row r="865" spans="1:26" ht="12.75" customHeight="1" x14ac:dyDescent="0.2">
      <c r="A865" s="1549"/>
      <c r="B865" s="1549"/>
      <c r="C865" s="1549"/>
      <c r="D865" s="1558"/>
      <c r="E865" s="1549"/>
      <c r="F865" s="1549"/>
      <c r="G865" s="1549"/>
      <c r="H865" s="1549"/>
      <c r="I865" s="1549"/>
      <c r="J865" s="1549"/>
      <c r="K865" s="1549"/>
      <c r="L865" s="1549"/>
      <c r="M865" s="1549"/>
      <c r="N865" s="1549"/>
      <c r="O865" s="1549"/>
      <c r="P865" s="1549"/>
      <c r="Q865" s="1549"/>
      <c r="R865" s="1549"/>
      <c r="S865" s="1549"/>
      <c r="T865" s="1549"/>
      <c r="U865" s="1549"/>
      <c r="V865" s="1549"/>
      <c r="W865" s="1549"/>
      <c r="X865" s="1549"/>
      <c r="Y865" s="1549"/>
      <c r="Z865" s="1549"/>
    </row>
    <row r="866" spans="1:26" ht="12.75" customHeight="1" x14ac:dyDescent="0.2">
      <c r="A866" s="1549"/>
      <c r="B866" s="1549"/>
      <c r="C866" s="1549"/>
      <c r="D866" s="1558"/>
      <c r="E866" s="1549"/>
      <c r="F866" s="1549"/>
      <c r="G866" s="1549"/>
      <c r="H866" s="1549"/>
      <c r="I866" s="1549"/>
      <c r="J866" s="1549"/>
      <c r="K866" s="1549"/>
      <c r="L866" s="1549"/>
      <c r="M866" s="1549"/>
      <c r="N866" s="1549"/>
      <c r="O866" s="1549"/>
      <c r="P866" s="1549"/>
      <c r="Q866" s="1549"/>
      <c r="R866" s="1549"/>
      <c r="S866" s="1549"/>
      <c r="T866" s="1549"/>
      <c r="U866" s="1549"/>
      <c r="V866" s="1549"/>
      <c r="W866" s="1549"/>
      <c r="X866" s="1549"/>
      <c r="Y866" s="1549"/>
      <c r="Z866" s="1549"/>
    </row>
    <row r="867" spans="1:26" ht="12.75" customHeight="1" x14ac:dyDescent="0.2">
      <c r="A867" s="1549"/>
      <c r="B867" s="1549"/>
      <c r="C867" s="1549"/>
      <c r="D867" s="1558"/>
      <c r="E867" s="1549"/>
      <c r="F867" s="1549"/>
      <c r="G867" s="1549"/>
      <c r="H867" s="1549"/>
      <c r="I867" s="1549"/>
      <c r="J867" s="1549"/>
      <c r="K867" s="1549"/>
      <c r="L867" s="1549"/>
      <c r="M867" s="1549"/>
      <c r="N867" s="1549"/>
      <c r="O867" s="1549"/>
      <c r="P867" s="1549"/>
      <c r="Q867" s="1549"/>
      <c r="R867" s="1549"/>
      <c r="S867" s="1549"/>
      <c r="T867" s="1549"/>
      <c r="U867" s="1549"/>
      <c r="V867" s="1549"/>
      <c r="W867" s="1549"/>
      <c r="X867" s="1549"/>
      <c r="Y867" s="1549"/>
      <c r="Z867" s="1549"/>
    </row>
    <row r="868" spans="1:26" ht="12.75" customHeight="1" x14ac:dyDescent="0.2">
      <c r="A868" s="1549"/>
      <c r="B868" s="1549"/>
      <c r="C868" s="1549"/>
      <c r="D868" s="1558"/>
      <c r="E868" s="1549"/>
      <c r="F868" s="1549"/>
      <c r="G868" s="1549"/>
      <c r="H868" s="1549"/>
      <c r="I868" s="1549"/>
      <c r="J868" s="1549"/>
      <c r="K868" s="1549"/>
      <c r="L868" s="1549"/>
      <c r="M868" s="1549"/>
      <c r="N868" s="1549"/>
      <c r="O868" s="1549"/>
      <c r="P868" s="1549"/>
      <c r="Q868" s="1549"/>
      <c r="R868" s="1549"/>
      <c r="S868" s="1549"/>
      <c r="T868" s="1549"/>
      <c r="U868" s="1549"/>
      <c r="V868" s="1549"/>
      <c r="W868" s="1549"/>
      <c r="X868" s="1549"/>
      <c r="Y868" s="1549"/>
      <c r="Z868" s="1549"/>
    </row>
    <row r="869" spans="1:26" ht="12.75" customHeight="1" x14ac:dyDescent="0.2">
      <c r="A869" s="1549"/>
      <c r="B869" s="1549"/>
      <c r="C869" s="1549"/>
      <c r="D869" s="1558"/>
      <c r="E869" s="1549"/>
      <c r="F869" s="1549"/>
      <c r="G869" s="1549"/>
      <c r="H869" s="1549"/>
      <c r="I869" s="1549"/>
      <c r="J869" s="1549"/>
      <c r="K869" s="1549"/>
      <c r="L869" s="1549"/>
      <c r="M869" s="1549"/>
      <c r="N869" s="1549"/>
      <c r="O869" s="1549"/>
      <c r="P869" s="1549"/>
      <c r="Q869" s="1549"/>
      <c r="R869" s="1549"/>
      <c r="S869" s="1549"/>
      <c r="T869" s="1549"/>
      <c r="U869" s="1549"/>
      <c r="V869" s="1549"/>
      <c r="W869" s="1549"/>
      <c r="X869" s="1549"/>
      <c r="Y869" s="1549"/>
      <c r="Z869" s="1549"/>
    </row>
    <row r="870" spans="1:26" ht="12.75" customHeight="1" x14ac:dyDescent="0.2">
      <c r="A870" s="1549"/>
      <c r="B870" s="1549"/>
      <c r="C870" s="1549"/>
      <c r="D870" s="1558"/>
      <c r="E870" s="1549"/>
      <c r="F870" s="1549"/>
      <c r="G870" s="1549"/>
      <c r="H870" s="1549"/>
      <c r="I870" s="1549"/>
      <c r="J870" s="1549"/>
      <c r="K870" s="1549"/>
      <c r="L870" s="1549"/>
      <c r="M870" s="1549"/>
      <c r="N870" s="1549"/>
      <c r="O870" s="1549"/>
      <c r="P870" s="1549"/>
      <c r="Q870" s="1549"/>
      <c r="R870" s="1549"/>
      <c r="S870" s="1549"/>
      <c r="T870" s="1549"/>
      <c r="U870" s="1549"/>
      <c r="V870" s="1549"/>
      <c r="W870" s="1549"/>
      <c r="X870" s="1549"/>
      <c r="Y870" s="1549"/>
      <c r="Z870" s="1549"/>
    </row>
    <row r="871" spans="1:26" ht="12.75" customHeight="1" x14ac:dyDescent="0.2">
      <c r="A871" s="1549"/>
      <c r="B871" s="1549"/>
      <c r="C871" s="1549"/>
      <c r="D871" s="1558"/>
      <c r="E871" s="1549"/>
      <c r="F871" s="1549"/>
      <c r="G871" s="1549"/>
      <c r="H871" s="1549"/>
      <c r="I871" s="1549"/>
      <c r="J871" s="1549"/>
      <c r="K871" s="1549"/>
      <c r="L871" s="1549"/>
      <c r="M871" s="1549"/>
      <c r="N871" s="1549"/>
      <c r="O871" s="1549"/>
      <c r="P871" s="1549"/>
      <c r="Q871" s="1549"/>
      <c r="R871" s="1549"/>
      <c r="S871" s="1549"/>
      <c r="T871" s="1549"/>
      <c r="U871" s="1549"/>
      <c r="V871" s="1549"/>
      <c r="W871" s="1549"/>
      <c r="X871" s="1549"/>
      <c r="Y871" s="1549"/>
      <c r="Z871" s="1549"/>
    </row>
    <row r="872" spans="1:26" ht="12.75" customHeight="1" x14ac:dyDescent="0.2">
      <c r="A872" s="1549"/>
      <c r="B872" s="1549"/>
      <c r="C872" s="1549"/>
      <c r="D872" s="1558"/>
      <c r="E872" s="1549"/>
      <c r="F872" s="1549"/>
      <c r="G872" s="1549"/>
      <c r="H872" s="1549"/>
      <c r="I872" s="1549"/>
      <c r="J872" s="1549"/>
      <c r="K872" s="1549"/>
      <c r="L872" s="1549"/>
      <c r="M872" s="1549"/>
      <c r="N872" s="1549"/>
      <c r="O872" s="1549"/>
      <c r="P872" s="1549"/>
      <c r="Q872" s="1549"/>
      <c r="R872" s="1549"/>
      <c r="S872" s="1549"/>
      <c r="T872" s="1549"/>
      <c r="U872" s="1549"/>
      <c r="V872" s="1549"/>
      <c r="W872" s="1549"/>
      <c r="X872" s="1549"/>
      <c r="Y872" s="1549"/>
      <c r="Z872" s="1549"/>
    </row>
    <row r="873" spans="1:26" ht="12.75" customHeight="1" x14ac:dyDescent="0.2">
      <c r="A873" s="1549"/>
      <c r="B873" s="1549"/>
      <c r="C873" s="1549"/>
      <c r="D873" s="1558"/>
      <c r="E873" s="1549"/>
      <c r="F873" s="1549"/>
      <c r="G873" s="1549"/>
      <c r="H873" s="1549"/>
      <c r="I873" s="1549"/>
      <c r="J873" s="1549"/>
      <c r="K873" s="1549"/>
      <c r="L873" s="1549"/>
      <c r="M873" s="1549"/>
      <c r="N873" s="1549"/>
      <c r="O873" s="1549"/>
      <c r="P873" s="1549"/>
      <c r="Q873" s="1549"/>
      <c r="R873" s="1549"/>
      <c r="S873" s="1549"/>
      <c r="T873" s="1549"/>
      <c r="U873" s="1549"/>
      <c r="V873" s="1549"/>
      <c r="W873" s="1549"/>
      <c r="X873" s="1549"/>
      <c r="Y873" s="1549"/>
      <c r="Z873" s="1549"/>
    </row>
    <row r="874" spans="1:26" ht="12.75" customHeight="1" x14ac:dyDescent="0.2">
      <c r="A874" s="1549"/>
      <c r="B874" s="1549"/>
      <c r="C874" s="1549"/>
      <c r="D874" s="1558"/>
      <c r="E874" s="1549"/>
      <c r="F874" s="1549"/>
      <c r="G874" s="1549"/>
      <c r="H874" s="1549"/>
      <c r="I874" s="1549"/>
      <c r="J874" s="1549"/>
      <c r="K874" s="1549"/>
      <c r="L874" s="1549"/>
      <c r="M874" s="1549"/>
      <c r="N874" s="1549"/>
      <c r="O874" s="1549"/>
      <c r="P874" s="1549"/>
      <c r="Q874" s="1549"/>
      <c r="R874" s="1549"/>
      <c r="S874" s="1549"/>
      <c r="T874" s="1549"/>
      <c r="U874" s="1549"/>
      <c r="V874" s="1549"/>
      <c r="W874" s="1549"/>
      <c r="X874" s="1549"/>
      <c r="Y874" s="1549"/>
      <c r="Z874" s="1549"/>
    </row>
    <row r="875" spans="1:26" ht="12.75" customHeight="1" x14ac:dyDescent="0.2">
      <c r="A875" s="1549"/>
      <c r="B875" s="1549"/>
      <c r="C875" s="1549"/>
      <c r="D875" s="1558"/>
      <c r="E875" s="1549"/>
      <c r="F875" s="1549"/>
      <c r="G875" s="1549"/>
      <c r="H875" s="1549"/>
      <c r="I875" s="1549"/>
      <c r="J875" s="1549"/>
      <c r="K875" s="1549"/>
      <c r="L875" s="1549"/>
      <c r="M875" s="1549"/>
      <c r="N875" s="1549"/>
      <c r="O875" s="1549"/>
      <c r="P875" s="1549"/>
      <c r="Q875" s="1549"/>
      <c r="R875" s="1549"/>
      <c r="S875" s="1549"/>
      <c r="T875" s="1549"/>
      <c r="U875" s="1549"/>
      <c r="V875" s="1549"/>
      <c r="W875" s="1549"/>
      <c r="X875" s="1549"/>
      <c r="Y875" s="1549"/>
      <c r="Z875" s="1549"/>
    </row>
    <row r="876" spans="1:26" ht="12.75" customHeight="1" x14ac:dyDescent="0.2">
      <c r="A876" s="1549"/>
      <c r="B876" s="1549"/>
      <c r="C876" s="1549"/>
      <c r="D876" s="1558"/>
      <c r="E876" s="1549"/>
      <c r="F876" s="1549"/>
      <c r="G876" s="1549"/>
      <c r="H876" s="1549"/>
      <c r="I876" s="1549"/>
      <c r="J876" s="1549"/>
      <c r="K876" s="1549"/>
      <c r="L876" s="1549"/>
      <c r="M876" s="1549"/>
      <c r="N876" s="1549"/>
      <c r="O876" s="1549"/>
      <c r="P876" s="1549"/>
      <c r="Q876" s="1549"/>
      <c r="R876" s="1549"/>
      <c r="S876" s="1549"/>
      <c r="T876" s="1549"/>
      <c r="U876" s="1549"/>
      <c r="V876" s="1549"/>
      <c r="W876" s="1549"/>
      <c r="X876" s="1549"/>
      <c r="Y876" s="1549"/>
      <c r="Z876" s="1549"/>
    </row>
    <row r="877" spans="1:26" ht="12.75" customHeight="1" x14ac:dyDescent="0.2">
      <c r="A877" s="1549"/>
      <c r="B877" s="1549"/>
      <c r="C877" s="1549"/>
      <c r="D877" s="1558"/>
      <c r="E877" s="1549"/>
      <c r="F877" s="1549"/>
      <c r="G877" s="1549"/>
      <c r="H877" s="1549"/>
      <c r="I877" s="1549"/>
      <c r="J877" s="1549"/>
      <c r="K877" s="1549"/>
      <c r="L877" s="1549"/>
      <c r="M877" s="1549"/>
      <c r="N877" s="1549"/>
      <c r="O877" s="1549"/>
      <c r="P877" s="1549"/>
      <c r="Q877" s="1549"/>
      <c r="R877" s="1549"/>
      <c r="S877" s="1549"/>
      <c r="T877" s="1549"/>
      <c r="U877" s="1549"/>
      <c r="V877" s="1549"/>
      <c r="W877" s="1549"/>
      <c r="X877" s="1549"/>
      <c r="Y877" s="1549"/>
      <c r="Z877" s="1549"/>
    </row>
    <row r="878" spans="1:26" ht="12.75" customHeight="1" x14ac:dyDescent="0.2">
      <c r="A878" s="1549"/>
      <c r="B878" s="1549"/>
      <c r="C878" s="1549"/>
      <c r="D878" s="1558"/>
      <c r="E878" s="1549"/>
      <c r="F878" s="1549"/>
      <c r="G878" s="1549"/>
      <c r="H878" s="1549"/>
      <c r="I878" s="1549"/>
      <c r="J878" s="1549"/>
      <c r="K878" s="1549"/>
      <c r="L878" s="1549"/>
      <c r="M878" s="1549"/>
      <c r="N878" s="1549"/>
      <c r="O878" s="1549"/>
      <c r="P878" s="1549"/>
      <c r="Q878" s="1549"/>
      <c r="R878" s="1549"/>
      <c r="S878" s="1549"/>
      <c r="T878" s="1549"/>
      <c r="U878" s="1549"/>
      <c r="V878" s="1549"/>
      <c r="W878" s="1549"/>
      <c r="X878" s="1549"/>
      <c r="Y878" s="1549"/>
      <c r="Z878" s="1549"/>
    </row>
    <row r="879" spans="1:26" ht="12.75" customHeight="1" x14ac:dyDescent="0.2">
      <c r="A879" s="1549"/>
      <c r="B879" s="1549"/>
      <c r="C879" s="1549"/>
      <c r="D879" s="1558"/>
      <c r="E879" s="1549"/>
      <c r="F879" s="1549"/>
      <c r="G879" s="1549"/>
      <c r="H879" s="1549"/>
      <c r="I879" s="1549"/>
      <c r="J879" s="1549"/>
      <c r="K879" s="1549"/>
      <c r="L879" s="1549"/>
      <c r="M879" s="1549"/>
      <c r="N879" s="1549"/>
      <c r="O879" s="1549"/>
      <c r="P879" s="1549"/>
      <c r="Q879" s="1549"/>
      <c r="R879" s="1549"/>
      <c r="S879" s="1549"/>
      <c r="T879" s="1549"/>
      <c r="U879" s="1549"/>
      <c r="V879" s="1549"/>
      <c r="W879" s="1549"/>
      <c r="X879" s="1549"/>
      <c r="Y879" s="1549"/>
      <c r="Z879" s="1549"/>
    </row>
    <row r="880" spans="1:26" ht="12.75" customHeight="1" x14ac:dyDescent="0.2">
      <c r="A880" s="1549"/>
      <c r="B880" s="1549"/>
      <c r="C880" s="1549"/>
      <c r="D880" s="1558"/>
      <c r="E880" s="1549"/>
      <c r="F880" s="1549"/>
      <c r="G880" s="1549"/>
      <c r="H880" s="1549"/>
      <c r="I880" s="1549"/>
      <c r="J880" s="1549"/>
      <c r="K880" s="1549"/>
      <c r="L880" s="1549"/>
      <c r="M880" s="1549"/>
      <c r="N880" s="1549"/>
      <c r="O880" s="1549"/>
      <c r="P880" s="1549"/>
      <c r="Q880" s="1549"/>
      <c r="R880" s="1549"/>
      <c r="S880" s="1549"/>
      <c r="T880" s="1549"/>
      <c r="U880" s="1549"/>
      <c r="V880" s="1549"/>
      <c r="W880" s="1549"/>
      <c r="X880" s="1549"/>
      <c r="Y880" s="1549"/>
      <c r="Z880" s="1549"/>
    </row>
    <row r="881" spans="1:26" ht="12.75" customHeight="1" x14ac:dyDescent="0.2">
      <c r="A881" s="1549"/>
      <c r="B881" s="1549"/>
      <c r="C881" s="1549"/>
      <c r="D881" s="1558"/>
      <c r="E881" s="1549"/>
      <c r="F881" s="1549"/>
      <c r="G881" s="1549"/>
      <c r="H881" s="1549"/>
      <c r="I881" s="1549"/>
      <c r="J881" s="1549"/>
      <c r="K881" s="1549"/>
      <c r="L881" s="1549"/>
      <c r="M881" s="1549"/>
      <c r="N881" s="1549"/>
      <c r="O881" s="1549"/>
      <c r="P881" s="1549"/>
      <c r="Q881" s="1549"/>
      <c r="R881" s="1549"/>
      <c r="S881" s="1549"/>
      <c r="T881" s="1549"/>
      <c r="U881" s="1549"/>
      <c r="V881" s="1549"/>
      <c r="W881" s="1549"/>
      <c r="X881" s="1549"/>
      <c r="Y881" s="1549"/>
      <c r="Z881" s="1549"/>
    </row>
    <row r="882" spans="1:26" ht="12.75" customHeight="1" x14ac:dyDescent="0.2">
      <c r="A882" s="1549"/>
      <c r="B882" s="1549"/>
      <c r="C882" s="1549"/>
      <c r="D882" s="1558"/>
      <c r="E882" s="1549"/>
      <c r="F882" s="1549"/>
      <c r="G882" s="1549"/>
      <c r="H882" s="1549"/>
      <c r="I882" s="1549"/>
      <c r="J882" s="1549"/>
      <c r="K882" s="1549"/>
      <c r="L882" s="1549"/>
      <c r="M882" s="1549"/>
      <c r="N882" s="1549"/>
      <c r="O882" s="1549"/>
      <c r="P882" s="1549"/>
      <c r="Q882" s="1549"/>
      <c r="R882" s="1549"/>
      <c r="S882" s="1549"/>
      <c r="T882" s="1549"/>
      <c r="U882" s="1549"/>
      <c r="V882" s="1549"/>
      <c r="W882" s="1549"/>
      <c r="X882" s="1549"/>
      <c r="Y882" s="1549"/>
      <c r="Z882" s="1549"/>
    </row>
    <row r="883" spans="1:26" ht="12.75" customHeight="1" x14ac:dyDescent="0.2">
      <c r="A883" s="1549"/>
      <c r="B883" s="1549"/>
      <c r="C883" s="1549"/>
      <c r="D883" s="1558"/>
      <c r="E883" s="1549"/>
      <c r="F883" s="1549"/>
      <c r="G883" s="1549"/>
      <c r="H883" s="1549"/>
      <c r="I883" s="1549"/>
      <c r="J883" s="1549"/>
      <c r="K883" s="1549"/>
      <c r="L883" s="1549"/>
      <c r="M883" s="1549"/>
      <c r="N883" s="1549"/>
      <c r="O883" s="1549"/>
      <c r="P883" s="1549"/>
      <c r="Q883" s="1549"/>
      <c r="R883" s="1549"/>
      <c r="S883" s="1549"/>
      <c r="T883" s="1549"/>
      <c r="U883" s="1549"/>
      <c r="V883" s="1549"/>
      <c r="W883" s="1549"/>
      <c r="X883" s="1549"/>
      <c r="Y883" s="1549"/>
      <c r="Z883" s="1549"/>
    </row>
    <row r="884" spans="1:26" ht="12.75" customHeight="1" x14ac:dyDescent="0.2">
      <c r="A884" s="1549"/>
      <c r="B884" s="1549"/>
      <c r="C884" s="1549"/>
      <c r="D884" s="1558"/>
      <c r="E884" s="1549"/>
      <c r="F884" s="1549"/>
      <c r="G884" s="1549"/>
      <c r="H884" s="1549"/>
      <c r="I884" s="1549"/>
      <c r="J884" s="1549"/>
      <c r="K884" s="1549"/>
      <c r="L884" s="1549"/>
      <c r="M884" s="1549"/>
      <c r="N884" s="1549"/>
      <c r="O884" s="1549"/>
      <c r="P884" s="1549"/>
      <c r="Q884" s="1549"/>
      <c r="R884" s="1549"/>
      <c r="S884" s="1549"/>
      <c r="T884" s="1549"/>
      <c r="U884" s="1549"/>
      <c r="V884" s="1549"/>
      <c r="W884" s="1549"/>
      <c r="X884" s="1549"/>
      <c r="Y884" s="1549"/>
      <c r="Z884" s="1549"/>
    </row>
    <row r="885" spans="1:26" ht="12.75" customHeight="1" x14ac:dyDescent="0.2">
      <c r="A885" s="1549"/>
      <c r="B885" s="1549"/>
      <c r="C885" s="1549"/>
      <c r="D885" s="1558"/>
      <c r="E885" s="1549"/>
      <c r="F885" s="1549"/>
      <c r="G885" s="1549"/>
      <c r="H885" s="1549"/>
      <c r="I885" s="1549"/>
      <c r="J885" s="1549"/>
      <c r="K885" s="1549"/>
      <c r="L885" s="1549"/>
      <c r="M885" s="1549"/>
      <c r="N885" s="1549"/>
      <c r="O885" s="1549"/>
      <c r="P885" s="1549"/>
      <c r="Q885" s="1549"/>
      <c r="R885" s="1549"/>
      <c r="S885" s="1549"/>
      <c r="T885" s="1549"/>
      <c r="U885" s="1549"/>
      <c r="V885" s="1549"/>
      <c r="W885" s="1549"/>
      <c r="X885" s="1549"/>
      <c r="Y885" s="1549"/>
      <c r="Z885" s="1549"/>
    </row>
    <row r="886" spans="1:26" ht="12.75" customHeight="1" x14ac:dyDescent="0.2">
      <c r="A886" s="1549"/>
      <c r="B886" s="1549"/>
      <c r="C886" s="1549"/>
      <c r="D886" s="1558"/>
      <c r="E886" s="1549"/>
      <c r="F886" s="1549"/>
      <c r="G886" s="1549"/>
      <c r="H886" s="1549"/>
      <c r="I886" s="1549"/>
      <c r="J886" s="1549"/>
      <c r="K886" s="1549"/>
      <c r="L886" s="1549"/>
      <c r="M886" s="1549"/>
      <c r="N886" s="1549"/>
      <c r="O886" s="1549"/>
      <c r="P886" s="1549"/>
      <c r="Q886" s="1549"/>
      <c r="R886" s="1549"/>
      <c r="S886" s="1549"/>
      <c r="T886" s="1549"/>
      <c r="U886" s="1549"/>
      <c r="V886" s="1549"/>
      <c r="W886" s="1549"/>
      <c r="X886" s="1549"/>
      <c r="Y886" s="1549"/>
      <c r="Z886" s="1549"/>
    </row>
    <row r="887" spans="1:26" ht="12.75" customHeight="1" x14ac:dyDescent="0.2">
      <c r="A887" s="1549"/>
      <c r="B887" s="1549"/>
      <c r="C887" s="1549"/>
      <c r="D887" s="1558"/>
      <c r="E887" s="1549"/>
      <c r="F887" s="1549"/>
      <c r="G887" s="1549"/>
      <c r="H887" s="1549"/>
      <c r="I887" s="1549"/>
      <c r="J887" s="1549"/>
      <c r="K887" s="1549"/>
      <c r="L887" s="1549"/>
      <c r="M887" s="1549"/>
      <c r="N887" s="1549"/>
      <c r="O887" s="1549"/>
      <c r="P887" s="1549"/>
      <c r="Q887" s="1549"/>
      <c r="R887" s="1549"/>
      <c r="S887" s="1549"/>
      <c r="T887" s="1549"/>
      <c r="U887" s="1549"/>
      <c r="V887" s="1549"/>
      <c r="W887" s="1549"/>
      <c r="X887" s="1549"/>
      <c r="Y887" s="1549"/>
      <c r="Z887" s="1549"/>
    </row>
    <row r="888" spans="1:26" ht="12.75" customHeight="1" x14ac:dyDescent="0.2">
      <c r="A888" s="1549"/>
      <c r="B888" s="1549"/>
      <c r="C888" s="1549"/>
      <c r="D888" s="1558"/>
      <c r="E888" s="1549"/>
      <c r="F888" s="1549"/>
      <c r="G888" s="1549"/>
      <c r="H888" s="1549"/>
      <c r="I888" s="1549"/>
      <c r="J888" s="1549"/>
      <c r="K888" s="1549"/>
      <c r="L888" s="1549"/>
      <c r="M888" s="1549"/>
      <c r="N888" s="1549"/>
      <c r="O888" s="1549"/>
      <c r="P888" s="1549"/>
      <c r="Q888" s="1549"/>
      <c r="R888" s="1549"/>
      <c r="S888" s="1549"/>
      <c r="T888" s="1549"/>
      <c r="U888" s="1549"/>
      <c r="V888" s="1549"/>
      <c r="W888" s="1549"/>
      <c r="X888" s="1549"/>
      <c r="Y888" s="1549"/>
      <c r="Z888" s="1549"/>
    </row>
    <row r="889" spans="1:26" ht="12.75" customHeight="1" x14ac:dyDescent="0.2">
      <c r="A889" s="1549"/>
      <c r="B889" s="1549"/>
      <c r="C889" s="1549"/>
      <c r="D889" s="1558"/>
      <c r="E889" s="1549"/>
      <c r="F889" s="1549"/>
      <c r="G889" s="1549"/>
      <c r="H889" s="1549"/>
      <c r="I889" s="1549"/>
      <c r="J889" s="1549"/>
      <c r="K889" s="1549"/>
      <c r="L889" s="1549"/>
      <c r="M889" s="1549"/>
      <c r="N889" s="1549"/>
      <c r="O889" s="1549"/>
      <c r="P889" s="1549"/>
      <c r="Q889" s="1549"/>
      <c r="R889" s="1549"/>
      <c r="S889" s="1549"/>
      <c r="T889" s="1549"/>
      <c r="U889" s="1549"/>
      <c r="V889" s="1549"/>
      <c r="W889" s="1549"/>
      <c r="X889" s="1549"/>
      <c r="Y889" s="1549"/>
      <c r="Z889" s="1549"/>
    </row>
    <row r="890" spans="1:26" ht="12.75" customHeight="1" x14ac:dyDescent="0.2">
      <c r="A890" s="1549"/>
      <c r="B890" s="1549"/>
      <c r="C890" s="1549"/>
      <c r="D890" s="1558"/>
      <c r="E890" s="1549"/>
      <c r="F890" s="1549"/>
      <c r="G890" s="1549"/>
      <c r="H890" s="1549"/>
      <c r="I890" s="1549"/>
      <c r="J890" s="1549"/>
      <c r="K890" s="1549"/>
      <c r="L890" s="1549"/>
      <c r="M890" s="1549"/>
      <c r="N890" s="1549"/>
      <c r="O890" s="1549"/>
      <c r="P890" s="1549"/>
      <c r="Q890" s="1549"/>
      <c r="R890" s="1549"/>
      <c r="S890" s="1549"/>
      <c r="T890" s="1549"/>
      <c r="U890" s="1549"/>
      <c r="V890" s="1549"/>
      <c r="W890" s="1549"/>
      <c r="X890" s="1549"/>
      <c r="Y890" s="1549"/>
      <c r="Z890" s="1549"/>
    </row>
    <row r="891" spans="1:26" ht="12.75" customHeight="1" x14ac:dyDescent="0.2">
      <c r="A891" s="1549"/>
      <c r="B891" s="1549"/>
      <c r="C891" s="1549"/>
      <c r="D891" s="1558"/>
      <c r="E891" s="1549"/>
      <c r="F891" s="1549"/>
      <c r="G891" s="1549"/>
      <c r="H891" s="1549"/>
      <c r="I891" s="1549"/>
      <c r="J891" s="1549"/>
      <c r="K891" s="1549"/>
      <c r="L891" s="1549"/>
      <c r="M891" s="1549"/>
      <c r="N891" s="1549"/>
      <c r="O891" s="1549"/>
      <c r="P891" s="1549"/>
      <c r="Q891" s="1549"/>
      <c r="R891" s="1549"/>
      <c r="S891" s="1549"/>
      <c r="T891" s="1549"/>
      <c r="U891" s="1549"/>
      <c r="V891" s="1549"/>
      <c r="W891" s="1549"/>
      <c r="X891" s="1549"/>
      <c r="Y891" s="1549"/>
      <c r="Z891" s="1549"/>
    </row>
    <row r="892" spans="1:26" ht="12.75" customHeight="1" x14ac:dyDescent="0.2">
      <c r="A892" s="1549"/>
      <c r="B892" s="1549"/>
      <c r="C892" s="1549"/>
      <c r="D892" s="1558"/>
      <c r="E892" s="1549"/>
      <c r="F892" s="1549"/>
      <c r="G892" s="1549"/>
      <c r="H892" s="1549"/>
      <c r="I892" s="1549"/>
      <c r="J892" s="1549"/>
      <c r="K892" s="1549"/>
      <c r="L892" s="1549"/>
      <c r="M892" s="1549"/>
      <c r="N892" s="1549"/>
      <c r="O892" s="1549"/>
      <c r="P892" s="1549"/>
      <c r="Q892" s="1549"/>
      <c r="R892" s="1549"/>
      <c r="S892" s="1549"/>
      <c r="T892" s="1549"/>
      <c r="U892" s="1549"/>
      <c r="V892" s="1549"/>
      <c r="W892" s="1549"/>
      <c r="X892" s="1549"/>
      <c r="Y892" s="1549"/>
      <c r="Z892" s="1549"/>
    </row>
    <row r="893" spans="1:26" ht="12.75" customHeight="1" x14ac:dyDescent="0.2">
      <c r="A893" s="1549"/>
      <c r="B893" s="1549"/>
      <c r="C893" s="1549"/>
      <c r="D893" s="1558"/>
      <c r="E893" s="1549"/>
      <c r="F893" s="1549"/>
      <c r="G893" s="1549"/>
      <c r="H893" s="1549"/>
      <c r="I893" s="1549"/>
      <c r="J893" s="1549"/>
      <c r="K893" s="1549"/>
      <c r="L893" s="1549"/>
      <c r="M893" s="1549"/>
      <c r="N893" s="1549"/>
      <c r="O893" s="1549"/>
      <c r="P893" s="1549"/>
      <c r="Q893" s="1549"/>
      <c r="R893" s="1549"/>
      <c r="S893" s="1549"/>
      <c r="T893" s="1549"/>
      <c r="U893" s="1549"/>
      <c r="V893" s="1549"/>
      <c r="W893" s="1549"/>
      <c r="X893" s="1549"/>
      <c r="Y893" s="1549"/>
      <c r="Z893" s="1549"/>
    </row>
    <row r="894" spans="1:26" ht="12.75" customHeight="1" x14ac:dyDescent="0.2">
      <c r="A894" s="1549"/>
      <c r="B894" s="1549"/>
      <c r="C894" s="1549"/>
      <c r="D894" s="1558"/>
      <c r="E894" s="1549"/>
      <c r="F894" s="1549"/>
      <c r="G894" s="1549"/>
      <c r="H894" s="1549"/>
      <c r="I894" s="1549"/>
      <c r="J894" s="1549"/>
      <c r="K894" s="1549"/>
      <c r="L894" s="1549"/>
      <c r="M894" s="1549"/>
      <c r="N894" s="1549"/>
      <c r="O894" s="1549"/>
      <c r="P894" s="1549"/>
      <c r="Q894" s="1549"/>
      <c r="R894" s="1549"/>
      <c r="S894" s="1549"/>
      <c r="T894" s="1549"/>
      <c r="U894" s="1549"/>
      <c r="V894" s="1549"/>
      <c r="W894" s="1549"/>
      <c r="X894" s="1549"/>
      <c r="Y894" s="1549"/>
      <c r="Z894" s="1549"/>
    </row>
    <row r="895" spans="1:26" ht="12.75" customHeight="1" x14ac:dyDescent="0.2">
      <c r="A895" s="1549"/>
      <c r="B895" s="1549"/>
      <c r="C895" s="1549"/>
      <c r="D895" s="1558"/>
      <c r="E895" s="1549"/>
      <c r="F895" s="1549"/>
      <c r="G895" s="1549"/>
      <c r="H895" s="1549"/>
      <c r="I895" s="1549"/>
      <c r="J895" s="1549"/>
      <c r="K895" s="1549"/>
      <c r="L895" s="1549"/>
      <c r="M895" s="1549"/>
      <c r="N895" s="1549"/>
      <c r="O895" s="1549"/>
      <c r="P895" s="1549"/>
      <c r="Q895" s="1549"/>
      <c r="R895" s="1549"/>
      <c r="S895" s="1549"/>
      <c r="T895" s="1549"/>
      <c r="U895" s="1549"/>
      <c r="V895" s="1549"/>
      <c r="W895" s="1549"/>
      <c r="X895" s="1549"/>
      <c r="Y895" s="1549"/>
      <c r="Z895" s="1549"/>
    </row>
    <row r="896" spans="1:26" ht="12.75" customHeight="1" x14ac:dyDescent="0.2">
      <c r="A896" s="1549"/>
      <c r="B896" s="1549"/>
      <c r="C896" s="1549"/>
      <c r="D896" s="1558"/>
      <c r="E896" s="1549"/>
      <c r="F896" s="1549"/>
      <c r="G896" s="1549"/>
      <c r="H896" s="1549"/>
      <c r="I896" s="1549"/>
      <c r="J896" s="1549"/>
      <c r="K896" s="1549"/>
      <c r="L896" s="1549"/>
      <c r="M896" s="1549"/>
      <c r="N896" s="1549"/>
      <c r="O896" s="1549"/>
      <c r="P896" s="1549"/>
      <c r="Q896" s="1549"/>
      <c r="R896" s="1549"/>
      <c r="S896" s="1549"/>
      <c r="T896" s="1549"/>
      <c r="U896" s="1549"/>
      <c r="V896" s="1549"/>
      <c r="W896" s="1549"/>
      <c r="X896" s="1549"/>
      <c r="Y896" s="1549"/>
      <c r="Z896" s="1549"/>
    </row>
    <row r="897" spans="1:26" ht="12.75" customHeight="1" x14ac:dyDescent="0.2">
      <c r="A897" s="1549"/>
      <c r="B897" s="1549"/>
      <c r="C897" s="1549"/>
      <c r="D897" s="1558"/>
      <c r="E897" s="1549"/>
      <c r="F897" s="1549"/>
      <c r="G897" s="1549"/>
      <c r="H897" s="1549"/>
      <c r="I897" s="1549"/>
      <c r="J897" s="1549"/>
      <c r="K897" s="1549"/>
      <c r="L897" s="1549"/>
      <c r="M897" s="1549"/>
      <c r="N897" s="1549"/>
      <c r="O897" s="1549"/>
      <c r="P897" s="1549"/>
      <c r="Q897" s="1549"/>
      <c r="R897" s="1549"/>
      <c r="S897" s="1549"/>
      <c r="T897" s="1549"/>
      <c r="U897" s="1549"/>
      <c r="V897" s="1549"/>
      <c r="W897" s="1549"/>
      <c r="X897" s="1549"/>
      <c r="Y897" s="1549"/>
      <c r="Z897" s="1549"/>
    </row>
    <row r="898" spans="1:26" ht="12.75" customHeight="1" x14ac:dyDescent="0.2">
      <c r="A898" s="1549"/>
      <c r="B898" s="1549"/>
      <c r="C898" s="1549"/>
      <c r="D898" s="1558"/>
      <c r="E898" s="1549"/>
      <c r="F898" s="1549"/>
      <c r="G898" s="1549"/>
      <c r="H898" s="1549"/>
      <c r="I898" s="1549"/>
      <c r="J898" s="1549"/>
      <c r="K898" s="1549"/>
      <c r="L898" s="1549"/>
      <c r="M898" s="1549"/>
      <c r="N898" s="1549"/>
      <c r="O898" s="1549"/>
      <c r="P898" s="1549"/>
      <c r="Q898" s="1549"/>
      <c r="R898" s="1549"/>
      <c r="S898" s="1549"/>
      <c r="T898" s="1549"/>
      <c r="U898" s="1549"/>
      <c r="V898" s="1549"/>
      <c r="W898" s="1549"/>
      <c r="X898" s="1549"/>
      <c r="Y898" s="1549"/>
      <c r="Z898" s="1549"/>
    </row>
    <row r="899" spans="1:26" ht="12.75" customHeight="1" x14ac:dyDescent="0.2">
      <c r="A899" s="1549"/>
      <c r="B899" s="1549"/>
      <c r="C899" s="1549"/>
      <c r="D899" s="1558"/>
      <c r="E899" s="1549"/>
      <c r="F899" s="1549"/>
      <c r="G899" s="1549"/>
      <c r="H899" s="1549"/>
      <c r="I899" s="1549"/>
      <c r="J899" s="1549"/>
      <c r="K899" s="1549"/>
      <c r="L899" s="1549"/>
      <c r="M899" s="1549"/>
      <c r="N899" s="1549"/>
      <c r="O899" s="1549"/>
      <c r="P899" s="1549"/>
      <c r="Q899" s="1549"/>
      <c r="R899" s="1549"/>
      <c r="S899" s="1549"/>
      <c r="T899" s="1549"/>
      <c r="U899" s="1549"/>
      <c r="V899" s="1549"/>
      <c r="W899" s="1549"/>
      <c r="X899" s="1549"/>
      <c r="Y899" s="1549"/>
      <c r="Z899" s="1549"/>
    </row>
    <row r="900" spans="1:26" ht="12.75" customHeight="1" x14ac:dyDescent="0.2">
      <c r="A900" s="1549"/>
      <c r="B900" s="1549"/>
      <c r="C900" s="1549"/>
      <c r="D900" s="1558"/>
      <c r="E900" s="1549"/>
      <c r="F900" s="1549"/>
      <c r="G900" s="1549"/>
      <c r="H900" s="1549"/>
      <c r="I900" s="1549"/>
      <c r="J900" s="1549"/>
      <c r="K900" s="1549"/>
      <c r="L900" s="1549"/>
      <c r="M900" s="1549"/>
      <c r="N900" s="1549"/>
      <c r="O900" s="1549"/>
      <c r="P900" s="1549"/>
      <c r="Q900" s="1549"/>
      <c r="R900" s="1549"/>
      <c r="S900" s="1549"/>
      <c r="T900" s="1549"/>
      <c r="U900" s="1549"/>
      <c r="V900" s="1549"/>
      <c r="W900" s="1549"/>
      <c r="X900" s="1549"/>
      <c r="Y900" s="1549"/>
      <c r="Z900" s="1549"/>
    </row>
    <row r="901" spans="1:26" ht="12.75" customHeight="1" x14ac:dyDescent="0.2">
      <c r="A901" s="1549"/>
      <c r="B901" s="1549"/>
      <c r="C901" s="1549"/>
      <c r="D901" s="1558"/>
      <c r="E901" s="1549"/>
      <c r="F901" s="1549"/>
      <c r="G901" s="1549"/>
      <c r="H901" s="1549"/>
      <c r="I901" s="1549"/>
      <c r="J901" s="1549"/>
      <c r="K901" s="1549"/>
      <c r="L901" s="1549"/>
      <c r="M901" s="1549"/>
      <c r="N901" s="1549"/>
      <c r="O901" s="1549"/>
      <c r="P901" s="1549"/>
      <c r="Q901" s="1549"/>
      <c r="R901" s="1549"/>
      <c r="S901" s="1549"/>
      <c r="T901" s="1549"/>
      <c r="U901" s="1549"/>
      <c r="V901" s="1549"/>
      <c r="W901" s="1549"/>
      <c r="X901" s="1549"/>
      <c r="Y901" s="1549"/>
      <c r="Z901" s="1549"/>
    </row>
    <row r="902" spans="1:26" ht="12.75" customHeight="1" x14ac:dyDescent="0.2">
      <c r="A902" s="1549"/>
      <c r="B902" s="1549"/>
      <c r="C902" s="1549"/>
      <c r="D902" s="1558"/>
      <c r="E902" s="1549"/>
      <c r="F902" s="1549"/>
      <c r="G902" s="1549"/>
      <c r="H902" s="1549"/>
      <c r="I902" s="1549"/>
      <c r="J902" s="1549"/>
      <c r="K902" s="1549"/>
      <c r="L902" s="1549"/>
      <c r="M902" s="1549"/>
      <c r="N902" s="1549"/>
      <c r="O902" s="1549"/>
      <c r="P902" s="1549"/>
      <c r="Q902" s="1549"/>
      <c r="R902" s="1549"/>
      <c r="S902" s="1549"/>
      <c r="T902" s="1549"/>
      <c r="U902" s="1549"/>
      <c r="V902" s="1549"/>
      <c r="W902" s="1549"/>
      <c r="X902" s="1549"/>
      <c r="Y902" s="1549"/>
      <c r="Z902" s="1549"/>
    </row>
    <row r="903" spans="1:26" ht="12.75" customHeight="1" x14ac:dyDescent="0.2">
      <c r="A903" s="1549"/>
      <c r="B903" s="1549"/>
      <c r="C903" s="1549"/>
      <c r="D903" s="1558"/>
      <c r="E903" s="1549"/>
      <c r="F903" s="1549"/>
      <c r="G903" s="1549"/>
      <c r="H903" s="1549"/>
      <c r="I903" s="1549"/>
      <c r="J903" s="1549"/>
      <c r="K903" s="1549"/>
      <c r="L903" s="1549"/>
      <c r="M903" s="1549"/>
      <c r="N903" s="1549"/>
      <c r="O903" s="1549"/>
      <c r="P903" s="1549"/>
      <c r="Q903" s="1549"/>
      <c r="R903" s="1549"/>
      <c r="S903" s="1549"/>
      <c r="T903" s="1549"/>
      <c r="U903" s="1549"/>
      <c r="V903" s="1549"/>
      <c r="W903" s="1549"/>
      <c r="X903" s="1549"/>
      <c r="Y903" s="1549"/>
      <c r="Z903" s="1549"/>
    </row>
    <row r="904" spans="1:26" ht="12.75" customHeight="1" x14ac:dyDescent="0.2">
      <c r="A904" s="1549"/>
      <c r="B904" s="1549"/>
      <c r="C904" s="1549"/>
      <c r="D904" s="1558"/>
      <c r="E904" s="1549"/>
      <c r="F904" s="1549"/>
      <c r="G904" s="1549"/>
      <c r="H904" s="1549"/>
      <c r="I904" s="1549"/>
      <c r="J904" s="1549"/>
      <c r="K904" s="1549"/>
      <c r="L904" s="1549"/>
      <c r="M904" s="1549"/>
      <c r="N904" s="1549"/>
      <c r="O904" s="1549"/>
      <c r="P904" s="1549"/>
      <c r="Q904" s="1549"/>
      <c r="R904" s="1549"/>
      <c r="S904" s="1549"/>
      <c r="T904" s="1549"/>
      <c r="U904" s="1549"/>
      <c r="V904" s="1549"/>
      <c r="W904" s="1549"/>
      <c r="X904" s="1549"/>
      <c r="Y904" s="1549"/>
      <c r="Z904" s="1549"/>
    </row>
    <row r="905" spans="1:26" ht="12.75" customHeight="1" x14ac:dyDescent="0.2">
      <c r="A905" s="1549"/>
      <c r="B905" s="1549"/>
      <c r="C905" s="1549"/>
      <c r="D905" s="1558"/>
      <c r="E905" s="1549"/>
      <c r="F905" s="1549"/>
      <c r="G905" s="1549"/>
      <c r="H905" s="1549"/>
      <c r="I905" s="1549"/>
      <c r="J905" s="1549"/>
      <c r="K905" s="1549"/>
      <c r="L905" s="1549"/>
      <c r="M905" s="1549"/>
      <c r="N905" s="1549"/>
      <c r="O905" s="1549"/>
      <c r="P905" s="1549"/>
      <c r="Q905" s="1549"/>
      <c r="R905" s="1549"/>
      <c r="S905" s="1549"/>
      <c r="T905" s="1549"/>
      <c r="U905" s="1549"/>
      <c r="V905" s="1549"/>
      <c r="W905" s="1549"/>
      <c r="X905" s="1549"/>
      <c r="Y905" s="1549"/>
      <c r="Z905" s="1549"/>
    </row>
    <row r="906" spans="1:26" ht="12.75" customHeight="1" x14ac:dyDescent="0.2">
      <c r="A906" s="1549"/>
      <c r="B906" s="1549"/>
      <c r="C906" s="1549"/>
      <c r="D906" s="1558"/>
      <c r="E906" s="1549"/>
      <c r="F906" s="1549"/>
      <c r="G906" s="1549"/>
      <c r="H906" s="1549"/>
      <c r="I906" s="1549"/>
      <c r="J906" s="1549"/>
      <c r="K906" s="1549"/>
      <c r="L906" s="1549"/>
      <c r="M906" s="1549"/>
      <c r="N906" s="1549"/>
      <c r="O906" s="1549"/>
      <c r="P906" s="1549"/>
      <c r="Q906" s="1549"/>
      <c r="R906" s="1549"/>
      <c r="S906" s="1549"/>
      <c r="T906" s="1549"/>
      <c r="U906" s="1549"/>
      <c r="V906" s="1549"/>
      <c r="W906" s="1549"/>
      <c r="X906" s="1549"/>
      <c r="Y906" s="1549"/>
      <c r="Z906" s="1549"/>
    </row>
    <row r="907" spans="1:26" ht="12.75" customHeight="1" x14ac:dyDescent="0.2">
      <c r="A907" s="1549"/>
      <c r="B907" s="1549"/>
      <c r="C907" s="1549"/>
      <c r="D907" s="1558"/>
      <c r="E907" s="1549"/>
      <c r="F907" s="1549"/>
      <c r="G907" s="1549"/>
      <c r="H907" s="1549"/>
      <c r="I907" s="1549"/>
      <c r="J907" s="1549"/>
      <c r="K907" s="1549"/>
      <c r="L907" s="1549"/>
      <c r="M907" s="1549"/>
      <c r="N907" s="1549"/>
      <c r="O907" s="1549"/>
      <c r="P907" s="1549"/>
      <c r="Q907" s="1549"/>
      <c r="R907" s="1549"/>
      <c r="S907" s="1549"/>
      <c r="T907" s="1549"/>
      <c r="U907" s="1549"/>
      <c r="V907" s="1549"/>
      <c r="W907" s="1549"/>
      <c r="X907" s="1549"/>
      <c r="Y907" s="1549"/>
      <c r="Z907" s="1549"/>
    </row>
    <row r="908" spans="1:26" ht="12.75" customHeight="1" x14ac:dyDescent="0.2">
      <c r="A908" s="1549"/>
      <c r="B908" s="1549"/>
      <c r="C908" s="1549"/>
      <c r="D908" s="1558"/>
      <c r="E908" s="1549"/>
      <c r="F908" s="1549"/>
      <c r="G908" s="1549"/>
      <c r="H908" s="1549"/>
      <c r="I908" s="1549"/>
      <c r="J908" s="1549"/>
      <c r="K908" s="1549"/>
      <c r="L908" s="1549"/>
      <c r="M908" s="1549"/>
      <c r="N908" s="1549"/>
      <c r="O908" s="1549"/>
      <c r="P908" s="1549"/>
      <c r="Q908" s="1549"/>
      <c r="R908" s="1549"/>
      <c r="S908" s="1549"/>
      <c r="T908" s="1549"/>
      <c r="U908" s="1549"/>
      <c r="V908" s="1549"/>
      <c r="W908" s="1549"/>
      <c r="X908" s="1549"/>
      <c r="Y908" s="1549"/>
      <c r="Z908" s="1549"/>
    </row>
    <row r="909" spans="1:26" ht="12.75" customHeight="1" x14ac:dyDescent="0.2">
      <c r="A909" s="1549"/>
      <c r="B909" s="1549"/>
      <c r="C909" s="1549"/>
      <c r="D909" s="1558"/>
      <c r="E909" s="1549"/>
      <c r="F909" s="1549"/>
      <c r="G909" s="1549"/>
      <c r="H909" s="1549"/>
      <c r="I909" s="1549"/>
      <c r="J909" s="1549"/>
      <c r="K909" s="1549"/>
      <c r="L909" s="1549"/>
      <c r="M909" s="1549"/>
      <c r="N909" s="1549"/>
      <c r="O909" s="1549"/>
      <c r="P909" s="1549"/>
      <c r="Q909" s="1549"/>
      <c r="R909" s="1549"/>
      <c r="S909" s="1549"/>
      <c r="T909" s="1549"/>
      <c r="U909" s="1549"/>
      <c r="V909" s="1549"/>
      <c r="W909" s="1549"/>
      <c r="X909" s="1549"/>
      <c r="Y909" s="1549"/>
      <c r="Z909" s="1549"/>
    </row>
    <row r="910" spans="1:26" ht="12.75" customHeight="1" x14ac:dyDescent="0.2">
      <c r="A910" s="1549"/>
      <c r="B910" s="1549"/>
      <c r="C910" s="1549"/>
      <c r="D910" s="1558"/>
      <c r="E910" s="1549"/>
      <c r="F910" s="1549"/>
      <c r="G910" s="1549"/>
      <c r="H910" s="1549"/>
      <c r="I910" s="1549"/>
      <c r="J910" s="1549"/>
      <c r="K910" s="1549"/>
      <c r="L910" s="1549"/>
      <c r="M910" s="1549"/>
      <c r="N910" s="1549"/>
      <c r="O910" s="1549"/>
      <c r="P910" s="1549"/>
      <c r="Q910" s="1549"/>
      <c r="R910" s="1549"/>
      <c r="S910" s="1549"/>
      <c r="T910" s="1549"/>
      <c r="U910" s="1549"/>
      <c r="V910" s="1549"/>
      <c r="W910" s="1549"/>
      <c r="X910" s="1549"/>
      <c r="Y910" s="1549"/>
      <c r="Z910" s="1549"/>
    </row>
    <row r="911" spans="1:26" ht="12.75" customHeight="1" x14ac:dyDescent="0.2">
      <c r="A911" s="1549"/>
      <c r="B911" s="1549"/>
      <c r="C911" s="1549"/>
      <c r="D911" s="1558"/>
      <c r="E911" s="1549"/>
      <c r="F911" s="1549"/>
      <c r="G911" s="1549"/>
      <c r="H911" s="1549"/>
      <c r="I911" s="1549"/>
      <c r="J911" s="1549"/>
      <c r="K911" s="1549"/>
      <c r="L911" s="1549"/>
      <c r="M911" s="1549"/>
      <c r="N911" s="1549"/>
      <c r="O911" s="1549"/>
      <c r="P911" s="1549"/>
      <c r="Q911" s="1549"/>
      <c r="R911" s="1549"/>
      <c r="S911" s="1549"/>
      <c r="T911" s="1549"/>
      <c r="U911" s="1549"/>
      <c r="V911" s="1549"/>
      <c r="W911" s="1549"/>
      <c r="X911" s="1549"/>
      <c r="Y911" s="1549"/>
      <c r="Z911" s="1549"/>
    </row>
    <row r="912" spans="1:26" ht="12.75" customHeight="1" x14ac:dyDescent="0.2">
      <c r="A912" s="1549"/>
      <c r="B912" s="1549"/>
      <c r="C912" s="1549"/>
      <c r="D912" s="1558"/>
      <c r="E912" s="1549"/>
      <c r="F912" s="1549"/>
      <c r="G912" s="1549"/>
      <c r="H912" s="1549"/>
      <c r="I912" s="1549"/>
      <c r="J912" s="1549"/>
      <c r="K912" s="1549"/>
      <c r="L912" s="1549"/>
      <c r="M912" s="1549"/>
      <c r="N912" s="1549"/>
      <c r="O912" s="1549"/>
      <c r="P912" s="1549"/>
      <c r="Q912" s="1549"/>
      <c r="R912" s="1549"/>
      <c r="S912" s="1549"/>
      <c r="T912" s="1549"/>
      <c r="U912" s="1549"/>
      <c r="V912" s="1549"/>
      <c r="W912" s="1549"/>
      <c r="X912" s="1549"/>
      <c r="Y912" s="1549"/>
      <c r="Z912" s="1549"/>
    </row>
    <row r="913" spans="1:26" ht="12.75" customHeight="1" x14ac:dyDescent="0.2">
      <c r="A913" s="1549"/>
      <c r="B913" s="1549"/>
      <c r="C913" s="1549"/>
      <c r="D913" s="1558"/>
      <c r="E913" s="1549"/>
      <c r="F913" s="1549"/>
      <c r="G913" s="1549"/>
      <c r="H913" s="1549"/>
      <c r="I913" s="1549"/>
      <c r="J913" s="1549"/>
      <c r="K913" s="1549"/>
      <c r="L913" s="1549"/>
      <c r="M913" s="1549"/>
      <c r="N913" s="1549"/>
      <c r="O913" s="1549"/>
      <c r="P913" s="1549"/>
      <c r="Q913" s="1549"/>
      <c r="R913" s="1549"/>
      <c r="S913" s="1549"/>
      <c r="T913" s="1549"/>
      <c r="U913" s="1549"/>
      <c r="V913" s="1549"/>
      <c r="W913" s="1549"/>
      <c r="X913" s="1549"/>
      <c r="Y913" s="1549"/>
      <c r="Z913" s="1549"/>
    </row>
    <row r="914" spans="1:26" ht="12.75" customHeight="1" x14ac:dyDescent="0.2">
      <c r="A914" s="1549"/>
      <c r="B914" s="1549"/>
      <c r="C914" s="1549"/>
      <c r="D914" s="1558"/>
      <c r="E914" s="1549"/>
      <c r="F914" s="1549"/>
      <c r="G914" s="1549"/>
      <c r="H914" s="1549"/>
      <c r="I914" s="1549"/>
      <c r="J914" s="1549"/>
      <c r="K914" s="1549"/>
      <c r="L914" s="1549"/>
      <c r="M914" s="1549"/>
      <c r="N914" s="1549"/>
      <c r="O914" s="1549"/>
      <c r="P914" s="1549"/>
      <c r="Q914" s="1549"/>
      <c r="R914" s="1549"/>
      <c r="S914" s="1549"/>
      <c r="T914" s="1549"/>
      <c r="U914" s="1549"/>
      <c r="V914" s="1549"/>
      <c r="W914" s="1549"/>
      <c r="X914" s="1549"/>
      <c r="Y914" s="1549"/>
      <c r="Z914" s="1549"/>
    </row>
    <row r="915" spans="1:26" ht="12.75" customHeight="1" x14ac:dyDescent="0.2">
      <c r="A915" s="1549"/>
      <c r="B915" s="1549"/>
      <c r="C915" s="1549"/>
      <c r="D915" s="1558"/>
      <c r="E915" s="1549"/>
      <c r="F915" s="1549"/>
      <c r="G915" s="1549"/>
      <c r="H915" s="1549"/>
      <c r="I915" s="1549"/>
      <c r="J915" s="1549"/>
      <c r="K915" s="1549"/>
      <c r="L915" s="1549"/>
      <c r="M915" s="1549"/>
      <c r="N915" s="1549"/>
      <c r="O915" s="1549"/>
      <c r="P915" s="1549"/>
      <c r="Q915" s="1549"/>
      <c r="R915" s="1549"/>
      <c r="S915" s="1549"/>
      <c r="T915" s="1549"/>
      <c r="U915" s="1549"/>
      <c r="V915" s="1549"/>
      <c r="W915" s="1549"/>
      <c r="X915" s="1549"/>
      <c r="Y915" s="1549"/>
      <c r="Z915" s="1549"/>
    </row>
    <row r="916" spans="1:26" ht="12.75" customHeight="1" x14ac:dyDescent="0.2">
      <c r="A916" s="1549"/>
      <c r="B916" s="1549"/>
      <c r="C916" s="1549"/>
      <c r="D916" s="1558"/>
      <c r="E916" s="1549"/>
      <c r="F916" s="1549"/>
      <c r="G916" s="1549"/>
      <c r="H916" s="1549"/>
      <c r="I916" s="1549"/>
      <c r="J916" s="1549"/>
      <c r="K916" s="1549"/>
      <c r="L916" s="1549"/>
      <c r="M916" s="1549"/>
      <c r="N916" s="1549"/>
      <c r="O916" s="1549"/>
      <c r="P916" s="1549"/>
      <c r="Q916" s="1549"/>
      <c r="R916" s="1549"/>
      <c r="S916" s="1549"/>
      <c r="T916" s="1549"/>
      <c r="U916" s="1549"/>
      <c r="V916" s="1549"/>
      <c r="W916" s="1549"/>
      <c r="X916" s="1549"/>
      <c r="Y916" s="1549"/>
      <c r="Z916" s="1549"/>
    </row>
    <row r="917" spans="1:26" ht="12.75" customHeight="1" x14ac:dyDescent="0.2">
      <c r="A917" s="1549"/>
      <c r="B917" s="1549"/>
      <c r="C917" s="1549"/>
      <c r="D917" s="1558"/>
      <c r="E917" s="1549"/>
      <c r="F917" s="1549"/>
      <c r="G917" s="1549"/>
      <c r="H917" s="1549"/>
      <c r="I917" s="1549"/>
      <c r="J917" s="1549"/>
      <c r="K917" s="1549"/>
      <c r="L917" s="1549"/>
      <c r="M917" s="1549"/>
      <c r="N917" s="1549"/>
      <c r="O917" s="1549"/>
      <c r="P917" s="1549"/>
      <c r="Q917" s="1549"/>
      <c r="R917" s="1549"/>
      <c r="S917" s="1549"/>
      <c r="T917" s="1549"/>
      <c r="U917" s="1549"/>
      <c r="V917" s="1549"/>
      <c r="W917" s="1549"/>
      <c r="X917" s="1549"/>
      <c r="Y917" s="1549"/>
      <c r="Z917" s="1549"/>
    </row>
    <row r="918" spans="1:26" ht="12.75" customHeight="1" x14ac:dyDescent="0.2">
      <c r="A918" s="1549"/>
      <c r="B918" s="1549"/>
      <c r="C918" s="1549"/>
      <c r="D918" s="1558"/>
      <c r="E918" s="1549"/>
      <c r="F918" s="1549"/>
      <c r="G918" s="1549"/>
      <c r="H918" s="1549"/>
      <c r="I918" s="1549"/>
      <c r="J918" s="1549"/>
      <c r="K918" s="1549"/>
      <c r="L918" s="1549"/>
      <c r="M918" s="1549"/>
      <c r="N918" s="1549"/>
      <c r="O918" s="1549"/>
      <c r="P918" s="1549"/>
      <c r="Q918" s="1549"/>
      <c r="R918" s="1549"/>
      <c r="S918" s="1549"/>
      <c r="T918" s="1549"/>
      <c r="U918" s="1549"/>
      <c r="V918" s="1549"/>
      <c r="W918" s="1549"/>
      <c r="X918" s="1549"/>
      <c r="Y918" s="1549"/>
      <c r="Z918" s="1549"/>
    </row>
    <row r="919" spans="1:26" ht="12.75" customHeight="1" x14ac:dyDescent="0.2">
      <c r="A919" s="1549"/>
      <c r="B919" s="1549"/>
      <c r="C919" s="1549"/>
      <c r="D919" s="1558"/>
      <c r="E919" s="1549"/>
      <c r="F919" s="1549"/>
      <c r="G919" s="1549"/>
      <c r="H919" s="1549"/>
      <c r="I919" s="1549"/>
      <c r="J919" s="1549"/>
      <c r="K919" s="1549"/>
      <c r="L919" s="1549"/>
      <c r="M919" s="1549"/>
      <c r="N919" s="1549"/>
      <c r="O919" s="1549"/>
      <c r="P919" s="1549"/>
      <c r="Q919" s="1549"/>
      <c r="R919" s="1549"/>
      <c r="S919" s="1549"/>
      <c r="T919" s="1549"/>
      <c r="U919" s="1549"/>
      <c r="V919" s="1549"/>
      <c r="W919" s="1549"/>
      <c r="X919" s="1549"/>
      <c r="Y919" s="1549"/>
      <c r="Z919" s="1549"/>
    </row>
    <row r="920" spans="1:26" ht="12.75" customHeight="1" x14ac:dyDescent="0.2">
      <c r="A920" s="1549"/>
      <c r="B920" s="1549"/>
      <c r="C920" s="1549"/>
      <c r="D920" s="1558"/>
      <c r="E920" s="1549"/>
      <c r="F920" s="1549"/>
      <c r="G920" s="1549"/>
      <c r="H920" s="1549"/>
      <c r="I920" s="1549"/>
      <c r="J920" s="1549"/>
      <c r="K920" s="1549"/>
      <c r="L920" s="1549"/>
      <c r="M920" s="1549"/>
      <c r="N920" s="1549"/>
      <c r="O920" s="1549"/>
      <c r="P920" s="1549"/>
      <c r="Q920" s="1549"/>
      <c r="R920" s="1549"/>
      <c r="S920" s="1549"/>
      <c r="T920" s="1549"/>
      <c r="U920" s="1549"/>
      <c r="V920" s="1549"/>
      <c r="W920" s="1549"/>
      <c r="X920" s="1549"/>
      <c r="Y920" s="1549"/>
      <c r="Z920" s="1549"/>
    </row>
    <row r="921" spans="1:26" ht="12.75" customHeight="1" x14ac:dyDescent="0.2">
      <c r="A921" s="1549"/>
      <c r="B921" s="1549"/>
      <c r="C921" s="1549"/>
      <c r="D921" s="1558"/>
      <c r="E921" s="1549"/>
      <c r="F921" s="1549"/>
      <c r="G921" s="1549"/>
      <c r="H921" s="1549"/>
      <c r="I921" s="1549"/>
      <c r="J921" s="1549"/>
      <c r="K921" s="1549"/>
      <c r="L921" s="1549"/>
      <c r="M921" s="1549"/>
      <c r="N921" s="1549"/>
      <c r="O921" s="1549"/>
      <c r="P921" s="1549"/>
      <c r="Q921" s="1549"/>
      <c r="R921" s="1549"/>
      <c r="S921" s="1549"/>
      <c r="T921" s="1549"/>
      <c r="U921" s="1549"/>
      <c r="V921" s="1549"/>
      <c r="W921" s="1549"/>
      <c r="X921" s="1549"/>
      <c r="Y921" s="1549"/>
      <c r="Z921" s="1549"/>
    </row>
    <row r="922" spans="1:26" ht="12.75" customHeight="1" x14ac:dyDescent="0.2">
      <c r="A922" s="1549"/>
      <c r="B922" s="1549"/>
      <c r="C922" s="1549"/>
      <c r="D922" s="1558"/>
      <c r="E922" s="1549"/>
      <c r="F922" s="1549"/>
      <c r="G922" s="1549"/>
      <c r="H922" s="1549"/>
      <c r="I922" s="1549"/>
      <c r="J922" s="1549"/>
      <c r="K922" s="1549"/>
      <c r="L922" s="1549"/>
      <c r="M922" s="1549"/>
      <c r="N922" s="1549"/>
      <c r="O922" s="1549"/>
      <c r="P922" s="1549"/>
      <c r="Q922" s="1549"/>
      <c r="R922" s="1549"/>
      <c r="S922" s="1549"/>
      <c r="T922" s="1549"/>
      <c r="U922" s="1549"/>
      <c r="V922" s="1549"/>
      <c r="W922" s="1549"/>
      <c r="X922" s="1549"/>
      <c r="Y922" s="1549"/>
      <c r="Z922" s="1549"/>
    </row>
    <row r="923" spans="1:26" ht="12.75" customHeight="1" x14ac:dyDescent="0.2">
      <c r="A923" s="1549"/>
      <c r="B923" s="1549"/>
      <c r="C923" s="1549"/>
      <c r="D923" s="1558"/>
      <c r="E923" s="1549"/>
      <c r="F923" s="1549"/>
      <c r="G923" s="1549"/>
      <c r="H923" s="1549"/>
      <c r="I923" s="1549"/>
      <c r="J923" s="1549"/>
      <c r="K923" s="1549"/>
      <c r="L923" s="1549"/>
      <c r="M923" s="1549"/>
      <c r="N923" s="1549"/>
      <c r="O923" s="1549"/>
      <c r="P923" s="1549"/>
      <c r="Q923" s="1549"/>
      <c r="R923" s="1549"/>
      <c r="S923" s="1549"/>
      <c r="T923" s="1549"/>
      <c r="U923" s="1549"/>
      <c r="V923" s="1549"/>
      <c r="W923" s="1549"/>
      <c r="X923" s="1549"/>
      <c r="Y923" s="1549"/>
      <c r="Z923" s="1549"/>
    </row>
    <row r="924" spans="1:26" ht="12.75" customHeight="1" x14ac:dyDescent="0.2">
      <c r="A924" s="1549"/>
      <c r="B924" s="1549"/>
      <c r="C924" s="1549"/>
      <c r="D924" s="1558"/>
      <c r="E924" s="1549"/>
      <c r="F924" s="1549"/>
      <c r="G924" s="1549"/>
      <c r="H924" s="1549"/>
      <c r="I924" s="1549"/>
      <c r="J924" s="1549"/>
      <c r="K924" s="1549"/>
      <c r="L924" s="1549"/>
      <c r="M924" s="1549"/>
      <c r="N924" s="1549"/>
      <c r="O924" s="1549"/>
      <c r="P924" s="1549"/>
      <c r="Q924" s="1549"/>
      <c r="R924" s="1549"/>
      <c r="S924" s="1549"/>
      <c r="T924" s="1549"/>
      <c r="U924" s="1549"/>
      <c r="V924" s="1549"/>
      <c r="W924" s="1549"/>
      <c r="X924" s="1549"/>
      <c r="Y924" s="1549"/>
      <c r="Z924" s="1549"/>
    </row>
    <row r="925" spans="1:26" ht="12.75" customHeight="1" x14ac:dyDescent="0.2">
      <c r="A925" s="1549"/>
      <c r="B925" s="1549"/>
      <c r="C925" s="1549"/>
      <c r="D925" s="1558"/>
      <c r="E925" s="1549"/>
      <c r="F925" s="1549"/>
      <c r="G925" s="1549"/>
      <c r="H925" s="1549"/>
      <c r="I925" s="1549"/>
      <c r="J925" s="1549"/>
      <c r="K925" s="1549"/>
      <c r="L925" s="1549"/>
      <c r="M925" s="1549"/>
      <c r="N925" s="1549"/>
      <c r="O925" s="1549"/>
      <c r="P925" s="1549"/>
      <c r="Q925" s="1549"/>
      <c r="R925" s="1549"/>
      <c r="S925" s="1549"/>
      <c r="T925" s="1549"/>
      <c r="U925" s="1549"/>
      <c r="V925" s="1549"/>
      <c r="W925" s="1549"/>
      <c r="X925" s="1549"/>
      <c r="Y925" s="1549"/>
      <c r="Z925" s="1549"/>
    </row>
    <row r="926" spans="1:26" ht="12.75" customHeight="1" x14ac:dyDescent="0.2">
      <c r="A926" s="1549"/>
      <c r="B926" s="1549"/>
      <c r="C926" s="1549"/>
      <c r="D926" s="1558"/>
      <c r="E926" s="1549"/>
      <c r="F926" s="1549"/>
      <c r="G926" s="1549"/>
      <c r="H926" s="1549"/>
      <c r="I926" s="1549"/>
      <c r="J926" s="1549"/>
      <c r="K926" s="1549"/>
      <c r="L926" s="1549"/>
      <c r="M926" s="1549"/>
      <c r="N926" s="1549"/>
      <c r="O926" s="1549"/>
      <c r="P926" s="1549"/>
      <c r="Q926" s="1549"/>
      <c r="R926" s="1549"/>
      <c r="S926" s="1549"/>
      <c r="T926" s="1549"/>
      <c r="U926" s="1549"/>
      <c r="V926" s="1549"/>
      <c r="W926" s="1549"/>
      <c r="X926" s="1549"/>
      <c r="Y926" s="1549"/>
      <c r="Z926" s="1549"/>
    </row>
    <row r="927" spans="1:26" ht="12.75" customHeight="1" x14ac:dyDescent="0.2">
      <c r="A927" s="1549"/>
      <c r="B927" s="1549"/>
      <c r="C927" s="1549"/>
      <c r="D927" s="1558"/>
      <c r="E927" s="1549"/>
      <c r="F927" s="1549"/>
      <c r="G927" s="1549"/>
      <c r="H927" s="1549"/>
      <c r="I927" s="1549"/>
      <c r="J927" s="1549"/>
      <c r="K927" s="1549"/>
      <c r="L927" s="1549"/>
      <c r="M927" s="1549"/>
      <c r="N927" s="1549"/>
      <c r="O927" s="1549"/>
      <c r="P927" s="1549"/>
      <c r="Q927" s="1549"/>
      <c r="R927" s="1549"/>
      <c r="S927" s="1549"/>
      <c r="T927" s="1549"/>
      <c r="U927" s="1549"/>
      <c r="V927" s="1549"/>
      <c r="W927" s="1549"/>
      <c r="X927" s="1549"/>
      <c r="Y927" s="1549"/>
      <c r="Z927" s="1549"/>
    </row>
    <row r="928" spans="1:26" ht="12.75" customHeight="1" x14ac:dyDescent="0.2">
      <c r="A928" s="1549"/>
      <c r="B928" s="1549"/>
      <c r="C928" s="1549"/>
      <c r="D928" s="1558"/>
      <c r="E928" s="1549"/>
      <c r="F928" s="1549"/>
      <c r="G928" s="1549"/>
      <c r="H928" s="1549"/>
      <c r="I928" s="1549"/>
      <c r="J928" s="1549"/>
      <c r="K928" s="1549"/>
      <c r="L928" s="1549"/>
      <c r="M928" s="1549"/>
      <c r="N928" s="1549"/>
      <c r="O928" s="1549"/>
      <c r="P928" s="1549"/>
      <c r="Q928" s="1549"/>
      <c r="R928" s="1549"/>
      <c r="S928" s="1549"/>
      <c r="T928" s="1549"/>
      <c r="U928" s="1549"/>
      <c r="V928" s="1549"/>
      <c r="W928" s="1549"/>
      <c r="X928" s="1549"/>
      <c r="Y928" s="1549"/>
      <c r="Z928" s="1549"/>
    </row>
    <row r="929" spans="1:26" ht="12.75" customHeight="1" x14ac:dyDescent="0.2">
      <c r="A929" s="1549"/>
      <c r="B929" s="1549"/>
      <c r="C929" s="1549"/>
      <c r="D929" s="1558"/>
      <c r="E929" s="1549"/>
      <c r="F929" s="1549"/>
      <c r="G929" s="1549"/>
      <c r="H929" s="1549"/>
      <c r="I929" s="1549"/>
      <c r="J929" s="1549"/>
      <c r="K929" s="1549"/>
      <c r="L929" s="1549"/>
      <c r="M929" s="1549"/>
      <c r="N929" s="1549"/>
      <c r="O929" s="1549"/>
      <c r="P929" s="1549"/>
      <c r="Q929" s="1549"/>
      <c r="R929" s="1549"/>
      <c r="S929" s="1549"/>
      <c r="T929" s="1549"/>
      <c r="U929" s="1549"/>
      <c r="V929" s="1549"/>
      <c r="W929" s="1549"/>
      <c r="X929" s="1549"/>
      <c r="Y929" s="1549"/>
      <c r="Z929" s="1549"/>
    </row>
    <row r="930" spans="1:26" ht="12.75" customHeight="1" x14ac:dyDescent="0.2">
      <c r="A930" s="1549"/>
      <c r="B930" s="1549"/>
      <c r="C930" s="1549"/>
      <c r="D930" s="1558"/>
      <c r="E930" s="1549"/>
      <c r="F930" s="1549"/>
      <c r="G930" s="1549"/>
      <c r="H930" s="1549"/>
      <c r="I930" s="1549"/>
      <c r="J930" s="1549"/>
      <c r="K930" s="1549"/>
      <c r="L930" s="1549"/>
      <c r="M930" s="1549"/>
      <c r="N930" s="1549"/>
      <c r="O930" s="1549"/>
      <c r="P930" s="1549"/>
      <c r="Q930" s="1549"/>
      <c r="R930" s="1549"/>
      <c r="S930" s="1549"/>
      <c r="T930" s="1549"/>
      <c r="U930" s="1549"/>
      <c r="V930" s="1549"/>
      <c r="W930" s="1549"/>
      <c r="X930" s="1549"/>
      <c r="Y930" s="1549"/>
      <c r="Z930" s="1549"/>
    </row>
    <row r="931" spans="1:26" ht="12.75" customHeight="1" x14ac:dyDescent="0.2">
      <c r="A931" s="1549"/>
      <c r="B931" s="1549"/>
      <c r="C931" s="1549"/>
      <c r="D931" s="1558"/>
      <c r="E931" s="1549"/>
      <c r="F931" s="1549"/>
      <c r="G931" s="1549"/>
      <c r="H931" s="1549"/>
      <c r="I931" s="1549"/>
      <c r="J931" s="1549"/>
      <c r="K931" s="1549"/>
      <c r="L931" s="1549"/>
      <c r="M931" s="1549"/>
      <c r="N931" s="1549"/>
      <c r="O931" s="1549"/>
      <c r="P931" s="1549"/>
      <c r="Q931" s="1549"/>
      <c r="R931" s="1549"/>
      <c r="S931" s="1549"/>
      <c r="T931" s="1549"/>
      <c r="U931" s="1549"/>
      <c r="V931" s="1549"/>
      <c r="W931" s="1549"/>
      <c r="X931" s="1549"/>
      <c r="Y931" s="1549"/>
      <c r="Z931" s="1549"/>
    </row>
    <row r="932" spans="1:26" ht="12.75" customHeight="1" x14ac:dyDescent="0.2">
      <c r="A932" s="1549"/>
      <c r="B932" s="1549"/>
      <c r="C932" s="1549"/>
      <c r="D932" s="1558"/>
      <c r="E932" s="1549"/>
      <c r="F932" s="1549"/>
      <c r="G932" s="1549"/>
      <c r="H932" s="1549"/>
      <c r="I932" s="1549"/>
      <c r="J932" s="1549"/>
      <c r="K932" s="1549"/>
      <c r="L932" s="1549"/>
      <c r="M932" s="1549"/>
      <c r="N932" s="1549"/>
      <c r="O932" s="1549"/>
      <c r="P932" s="1549"/>
      <c r="Q932" s="1549"/>
      <c r="R932" s="1549"/>
      <c r="S932" s="1549"/>
      <c r="T932" s="1549"/>
      <c r="U932" s="1549"/>
      <c r="V932" s="1549"/>
      <c r="W932" s="1549"/>
      <c r="X932" s="1549"/>
      <c r="Y932" s="1549"/>
      <c r="Z932" s="1549"/>
    </row>
    <row r="933" spans="1:26" ht="12.75" customHeight="1" x14ac:dyDescent="0.2">
      <c r="A933" s="1549"/>
      <c r="B933" s="1549"/>
      <c r="C933" s="1549"/>
      <c r="D933" s="1558"/>
      <c r="E933" s="1549"/>
      <c r="F933" s="1549"/>
      <c r="G933" s="1549"/>
      <c r="H933" s="1549"/>
      <c r="I933" s="1549"/>
      <c r="J933" s="1549"/>
      <c r="K933" s="1549"/>
      <c r="L933" s="1549"/>
      <c r="M933" s="1549"/>
      <c r="N933" s="1549"/>
      <c r="O933" s="1549"/>
      <c r="P933" s="1549"/>
      <c r="Q933" s="1549"/>
      <c r="R933" s="1549"/>
      <c r="S933" s="1549"/>
      <c r="T933" s="1549"/>
      <c r="U933" s="1549"/>
      <c r="V933" s="1549"/>
      <c r="W933" s="1549"/>
      <c r="X933" s="1549"/>
      <c r="Y933" s="1549"/>
      <c r="Z933" s="1549"/>
    </row>
    <row r="934" spans="1:26" ht="12.75" customHeight="1" x14ac:dyDescent="0.2">
      <c r="A934" s="1549"/>
      <c r="B934" s="1549"/>
      <c r="C934" s="1549"/>
      <c r="D934" s="1558"/>
      <c r="E934" s="1549"/>
      <c r="F934" s="1549"/>
      <c r="G934" s="1549"/>
      <c r="H934" s="1549"/>
      <c r="I934" s="1549"/>
      <c r="J934" s="1549"/>
      <c r="K934" s="1549"/>
      <c r="L934" s="1549"/>
      <c r="M934" s="1549"/>
      <c r="N934" s="1549"/>
      <c r="O934" s="1549"/>
      <c r="P934" s="1549"/>
      <c r="Q934" s="1549"/>
      <c r="R934" s="1549"/>
      <c r="S934" s="1549"/>
      <c r="T934" s="1549"/>
      <c r="U934" s="1549"/>
      <c r="V934" s="1549"/>
      <c r="W934" s="1549"/>
      <c r="X934" s="1549"/>
      <c r="Y934" s="1549"/>
      <c r="Z934" s="1549"/>
    </row>
    <row r="935" spans="1:26" ht="12.75" customHeight="1" x14ac:dyDescent="0.2">
      <c r="A935" s="1549"/>
      <c r="B935" s="1549"/>
      <c r="C935" s="1549"/>
      <c r="D935" s="1558"/>
      <c r="E935" s="1549"/>
      <c r="F935" s="1549"/>
      <c r="G935" s="1549"/>
      <c r="H935" s="1549"/>
      <c r="I935" s="1549"/>
      <c r="J935" s="1549"/>
      <c r="K935" s="1549"/>
      <c r="L935" s="1549"/>
      <c r="M935" s="1549"/>
      <c r="N935" s="1549"/>
      <c r="O935" s="1549"/>
      <c r="P935" s="1549"/>
      <c r="Q935" s="1549"/>
      <c r="R935" s="1549"/>
      <c r="S935" s="1549"/>
      <c r="T935" s="1549"/>
      <c r="U935" s="1549"/>
      <c r="V935" s="1549"/>
      <c r="W935" s="1549"/>
      <c r="X935" s="1549"/>
      <c r="Y935" s="1549"/>
      <c r="Z935" s="1549"/>
    </row>
    <row r="936" spans="1:26" ht="12.75" customHeight="1" x14ac:dyDescent="0.2">
      <c r="A936" s="1549"/>
      <c r="B936" s="1549"/>
      <c r="C936" s="1549"/>
      <c r="D936" s="1558"/>
      <c r="E936" s="1549"/>
      <c r="F936" s="1549"/>
      <c r="G936" s="1549"/>
      <c r="H936" s="1549"/>
      <c r="I936" s="1549"/>
      <c r="J936" s="1549"/>
      <c r="K936" s="1549"/>
      <c r="L936" s="1549"/>
      <c r="M936" s="1549"/>
      <c r="N936" s="1549"/>
      <c r="O936" s="1549"/>
      <c r="P936" s="1549"/>
      <c r="Q936" s="1549"/>
      <c r="R936" s="1549"/>
      <c r="S936" s="1549"/>
      <c r="T936" s="1549"/>
      <c r="U936" s="1549"/>
      <c r="V936" s="1549"/>
      <c r="W936" s="1549"/>
      <c r="X936" s="1549"/>
      <c r="Y936" s="1549"/>
      <c r="Z936" s="1549"/>
    </row>
    <row r="937" spans="1:26" ht="12.75" customHeight="1" x14ac:dyDescent="0.2">
      <c r="A937" s="1549"/>
      <c r="B937" s="1549"/>
      <c r="C937" s="1549"/>
      <c r="D937" s="1558"/>
      <c r="E937" s="1549"/>
      <c r="F937" s="1549"/>
      <c r="G937" s="1549"/>
      <c r="H937" s="1549"/>
      <c r="I937" s="1549"/>
      <c r="J937" s="1549"/>
      <c r="K937" s="1549"/>
      <c r="L937" s="1549"/>
      <c r="M937" s="1549"/>
      <c r="N937" s="1549"/>
      <c r="O937" s="1549"/>
      <c r="P937" s="1549"/>
      <c r="Q937" s="1549"/>
      <c r="R937" s="1549"/>
      <c r="S937" s="1549"/>
      <c r="T937" s="1549"/>
      <c r="U937" s="1549"/>
      <c r="V937" s="1549"/>
      <c r="W937" s="1549"/>
      <c r="X937" s="1549"/>
      <c r="Y937" s="1549"/>
      <c r="Z937" s="1549"/>
    </row>
    <row r="938" spans="1:26" ht="12.75" customHeight="1" x14ac:dyDescent="0.2">
      <c r="A938" s="1549"/>
      <c r="B938" s="1549"/>
      <c r="C938" s="1549"/>
      <c r="D938" s="1558"/>
      <c r="E938" s="1549"/>
      <c r="F938" s="1549"/>
      <c r="G938" s="1549"/>
      <c r="H938" s="1549"/>
      <c r="I938" s="1549"/>
      <c r="J938" s="1549"/>
      <c r="K938" s="1549"/>
      <c r="L938" s="1549"/>
      <c r="M938" s="1549"/>
      <c r="N938" s="1549"/>
      <c r="O938" s="1549"/>
      <c r="P938" s="1549"/>
      <c r="Q938" s="1549"/>
      <c r="R938" s="1549"/>
      <c r="S938" s="1549"/>
      <c r="T938" s="1549"/>
      <c r="U938" s="1549"/>
      <c r="V938" s="1549"/>
      <c r="W938" s="1549"/>
      <c r="X938" s="1549"/>
      <c r="Y938" s="1549"/>
      <c r="Z938" s="1549"/>
    </row>
    <row r="939" spans="1:26" ht="12.75" customHeight="1" x14ac:dyDescent="0.2">
      <c r="A939" s="1549"/>
      <c r="B939" s="1549"/>
      <c r="C939" s="1549"/>
      <c r="D939" s="1558"/>
      <c r="E939" s="1549"/>
      <c r="F939" s="1549"/>
      <c r="G939" s="1549"/>
      <c r="H939" s="1549"/>
      <c r="I939" s="1549"/>
      <c r="J939" s="1549"/>
      <c r="K939" s="1549"/>
      <c r="L939" s="1549"/>
      <c r="M939" s="1549"/>
      <c r="N939" s="1549"/>
      <c r="O939" s="1549"/>
      <c r="P939" s="1549"/>
      <c r="Q939" s="1549"/>
      <c r="R939" s="1549"/>
      <c r="S939" s="1549"/>
      <c r="T939" s="1549"/>
      <c r="U939" s="1549"/>
      <c r="V939" s="1549"/>
      <c r="W939" s="1549"/>
      <c r="X939" s="1549"/>
      <c r="Y939" s="1549"/>
      <c r="Z939" s="1549"/>
    </row>
    <row r="940" spans="1:26" ht="12.75" customHeight="1" x14ac:dyDescent="0.2">
      <c r="A940" s="1549"/>
      <c r="B940" s="1549"/>
      <c r="C940" s="1549"/>
      <c r="D940" s="1558"/>
      <c r="E940" s="1549"/>
      <c r="F940" s="1549"/>
      <c r="G940" s="1549"/>
      <c r="H940" s="1549"/>
      <c r="I940" s="1549"/>
      <c r="J940" s="1549"/>
      <c r="K940" s="1549"/>
      <c r="L940" s="1549"/>
      <c r="M940" s="1549"/>
      <c r="N940" s="1549"/>
      <c r="O940" s="1549"/>
      <c r="P940" s="1549"/>
      <c r="Q940" s="1549"/>
      <c r="R940" s="1549"/>
      <c r="S940" s="1549"/>
      <c r="T940" s="1549"/>
      <c r="U940" s="1549"/>
      <c r="V940" s="1549"/>
      <c r="W940" s="1549"/>
      <c r="X940" s="1549"/>
      <c r="Y940" s="1549"/>
      <c r="Z940" s="1549"/>
    </row>
    <row r="941" spans="1:26" ht="12.75" customHeight="1" x14ac:dyDescent="0.2">
      <c r="A941" s="1549"/>
      <c r="B941" s="1549"/>
      <c r="C941" s="1549"/>
      <c r="D941" s="1558"/>
      <c r="E941" s="1549"/>
      <c r="F941" s="1549"/>
      <c r="G941" s="1549"/>
      <c r="H941" s="1549"/>
      <c r="I941" s="1549"/>
      <c r="J941" s="1549"/>
      <c r="K941" s="1549"/>
      <c r="L941" s="1549"/>
      <c r="M941" s="1549"/>
      <c r="N941" s="1549"/>
      <c r="O941" s="1549"/>
      <c r="P941" s="1549"/>
      <c r="Q941" s="1549"/>
      <c r="R941" s="1549"/>
      <c r="S941" s="1549"/>
      <c r="T941" s="1549"/>
      <c r="U941" s="1549"/>
      <c r="V941" s="1549"/>
      <c r="W941" s="1549"/>
      <c r="X941" s="1549"/>
      <c r="Y941" s="1549"/>
      <c r="Z941" s="1549"/>
    </row>
    <row r="942" spans="1:26" ht="12.75" customHeight="1" x14ac:dyDescent="0.2">
      <c r="A942" s="1549"/>
      <c r="B942" s="1549"/>
      <c r="C942" s="1549"/>
      <c r="D942" s="1558"/>
      <c r="E942" s="1549"/>
      <c r="F942" s="1549"/>
      <c r="G942" s="1549"/>
      <c r="H942" s="1549"/>
      <c r="I942" s="1549"/>
      <c r="J942" s="1549"/>
      <c r="K942" s="1549"/>
      <c r="L942" s="1549"/>
      <c r="M942" s="1549"/>
      <c r="N942" s="1549"/>
      <c r="O942" s="1549"/>
      <c r="P942" s="1549"/>
      <c r="Q942" s="1549"/>
      <c r="R942" s="1549"/>
      <c r="S942" s="1549"/>
      <c r="T942" s="1549"/>
      <c r="U942" s="1549"/>
      <c r="V942" s="1549"/>
      <c r="W942" s="1549"/>
      <c r="X942" s="1549"/>
      <c r="Y942" s="1549"/>
      <c r="Z942" s="1549"/>
    </row>
    <row r="943" spans="1:26" ht="12.75" customHeight="1" x14ac:dyDescent="0.2">
      <c r="A943" s="1549"/>
      <c r="B943" s="1549"/>
      <c r="C943" s="1549"/>
      <c r="D943" s="1558"/>
      <c r="E943" s="1549"/>
      <c r="F943" s="1549"/>
      <c r="G943" s="1549"/>
      <c r="H943" s="1549"/>
      <c r="I943" s="1549"/>
      <c r="J943" s="1549"/>
      <c r="K943" s="1549"/>
      <c r="L943" s="1549"/>
      <c r="M943" s="1549"/>
      <c r="N943" s="1549"/>
      <c r="O943" s="1549"/>
      <c r="P943" s="1549"/>
      <c r="Q943" s="1549"/>
      <c r="R943" s="1549"/>
      <c r="S943" s="1549"/>
      <c r="T943" s="1549"/>
      <c r="U943" s="1549"/>
      <c r="V943" s="1549"/>
      <c r="W943" s="1549"/>
      <c r="X943" s="1549"/>
      <c r="Y943" s="1549"/>
      <c r="Z943" s="1549"/>
    </row>
    <row r="944" spans="1:26" ht="12.75" customHeight="1" x14ac:dyDescent="0.2">
      <c r="A944" s="1549"/>
      <c r="B944" s="1549"/>
      <c r="C944" s="1549"/>
      <c r="D944" s="1558"/>
      <c r="E944" s="1549"/>
      <c r="F944" s="1549"/>
      <c r="G944" s="1549"/>
      <c r="H944" s="1549"/>
      <c r="I944" s="1549"/>
      <c r="J944" s="1549"/>
      <c r="K944" s="1549"/>
      <c r="L944" s="1549"/>
      <c r="M944" s="1549"/>
      <c r="N944" s="1549"/>
      <c r="O944" s="1549"/>
      <c r="P944" s="1549"/>
      <c r="Q944" s="1549"/>
      <c r="R944" s="1549"/>
      <c r="S944" s="1549"/>
      <c r="T944" s="1549"/>
      <c r="U944" s="1549"/>
      <c r="V944" s="1549"/>
      <c r="W944" s="1549"/>
      <c r="X944" s="1549"/>
      <c r="Y944" s="1549"/>
      <c r="Z944" s="1549"/>
    </row>
    <row r="945" spans="1:26" ht="12.75" customHeight="1" x14ac:dyDescent="0.2">
      <c r="A945" s="1549"/>
      <c r="B945" s="1549"/>
      <c r="C945" s="1549"/>
      <c r="D945" s="1558"/>
      <c r="E945" s="1549"/>
      <c r="F945" s="1549"/>
      <c r="G945" s="1549"/>
      <c r="H945" s="1549"/>
      <c r="I945" s="1549"/>
      <c r="J945" s="1549"/>
      <c r="K945" s="1549"/>
      <c r="L945" s="1549"/>
      <c r="M945" s="1549"/>
      <c r="N945" s="1549"/>
      <c r="O945" s="1549"/>
      <c r="P945" s="1549"/>
      <c r="Q945" s="1549"/>
      <c r="R945" s="1549"/>
      <c r="S945" s="1549"/>
      <c r="T945" s="1549"/>
      <c r="U945" s="1549"/>
      <c r="V945" s="1549"/>
      <c r="W945" s="1549"/>
      <c r="X945" s="1549"/>
      <c r="Y945" s="1549"/>
      <c r="Z945" s="1549"/>
    </row>
    <row r="946" spans="1:26" ht="12.75" customHeight="1" x14ac:dyDescent="0.2">
      <c r="A946" s="1549"/>
      <c r="B946" s="1549"/>
      <c r="C946" s="1549"/>
      <c r="D946" s="1558"/>
      <c r="E946" s="1549"/>
      <c r="F946" s="1549"/>
      <c r="G946" s="1549"/>
      <c r="H946" s="1549"/>
      <c r="I946" s="1549"/>
      <c r="J946" s="1549"/>
      <c r="K946" s="1549"/>
      <c r="L946" s="1549"/>
      <c r="M946" s="1549"/>
      <c r="N946" s="1549"/>
      <c r="O946" s="1549"/>
      <c r="P946" s="1549"/>
      <c r="Q946" s="1549"/>
      <c r="R946" s="1549"/>
      <c r="S946" s="1549"/>
      <c r="T946" s="1549"/>
      <c r="U946" s="1549"/>
      <c r="V946" s="1549"/>
      <c r="W946" s="1549"/>
      <c r="X946" s="1549"/>
      <c r="Y946" s="1549"/>
      <c r="Z946" s="1549"/>
    </row>
    <row r="947" spans="1:26" ht="12.75" customHeight="1" x14ac:dyDescent="0.2">
      <c r="A947" s="1549"/>
      <c r="B947" s="1549"/>
      <c r="C947" s="1549"/>
      <c r="D947" s="1558"/>
      <c r="E947" s="1549"/>
      <c r="F947" s="1549"/>
      <c r="G947" s="1549"/>
      <c r="H947" s="1549"/>
      <c r="I947" s="1549"/>
      <c r="J947" s="1549"/>
      <c r="K947" s="1549"/>
      <c r="L947" s="1549"/>
      <c r="M947" s="1549"/>
      <c r="N947" s="1549"/>
      <c r="O947" s="1549"/>
      <c r="P947" s="1549"/>
      <c r="Q947" s="1549"/>
      <c r="R947" s="1549"/>
      <c r="S947" s="1549"/>
      <c r="T947" s="1549"/>
      <c r="U947" s="1549"/>
      <c r="V947" s="1549"/>
      <c r="W947" s="1549"/>
      <c r="X947" s="1549"/>
      <c r="Y947" s="1549"/>
      <c r="Z947" s="1549"/>
    </row>
    <row r="948" spans="1:26" ht="12.75" customHeight="1" x14ac:dyDescent="0.2">
      <c r="A948" s="1549"/>
      <c r="B948" s="1549"/>
      <c r="C948" s="1549"/>
      <c r="D948" s="1558"/>
      <c r="E948" s="1549"/>
      <c r="F948" s="1549"/>
      <c r="G948" s="1549"/>
      <c r="H948" s="1549"/>
      <c r="I948" s="1549"/>
      <c r="J948" s="1549"/>
      <c r="K948" s="1549"/>
      <c r="L948" s="1549"/>
      <c r="M948" s="1549"/>
      <c r="N948" s="1549"/>
      <c r="O948" s="1549"/>
      <c r="P948" s="1549"/>
      <c r="Q948" s="1549"/>
      <c r="R948" s="1549"/>
      <c r="S948" s="1549"/>
      <c r="T948" s="1549"/>
      <c r="U948" s="1549"/>
      <c r="V948" s="1549"/>
      <c r="W948" s="1549"/>
      <c r="X948" s="1549"/>
      <c r="Y948" s="1549"/>
      <c r="Z948" s="1549"/>
    </row>
    <row r="949" spans="1:26" ht="12.75" customHeight="1" x14ac:dyDescent="0.2">
      <c r="A949" s="1549"/>
      <c r="B949" s="1549"/>
      <c r="C949" s="1549"/>
      <c r="D949" s="1558"/>
      <c r="E949" s="1549"/>
      <c r="F949" s="1549"/>
      <c r="G949" s="1549"/>
      <c r="H949" s="1549"/>
      <c r="I949" s="1549"/>
      <c r="J949" s="1549"/>
      <c r="K949" s="1549"/>
      <c r="L949" s="1549"/>
      <c r="M949" s="1549"/>
      <c r="N949" s="1549"/>
      <c r="O949" s="1549"/>
      <c r="P949" s="1549"/>
      <c r="Q949" s="1549"/>
      <c r="R949" s="1549"/>
      <c r="S949" s="1549"/>
      <c r="T949" s="1549"/>
      <c r="U949" s="1549"/>
      <c r="V949" s="1549"/>
      <c r="W949" s="1549"/>
      <c r="X949" s="1549"/>
      <c r="Y949" s="1549"/>
      <c r="Z949" s="1549"/>
    </row>
    <row r="950" spans="1:26" ht="12.75" customHeight="1" x14ac:dyDescent="0.2">
      <c r="A950" s="1549"/>
      <c r="B950" s="1549"/>
      <c r="C950" s="1549"/>
      <c r="D950" s="1558"/>
      <c r="E950" s="1549"/>
      <c r="F950" s="1549"/>
      <c r="G950" s="1549"/>
      <c r="H950" s="1549"/>
      <c r="I950" s="1549"/>
      <c r="J950" s="1549"/>
      <c r="K950" s="1549"/>
      <c r="L950" s="1549"/>
      <c r="M950" s="1549"/>
      <c r="N950" s="1549"/>
      <c r="O950" s="1549"/>
      <c r="P950" s="1549"/>
      <c r="Q950" s="1549"/>
      <c r="R950" s="1549"/>
      <c r="S950" s="1549"/>
      <c r="T950" s="1549"/>
      <c r="U950" s="1549"/>
      <c r="V950" s="1549"/>
      <c r="W950" s="1549"/>
      <c r="X950" s="1549"/>
      <c r="Y950" s="1549"/>
      <c r="Z950" s="1549"/>
    </row>
    <row r="951" spans="1:26" ht="12.75" customHeight="1" x14ac:dyDescent="0.2">
      <c r="A951" s="1549"/>
      <c r="B951" s="1549"/>
      <c r="C951" s="1549"/>
      <c r="D951" s="1558"/>
      <c r="E951" s="1549"/>
      <c r="F951" s="1549"/>
      <c r="G951" s="1549"/>
      <c r="H951" s="1549"/>
      <c r="I951" s="1549"/>
      <c r="J951" s="1549"/>
      <c r="K951" s="1549"/>
      <c r="L951" s="1549"/>
      <c r="M951" s="1549"/>
      <c r="N951" s="1549"/>
      <c r="O951" s="1549"/>
      <c r="P951" s="1549"/>
      <c r="Q951" s="1549"/>
      <c r="R951" s="1549"/>
      <c r="S951" s="1549"/>
      <c r="T951" s="1549"/>
      <c r="U951" s="1549"/>
      <c r="V951" s="1549"/>
      <c r="W951" s="1549"/>
      <c r="X951" s="1549"/>
      <c r="Y951" s="1549"/>
      <c r="Z951" s="1549"/>
    </row>
    <row r="952" spans="1:26" ht="12.75" customHeight="1" x14ac:dyDescent="0.2">
      <c r="A952" s="1549"/>
      <c r="B952" s="1549"/>
      <c r="C952" s="1549"/>
      <c r="D952" s="1558"/>
      <c r="E952" s="1549"/>
      <c r="F952" s="1549"/>
      <c r="G952" s="1549"/>
      <c r="H952" s="1549"/>
      <c r="I952" s="1549"/>
      <c r="J952" s="1549"/>
      <c r="K952" s="1549"/>
      <c r="L952" s="1549"/>
      <c r="M952" s="1549"/>
      <c r="N952" s="1549"/>
      <c r="O952" s="1549"/>
      <c r="P952" s="1549"/>
      <c r="Q952" s="1549"/>
      <c r="R952" s="1549"/>
      <c r="S952" s="1549"/>
      <c r="T952" s="1549"/>
      <c r="U952" s="1549"/>
      <c r="V952" s="1549"/>
      <c r="W952" s="1549"/>
      <c r="X952" s="1549"/>
      <c r="Y952" s="1549"/>
      <c r="Z952" s="1549"/>
    </row>
    <row r="953" spans="1:26" ht="12.75" customHeight="1" x14ac:dyDescent="0.2">
      <c r="A953" s="1549"/>
      <c r="B953" s="1549"/>
      <c r="C953" s="1549"/>
      <c r="D953" s="1558"/>
      <c r="E953" s="1549"/>
      <c r="F953" s="1549"/>
      <c r="G953" s="1549"/>
      <c r="H953" s="1549"/>
      <c r="I953" s="1549"/>
      <c r="J953" s="1549"/>
      <c r="K953" s="1549"/>
      <c r="L953" s="1549"/>
      <c r="M953" s="1549"/>
      <c r="N953" s="1549"/>
      <c r="O953" s="1549"/>
      <c r="P953" s="1549"/>
      <c r="Q953" s="1549"/>
      <c r="R953" s="1549"/>
      <c r="S953" s="1549"/>
      <c r="T953" s="1549"/>
      <c r="U953" s="1549"/>
      <c r="V953" s="1549"/>
      <c r="W953" s="1549"/>
      <c r="X953" s="1549"/>
      <c r="Y953" s="1549"/>
      <c r="Z953" s="1549"/>
    </row>
    <row r="954" spans="1:26" ht="12.75" customHeight="1" x14ac:dyDescent="0.2">
      <c r="A954" s="1549"/>
      <c r="B954" s="1549"/>
      <c r="C954" s="1549"/>
      <c r="D954" s="1558"/>
      <c r="E954" s="1549"/>
      <c r="F954" s="1549"/>
      <c r="G954" s="1549"/>
      <c r="H954" s="1549"/>
      <c r="I954" s="1549"/>
      <c r="J954" s="1549"/>
      <c r="K954" s="1549"/>
      <c r="L954" s="1549"/>
      <c r="M954" s="1549"/>
      <c r="N954" s="1549"/>
      <c r="O954" s="1549"/>
      <c r="P954" s="1549"/>
      <c r="Q954" s="1549"/>
      <c r="R954" s="1549"/>
      <c r="S954" s="1549"/>
      <c r="T954" s="1549"/>
      <c r="U954" s="1549"/>
      <c r="V954" s="1549"/>
      <c r="W954" s="1549"/>
      <c r="X954" s="1549"/>
      <c r="Y954" s="1549"/>
      <c r="Z954" s="1549"/>
    </row>
    <row r="955" spans="1:26" ht="12.75" customHeight="1" x14ac:dyDescent="0.2">
      <c r="A955" s="1549"/>
      <c r="B955" s="1549"/>
      <c r="C955" s="1549"/>
      <c r="D955" s="1558"/>
      <c r="E955" s="1549"/>
      <c r="F955" s="1549"/>
      <c r="G955" s="1549"/>
      <c r="H955" s="1549"/>
      <c r="I955" s="1549"/>
      <c r="J955" s="1549"/>
      <c r="K955" s="1549"/>
      <c r="L955" s="1549"/>
      <c r="M955" s="1549"/>
      <c r="N955" s="1549"/>
      <c r="O955" s="1549"/>
      <c r="P955" s="1549"/>
      <c r="Q955" s="1549"/>
      <c r="R955" s="1549"/>
      <c r="S955" s="1549"/>
      <c r="T955" s="1549"/>
      <c r="U955" s="1549"/>
      <c r="V955" s="1549"/>
      <c r="W955" s="1549"/>
      <c r="X955" s="1549"/>
      <c r="Y955" s="1549"/>
      <c r="Z955" s="1549"/>
    </row>
    <row r="956" spans="1:26" ht="12.75" customHeight="1" x14ac:dyDescent="0.2">
      <c r="A956" s="1549"/>
      <c r="B956" s="1549"/>
      <c r="C956" s="1549"/>
      <c r="D956" s="1558"/>
      <c r="E956" s="1549"/>
      <c r="F956" s="1549"/>
      <c r="G956" s="1549"/>
      <c r="H956" s="1549"/>
      <c r="I956" s="1549"/>
      <c r="J956" s="1549"/>
      <c r="K956" s="1549"/>
      <c r="L956" s="1549"/>
      <c r="M956" s="1549"/>
      <c r="N956" s="1549"/>
      <c r="O956" s="1549"/>
      <c r="P956" s="1549"/>
      <c r="Q956" s="1549"/>
      <c r="R956" s="1549"/>
      <c r="S956" s="1549"/>
      <c r="T956" s="1549"/>
      <c r="U956" s="1549"/>
      <c r="V956" s="1549"/>
      <c r="W956" s="1549"/>
      <c r="X956" s="1549"/>
      <c r="Y956" s="1549"/>
      <c r="Z956" s="1549"/>
    </row>
    <row r="957" spans="1:26" ht="12.75" customHeight="1" x14ac:dyDescent="0.2">
      <c r="A957" s="1549"/>
      <c r="B957" s="1549"/>
      <c r="C957" s="1549"/>
      <c r="D957" s="1558"/>
      <c r="E957" s="1549"/>
      <c r="F957" s="1549"/>
      <c r="G957" s="1549"/>
      <c r="H957" s="1549"/>
      <c r="I957" s="1549"/>
      <c r="J957" s="1549"/>
      <c r="K957" s="1549"/>
      <c r="L957" s="1549"/>
      <c r="M957" s="1549"/>
      <c r="N957" s="1549"/>
      <c r="O957" s="1549"/>
      <c r="P957" s="1549"/>
      <c r="Q957" s="1549"/>
      <c r="R957" s="1549"/>
      <c r="S957" s="1549"/>
      <c r="T957" s="1549"/>
      <c r="U957" s="1549"/>
      <c r="V957" s="1549"/>
      <c r="W957" s="1549"/>
      <c r="X957" s="1549"/>
      <c r="Y957" s="1549"/>
      <c r="Z957" s="1549"/>
    </row>
    <row r="958" spans="1:26" ht="12.75" customHeight="1" x14ac:dyDescent="0.2">
      <c r="A958" s="1549"/>
      <c r="B958" s="1549"/>
      <c r="C958" s="1549"/>
      <c r="D958" s="1558"/>
      <c r="E958" s="1549"/>
      <c r="F958" s="1549"/>
      <c r="G958" s="1549"/>
      <c r="H958" s="1549"/>
      <c r="I958" s="1549"/>
      <c r="J958" s="1549"/>
      <c r="K958" s="1549"/>
      <c r="L958" s="1549"/>
      <c r="M958" s="1549"/>
      <c r="N958" s="1549"/>
      <c r="O958" s="1549"/>
      <c r="P958" s="1549"/>
      <c r="Q958" s="1549"/>
      <c r="R958" s="1549"/>
      <c r="S958" s="1549"/>
      <c r="T958" s="1549"/>
      <c r="U958" s="1549"/>
      <c r="V958" s="1549"/>
      <c r="W958" s="1549"/>
      <c r="X958" s="1549"/>
      <c r="Y958" s="1549"/>
      <c r="Z958" s="1549"/>
    </row>
    <row r="959" spans="1:26" ht="12.75" customHeight="1" x14ac:dyDescent="0.2">
      <c r="A959" s="1549"/>
      <c r="B959" s="1549"/>
      <c r="C959" s="1549"/>
      <c r="D959" s="1558"/>
      <c r="E959" s="1549"/>
      <c r="F959" s="1549"/>
      <c r="G959" s="1549"/>
      <c r="H959" s="1549"/>
      <c r="I959" s="1549"/>
      <c r="J959" s="1549"/>
      <c r="K959" s="1549"/>
      <c r="L959" s="1549"/>
      <c r="M959" s="1549"/>
      <c r="N959" s="1549"/>
      <c r="O959" s="1549"/>
      <c r="P959" s="1549"/>
      <c r="Q959" s="1549"/>
      <c r="R959" s="1549"/>
      <c r="S959" s="1549"/>
      <c r="T959" s="1549"/>
      <c r="U959" s="1549"/>
      <c r="V959" s="1549"/>
      <c r="W959" s="1549"/>
      <c r="X959" s="1549"/>
      <c r="Y959" s="1549"/>
      <c r="Z959" s="1549"/>
    </row>
    <row r="960" spans="1:26" ht="12.75" customHeight="1" x14ac:dyDescent="0.2">
      <c r="A960" s="1549"/>
      <c r="B960" s="1549"/>
      <c r="C960" s="1549"/>
      <c r="D960" s="1558"/>
      <c r="E960" s="1549"/>
      <c r="F960" s="1549"/>
      <c r="G960" s="1549"/>
      <c r="H960" s="1549"/>
      <c r="I960" s="1549"/>
      <c r="J960" s="1549"/>
      <c r="K960" s="1549"/>
      <c r="L960" s="1549"/>
      <c r="M960" s="1549"/>
      <c r="N960" s="1549"/>
      <c r="O960" s="1549"/>
      <c r="P960" s="1549"/>
      <c r="Q960" s="1549"/>
      <c r="R960" s="1549"/>
      <c r="S960" s="1549"/>
      <c r="T960" s="1549"/>
      <c r="U960" s="1549"/>
      <c r="V960" s="1549"/>
      <c r="W960" s="1549"/>
      <c r="X960" s="1549"/>
      <c r="Y960" s="1549"/>
      <c r="Z960" s="1549"/>
    </row>
    <row r="961" spans="1:26" ht="12.75" customHeight="1" x14ac:dyDescent="0.2">
      <c r="A961" s="1549"/>
      <c r="B961" s="1549"/>
      <c r="C961" s="1549"/>
      <c r="D961" s="1558"/>
      <c r="E961" s="1549"/>
      <c r="F961" s="1549"/>
      <c r="G961" s="1549"/>
      <c r="H961" s="1549"/>
      <c r="I961" s="1549"/>
      <c r="J961" s="1549"/>
      <c r="K961" s="1549"/>
      <c r="L961" s="1549"/>
      <c r="M961" s="1549"/>
      <c r="N961" s="1549"/>
      <c r="O961" s="1549"/>
      <c r="P961" s="1549"/>
      <c r="Q961" s="1549"/>
      <c r="R961" s="1549"/>
      <c r="S961" s="1549"/>
      <c r="T961" s="1549"/>
      <c r="U961" s="1549"/>
      <c r="V961" s="1549"/>
      <c r="W961" s="1549"/>
      <c r="X961" s="1549"/>
      <c r="Y961" s="1549"/>
      <c r="Z961" s="1549"/>
    </row>
    <row r="962" spans="1:26" ht="12.75" customHeight="1" x14ac:dyDescent="0.2">
      <c r="A962" s="1549"/>
      <c r="B962" s="1549"/>
      <c r="C962" s="1549"/>
      <c r="D962" s="1558"/>
      <c r="E962" s="1549"/>
      <c r="F962" s="1549"/>
      <c r="G962" s="1549"/>
      <c r="H962" s="1549"/>
      <c r="I962" s="1549"/>
      <c r="J962" s="1549"/>
      <c r="K962" s="1549"/>
      <c r="L962" s="1549"/>
      <c r="M962" s="1549"/>
      <c r="N962" s="1549"/>
      <c r="O962" s="1549"/>
      <c r="P962" s="1549"/>
      <c r="Q962" s="1549"/>
      <c r="R962" s="1549"/>
      <c r="S962" s="1549"/>
      <c r="T962" s="1549"/>
      <c r="U962" s="1549"/>
      <c r="V962" s="1549"/>
      <c r="W962" s="1549"/>
      <c r="X962" s="1549"/>
      <c r="Y962" s="1549"/>
      <c r="Z962" s="1549"/>
    </row>
    <row r="963" spans="1:26" ht="12.75" customHeight="1" x14ac:dyDescent="0.2">
      <c r="A963" s="1549"/>
      <c r="B963" s="1549"/>
      <c r="C963" s="1549"/>
      <c r="D963" s="1558"/>
      <c r="E963" s="1549"/>
      <c r="F963" s="1549"/>
      <c r="G963" s="1549"/>
      <c r="H963" s="1549"/>
      <c r="I963" s="1549"/>
      <c r="J963" s="1549"/>
      <c r="K963" s="1549"/>
      <c r="L963" s="1549"/>
      <c r="M963" s="1549"/>
      <c r="N963" s="1549"/>
      <c r="O963" s="1549"/>
      <c r="P963" s="1549"/>
      <c r="Q963" s="1549"/>
      <c r="R963" s="1549"/>
      <c r="S963" s="1549"/>
      <c r="T963" s="1549"/>
      <c r="U963" s="1549"/>
      <c r="V963" s="1549"/>
      <c r="W963" s="1549"/>
      <c r="X963" s="1549"/>
      <c r="Y963" s="1549"/>
      <c r="Z963" s="1549"/>
    </row>
    <row r="964" spans="1:26" ht="12.75" customHeight="1" x14ac:dyDescent="0.2">
      <c r="A964" s="1549"/>
      <c r="B964" s="1549"/>
      <c r="C964" s="1549"/>
      <c r="D964" s="1558"/>
      <c r="E964" s="1549"/>
      <c r="F964" s="1549"/>
      <c r="G964" s="1549"/>
      <c r="H964" s="1549"/>
      <c r="I964" s="1549"/>
      <c r="J964" s="1549"/>
      <c r="K964" s="1549"/>
      <c r="L964" s="1549"/>
      <c r="M964" s="1549"/>
      <c r="N964" s="1549"/>
      <c r="O964" s="1549"/>
      <c r="P964" s="1549"/>
      <c r="Q964" s="1549"/>
      <c r="R964" s="1549"/>
      <c r="S964" s="1549"/>
      <c r="T964" s="1549"/>
      <c r="U964" s="1549"/>
      <c r="V964" s="1549"/>
      <c r="W964" s="1549"/>
      <c r="X964" s="1549"/>
      <c r="Y964" s="1549"/>
      <c r="Z964" s="1549"/>
    </row>
    <row r="965" spans="1:26" ht="12.75" customHeight="1" x14ac:dyDescent="0.2">
      <c r="A965" s="1549"/>
      <c r="B965" s="1549"/>
      <c r="C965" s="1549"/>
      <c r="D965" s="1558"/>
      <c r="E965" s="1549"/>
      <c r="F965" s="1549"/>
      <c r="G965" s="1549"/>
      <c r="H965" s="1549"/>
      <c r="I965" s="1549"/>
      <c r="J965" s="1549"/>
      <c r="K965" s="1549"/>
      <c r="L965" s="1549"/>
      <c r="M965" s="1549"/>
      <c r="N965" s="1549"/>
      <c r="O965" s="1549"/>
      <c r="P965" s="1549"/>
      <c r="Q965" s="1549"/>
      <c r="R965" s="1549"/>
      <c r="S965" s="1549"/>
      <c r="T965" s="1549"/>
      <c r="U965" s="1549"/>
      <c r="V965" s="1549"/>
      <c r="W965" s="1549"/>
      <c r="X965" s="1549"/>
      <c r="Y965" s="1549"/>
      <c r="Z965" s="1549"/>
    </row>
    <row r="966" spans="1:26" ht="12.75" customHeight="1" x14ac:dyDescent="0.2">
      <c r="A966" s="1549"/>
      <c r="B966" s="1549"/>
      <c r="C966" s="1549"/>
      <c r="D966" s="1558"/>
      <c r="E966" s="1549"/>
      <c r="F966" s="1549"/>
      <c r="G966" s="1549"/>
      <c r="H966" s="1549"/>
      <c r="I966" s="1549"/>
      <c r="J966" s="1549"/>
      <c r="K966" s="1549"/>
      <c r="L966" s="1549"/>
      <c r="M966" s="1549"/>
      <c r="N966" s="1549"/>
      <c r="O966" s="1549"/>
      <c r="P966" s="1549"/>
      <c r="Q966" s="1549"/>
      <c r="R966" s="1549"/>
      <c r="S966" s="1549"/>
      <c r="T966" s="1549"/>
      <c r="U966" s="1549"/>
      <c r="V966" s="1549"/>
      <c r="W966" s="1549"/>
      <c r="X966" s="1549"/>
      <c r="Y966" s="1549"/>
      <c r="Z966" s="1549"/>
    </row>
    <row r="967" spans="1:26" ht="12.75" customHeight="1" x14ac:dyDescent="0.2">
      <c r="A967" s="1549"/>
      <c r="B967" s="1549"/>
      <c r="C967" s="1549"/>
      <c r="D967" s="1558"/>
      <c r="E967" s="1549"/>
      <c r="F967" s="1549"/>
      <c r="G967" s="1549"/>
      <c r="H967" s="1549"/>
      <c r="I967" s="1549"/>
      <c r="J967" s="1549"/>
      <c r="K967" s="1549"/>
      <c r="L967" s="1549"/>
      <c r="M967" s="1549"/>
      <c r="N967" s="1549"/>
      <c r="O967" s="1549"/>
      <c r="P967" s="1549"/>
      <c r="Q967" s="1549"/>
      <c r="R967" s="1549"/>
      <c r="S967" s="1549"/>
      <c r="T967" s="1549"/>
      <c r="U967" s="1549"/>
      <c r="V967" s="1549"/>
      <c r="W967" s="1549"/>
      <c r="X967" s="1549"/>
      <c r="Y967" s="1549"/>
      <c r="Z967" s="1549"/>
    </row>
    <row r="968" spans="1:26" ht="12.75" customHeight="1" x14ac:dyDescent="0.2">
      <c r="A968" s="1549"/>
      <c r="B968" s="1549"/>
      <c r="C968" s="1549"/>
      <c r="D968" s="1558"/>
      <c r="E968" s="1549"/>
      <c r="F968" s="1549"/>
      <c r="G968" s="1549"/>
      <c r="H968" s="1549"/>
      <c r="I968" s="1549"/>
      <c r="J968" s="1549"/>
      <c r="K968" s="1549"/>
      <c r="L968" s="1549"/>
      <c r="M968" s="1549"/>
      <c r="N968" s="1549"/>
      <c r="O968" s="1549"/>
      <c r="P968" s="1549"/>
      <c r="Q968" s="1549"/>
      <c r="R968" s="1549"/>
      <c r="S968" s="1549"/>
      <c r="T968" s="1549"/>
      <c r="U968" s="1549"/>
      <c r="V968" s="1549"/>
      <c r="W968" s="1549"/>
      <c r="X968" s="1549"/>
      <c r="Y968" s="1549"/>
      <c r="Z968" s="1549"/>
    </row>
    <row r="969" spans="1:26" ht="12.75" customHeight="1" x14ac:dyDescent="0.2">
      <c r="A969" s="1549"/>
      <c r="B969" s="1549"/>
      <c r="C969" s="1549"/>
      <c r="D969" s="1558"/>
      <c r="E969" s="1549"/>
      <c r="F969" s="1549"/>
      <c r="G969" s="1549"/>
      <c r="H969" s="1549"/>
      <c r="I969" s="1549"/>
      <c r="J969" s="1549"/>
      <c r="K969" s="1549"/>
      <c r="L969" s="1549"/>
      <c r="M969" s="1549"/>
      <c r="N969" s="1549"/>
      <c r="O969" s="1549"/>
      <c r="P969" s="1549"/>
      <c r="Q969" s="1549"/>
      <c r="R969" s="1549"/>
      <c r="S969" s="1549"/>
      <c r="T969" s="1549"/>
      <c r="U969" s="1549"/>
      <c r="V969" s="1549"/>
      <c r="W969" s="1549"/>
      <c r="X969" s="1549"/>
      <c r="Y969" s="1549"/>
      <c r="Z969" s="1549"/>
    </row>
    <row r="970" spans="1:26" ht="12.75" customHeight="1" x14ac:dyDescent="0.2">
      <c r="A970" s="1549"/>
      <c r="B970" s="1549"/>
      <c r="C970" s="1549"/>
      <c r="D970" s="1558"/>
      <c r="E970" s="1549"/>
      <c r="F970" s="1549"/>
      <c r="G970" s="1549"/>
      <c r="H970" s="1549"/>
      <c r="I970" s="1549"/>
      <c r="J970" s="1549"/>
      <c r="K970" s="1549"/>
      <c r="L970" s="1549"/>
      <c r="M970" s="1549"/>
      <c r="N970" s="1549"/>
      <c r="O970" s="1549"/>
      <c r="P970" s="1549"/>
      <c r="Q970" s="1549"/>
      <c r="R970" s="1549"/>
      <c r="S970" s="1549"/>
      <c r="T970" s="1549"/>
      <c r="U970" s="1549"/>
      <c r="V970" s="1549"/>
      <c r="W970" s="1549"/>
      <c r="X970" s="1549"/>
      <c r="Y970" s="1549"/>
      <c r="Z970" s="1549"/>
    </row>
    <row r="971" spans="1:26" ht="12.75" customHeight="1" x14ac:dyDescent="0.2">
      <c r="A971" s="1549"/>
      <c r="B971" s="1549"/>
      <c r="C971" s="1549"/>
      <c r="D971" s="1558"/>
      <c r="E971" s="1549"/>
      <c r="F971" s="1549"/>
      <c r="G971" s="1549"/>
      <c r="H971" s="1549"/>
      <c r="I971" s="1549"/>
      <c r="J971" s="1549"/>
      <c r="K971" s="1549"/>
      <c r="L971" s="1549"/>
      <c r="M971" s="1549"/>
      <c r="N971" s="1549"/>
      <c r="O971" s="1549"/>
      <c r="P971" s="1549"/>
      <c r="Q971" s="1549"/>
      <c r="R971" s="1549"/>
      <c r="S971" s="1549"/>
      <c r="T971" s="1549"/>
      <c r="U971" s="1549"/>
      <c r="V971" s="1549"/>
      <c r="W971" s="1549"/>
      <c r="X971" s="1549"/>
      <c r="Y971" s="1549"/>
      <c r="Z971" s="1549"/>
    </row>
    <row r="972" spans="1:26" ht="12.75" customHeight="1" x14ac:dyDescent="0.2">
      <c r="A972" s="1549"/>
      <c r="B972" s="1549"/>
      <c r="C972" s="1549"/>
      <c r="D972" s="1558"/>
      <c r="E972" s="1549"/>
      <c r="F972" s="1549"/>
      <c r="G972" s="1549"/>
      <c r="H972" s="1549"/>
      <c r="I972" s="1549"/>
      <c r="J972" s="1549"/>
      <c r="K972" s="1549"/>
      <c r="L972" s="1549"/>
      <c r="M972" s="1549"/>
      <c r="N972" s="1549"/>
      <c r="O972" s="1549"/>
      <c r="P972" s="1549"/>
      <c r="Q972" s="1549"/>
      <c r="R972" s="1549"/>
      <c r="S972" s="1549"/>
      <c r="T972" s="1549"/>
      <c r="U972" s="1549"/>
      <c r="V972" s="1549"/>
      <c r="W972" s="1549"/>
      <c r="X972" s="1549"/>
      <c r="Y972" s="1549"/>
      <c r="Z972" s="1549"/>
    </row>
    <row r="973" spans="1:26" ht="12.75" customHeight="1" x14ac:dyDescent="0.2">
      <c r="A973" s="1549"/>
      <c r="B973" s="1549"/>
      <c r="C973" s="1549"/>
      <c r="D973" s="1558"/>
      <c r="E973" s="1549"/>
      <c r="F973" s="1549"/>
      <c r="G973" s="1549"/>
      <c r="H973" s="1549"/>
      <c r="I973" s="1549"/>
      <c r="J973" s="1549"/>
      <c r="K973" s="1549"/>
      <c r="L973" s="1549"/>
      <c r="M973" s="1549"/>
      <c r="N973" s="1549"/>
      <c r="O973" s="1549"/>
      <c r="P973" s="1549"/>
      <c r="Q973" s="1549"/>
      <c r="R973" s="1549"/>
      <c r="S973" s="1549"/>
      <c r="T973" s="1549"/>
      <c r="U973" s="1549"/>
      <c r="V973" s="1549"/>
      <c r="W973" s="1549"/>
      <c r="X973" s="1549"/>
      <c r="Y973" s="1549"/>
      <c r="Z973" s="1549"/>
    </row>
    <row r="974" spans="1:26" ht="12.75" customHeight="1" x14ac:dyDescent="0.2">
      <c r="A974" s="1549"/>
      <c r="B974" s="1549"/>
      <c r="C974" s="1549"/>
      <c r="D974" s="1558"/>
      <c r="E974" s="1549"/>
      <c r="F974" s="1549"/>
      <c r="G974" s="1549"/>
      <c r="H974" s="1549"/>
      <c r="I974" s="1549"/>
      <c r="J974" s="1549"/>
      <c r="K974" s="1549"/>
      <c r="L974" s="1549"/>
      <c r="M974" s="1549"/>
      <c r="N974" s="1549"/>
      <c r="O974" s="1549"/>
      <c r="P974" s="1549"/>
      <c r="Q974" s="1549"/>
      <c r="R974" s="1549"/>
      <c r="S974" s="1549"/>
      <c r="T974" s="1549"/>
      <c r="U974" s="1549"/>
      <c r="V974" s="1549"/>
      <c r="W974" s="1549"/>
      <c r="X974" s="1549"/>
      <c r="Y974" s="1549"/>
      <c r="Z974" s="1549"/>
    </row>
    <row r="975" spans="1:26" ht="12.75" customHeight="1" x14ac:dyDescent="0.2">
      <c r="A975" s="1549"/>
      <c r="B975" s="1549"/>
      <c r="C975" s="1549"/>
      <c r="D975" s="1558"/>
      <c r="E975" s="1549"/>
      <c r="F975" s="1549"/>
      <c r="G975" s="1549"/>
      <c r="H975" s="1549"/>
      <c r="I975" s="1549"/>
      <c r="J975" s="1549"/>
      <c r="K975" s="1549"/>
      <c r="L975" s="1549"/>
      <c r="M975" s="1549"/>
      <c r="N975" s="1549"/>
      <c r="O975" s="1549"/>
      <c r="P975" s="1549"/>
      <c r="Q975" s="1549"/>
      <c r="R975" s="1549"/>
      <c r="S975" s="1549"/>
      <c r="T975" s="1549"/>
      <c r="U975" s="1549"/>
      <c r="V975" s="1549"/>
      <c r="W975" s="1549"/>
      <c r="X975" s="1549"/>
      <c r="Y975" s="1549"/>
      <c r="Z975" s="1549"/>
    </row>
    <row r="976" spans="1:26" ht="12.75" customHeight="1" x14ac:dyDescent="0.2">
      <c r="A976" s="1549"/>
      <c r="B976" s="1549"/>
      <c r="C976" s="1549"/>
      <c r="D976" s="1558"/>
      <c r="E976" s="1549"/>
      <c r="F976" s="1549"/>
      <c r="G976" s="1549"/>
      <c r="H976" s="1549"/>
      <c r="I976" s="1549"/>
      <c r="J976" s="1549"/>
      <c r="K976" s="1549"/>
      <c r="L976" s="1549"/>
      <c r="M976" s="1549"/>
      <c r="N976" s="1549"/>
      <c r="O976" s="1549"/>
      <c r="P976" s="1549"/>
      <c r="Q976" s="1549"/>
      <c r="R976" s="1549"/>
      <c r="S976" s="1549"/>
      <c r="T976" s="1549"/>
      <c r="U976" s="1549"/>
      <c r="V976" s="1549"/>
      <c r="W976" s="1549"/>
      <c r="X976" s="1549"/>
      <c r="Y976" s="1549"/>
      <c r="Z976" s="1549"/>
    </row>
    <row r="977" spans="1:26" ht="12.75" customHeight="1" x14ac:dyDescent="0.2">
      <c r="A977" s="1549"/>
      <c r="B977" s="1549"/>
      <c r="C977" s="1549"/>
      <c r="D977" s="1558"/>
      <c r="E977" s="1549"/>
      <c r="F977" s="1549"/>
      <c r="G977" s="1549"/>
      <c r="H977" s="1549"/>
      <c r="I977" s="1549"/>
      <c r="J977" s="1549"/>
      <c r="K977" s="1549"/>
      <c r="L977" s="1549"/>
      <c r="M977" s="1549"/>
      <c r="N977" s="1549"/>
      <c r="O977" s="1549"/>
      <c r="P977" s="1549"/>
      <c r="Q977" s="1549"/>
      <c r="R977" s="1549"/>
      <c r="S977" s="1549"/>
      <c r="T977" s="1549"/>
      <c r="U977" s="1549"/>
      <c r="V977" s="1549"/>
      <c r="W977" s="1549"/>
      <c r="X977" s="1549"/>
      <c r="Y977" s="1549"/>
      <c r="Z977" s="1549"/>
    </row>
    <row r="978" spans="1:26" ht="12.75" customHeight="1" x14ac:dyDescent="0.2">
      <c r="A978" s="1549"/>
      <c r="B978" s="1549"/>
      <c r="C978" s="1549"/>
      <c r="D978" s="1558"/>
      <c r="E978" s="1549"/>
      <c r="F978" s="1549"/>
      <c r="G978" s="1549"/>
      <c r="H978" s="1549"/>
      <c r="I978" s="1549"/>
      <c r="J978" s="1549"/>
      <c r="K978" s="1549"/>
      <c r="L978" s="1549"/>
      <c r="M978" s="1549"/>
      <c r="N978" s="1549"/>
      <c r="O978" s="1549"/>
      <c r="P978" s="1549"/>
      <c r="Q978" s="1549"/>
      <c r="R978" s="1549"/>
      <c r="S978" s="1549"/>
      <c r="T978" s="1549"/>
      <c r="U978" s="1549"/>
      <c r="V978" s="1549"/>
      <c r="W978" s="1549"/>
      <c r="X978" s="1549"/>
      <c r="Y978" s="1549"/>
      <c r="Z978" s="1549"/>
    </row>
    <row r="979" spans="1:26" ht="12.75" customHeight="1" x14ac:dyDescent="0.2">
      <c r="A979" s="1549"/>
      <c r="B979" s="1549"/>
      <c r="C979" s="1549"/>
      <c r="D979" s="1558"/>
      <c r="E979" s="1549"/>
      <c r="F979" s="1549"/>
      <c r="G979" s="1549"/>
      <c r="H979" s="1549"/>
      <c r="I979" s="1549"/>
      <c r="J979" s="1549"/>
      <c r="K979" s="1549"/>
      <c r="L979" s="1549"/>
      <c r="M979" s="1549"/>
      <c r="N979" s="1549"/>
      <c r="O979" s="1549"/>
      <c r="P979" s="1549"/>
      <c r="Q979" s="1549"/>
      <c r="R979" s="1549"/>
      <c r="S979" s="1549"/>
      <c r="T979" s="1549"/>
      <c r="U979" s="1549"/>
      <c r="V979" s="1549"/>
      <c r="W979" s="1549"/>
      <c r="X979" s="1549"/>
      <c r="Y979" s="1549"/>
      <c r="Z979" s="1549"/>
    </row>
    <row r="980" spans="1:26" ht="12.75" customHeight="1" x14ac:dyDescent="0.2">
      <c r="A980" s="1549"/>
      <c r="B980" s="1549"/>
      <c r="C980" s="1549"/>
      <c r="D980" s="1558"/>
      <c r="E980" s="1549"/>
      <c r="F980" s="1549"/>
      <c r="G980" s="1549"/>
      <c r="H980" s="1549"/>
      <c r="I980" s="1549"/>
      <c r="J980" s="1549"/>
      <c r="K980" s="1549"/>
      <c r="L980" s="1549"/>
      <c r="M980" s="1549"/>
      <c r="N980" s="1549"/>
      <c r="O980" s="1549"/>
      <c r="P980" s="1549"/>
      <c r="Q980" s="1549"/>
      <c r="R980" s="1549"/>
      <c r="S980" s="1549"/>
      <c r="T980" s="1549"/>
      <c r="U980" s="1549"/>
      <c r="V980" s="1549"/>
      <c r="W980" s="1549"/>
      <c r="X980" s="1549"/>
      <c r="Y980" s="1549"/>
      <c r="Z980" s="1549"/>
    </row>
    <row r="981" spans="1:26" ht="12.75" customHeight="1" x14ac:dyDescent="0.2">
      <c r="A981" s="1549"/>
      <c r="B981" s="1549"/>
      <c r="C981" s="1549"/>
      <c r="D981" s="1558"/>
      <c r="E981" s="1549"/>
      <c r="F981" s="1549"/>
      <c r="G981" s="1549"/>
      <c r="H981" s="1549"/>
      <c r="I981" s="1549"/>
      <c r="J981" s="1549"/>
      <c r="K981" s="1549"/>
      <c r="L981" s="1549"/>
      <c r="M981" s="1549"/>
      <c r="N981" s="1549"/>
      <c r="O981" s="1549"/>
      <c r="P981" s="1549"/>
      <c r="Q981" s="1549"/>
      <c r="R981" s="1549"/>
      <c r="S981" s="1549"/>
      <c r="T981" s="1549"/>
      <c r="U981" s="1549"/>
      <c r="V981" s="1549"/>
      <c r="W981" s="1549"/>
      <c r="X981" s="1549"/>
      <c r="Y981" s="1549"/>
      <c r="Z981" s="1549"/>
    </row>
    <row r="982" spans="1:26" ht="12.75" customHeight="1" x14ac:dyDescent="0.2">
      <c r="A982" s="1549"/>
      <c r="B982" s="1549"/>
      <c r="C982" s="1549"/>
      <c r="D982" s="1558"/>
      <c r="E982" s="1549"/>
      <c r="F982" s="1549"/>
      <c r="G982" s="1549"/>
      <c r="H982" s="1549"/>
      <c r="I982" s="1549"/>
      <c r="J982" s="1549"/>
      <c r="K982" s="1549"/>
      <c r="L982" s="1549"/>
      <c r="M982" s="1549"/>
      <c r="N982" s="1549"/>
      <c r="O982" s="1549"/>
      <c r="P982" s="1549"/>
      <c r="Q982" s="1549"/>
      <c r="R982" s="1549"/>
      <c r="S982" s="1549"/>
      <c r="T982" s="1549"/>
      <c r="U982" s="1549"/>
      <c r="V982" s="1549"/>
      <c r="W982" s="1549"/>
      <c r="X982" s="1549"/>
      <c r="Y982" s="1549"/>
      <c r="Z982" s="1549"/>
    </row>
    <row r="983" spans="1:26" ht="12.75" customHeight="1" x14ac:dyDescent="0.2">
      <c r="A983" s="1549"/>
      <c r="B983" s="1549"/>
      <c r="C983" s="1549"/>
      <c r="D983" s="1558"/>
      <c r="E983" s="1549"/>
      <c r="F983" s="1549"/>
      <c r="G983" s="1549"/>
      <c r="H983" s="1549"/>
      <c r="I983" s="1549"/>
      <c r="J983" s="1549"/>
      <c r="K983" s="1549"/>
      <c r="L983" s="1549"/>
      <c r="M983" s="1549"/>
      <c r="N983" s="1549"/>
      <c r="O983" s="1549"/>
      <c r="P983" s="1549"/>
      <c r="Q983" s="1549"/>
      <c r="R983" s="1549"/>
      <c r="S983" s="1549"/>
      <c r="T983" s="1549"/>
      <c r="U983" s="1549"/>
      <c r="V983" s="1549"/>
      <c r="W983" s="1549"/>
      <c r="X983" s="1549"/>
      <c r="Y983" s="1549"/>
      <c r="Z983" s="1549"/>
    </row>
    <row r="984" spans="1:26" ht="12.75" customHeight="1" x14ac:dyDescent="0.2">
      <c r="A984" s="1549"/>
      <c r="B984" s="1549"/>
      <c r="C984" s="1549"/>
      <c r="D984" s="1558"/>
      <c r="E984" s="1549"/>
      <c r="F984" s="1549"/>
      <c r="G984" s="1549"/>
      <c r="H984" s="1549"/>
      <c r="I984" s="1549"/>
      <c r="J984" s="1549"/>
      <c r="K984" s="1549"/>
      <c r="L984" s="1549"/>
      <c r="M984" s="1549"/>
      <c r="N984" s="1549"/>
      <c r="O984" s="1549"/>
      <c r="P984" s="1549"/>
      <c r="Q984" s="1549"/>
      <c r="R984" s="1549"/>
      <c r="S984" s="1549"/>
      <c r="T984" s="1549"/>
      <c r="U984" s="1549"/>
      <c r="V984" s="1549"/>
      <c r="W984" s="1549"/>
      <c r="X984" s="1549"/>
      <c r="Y984" s="1549"/>
      <c r="Z984" s="1549"/>
    </row>
    <row r="985" spans="1:26" ht="12.75" customHeight="1" x14ac:dyDescent="0.2">
      <c r="A985" s="1549"/>
      <c r="B985" s="1549"/>
      <c r="C985" s="1549"/>
      <c r="D985" s="1558"/>
      <c r="E985" s="1549"/>
      <c r="F985" s="1549"/>
      <c r="G985" s="1549"/>
      <c r="H985" s="1549"/>
      <c r="I985" s="1549"/>
      <c r="J985" s="1549"/>
      <c r="K985" s="1549"/>
      <c r="L985" s="1549"/>
      <c r="M985" s="1549"/>
      <c r="N985" s="1549"/>
      <c r="O985" s="1549"/>
      <c r="P985" s="1549"/>
      <c r="Q985" s="1549"/>
      <c r="R985" s="1549"/>
      <c r="S985" s="1549"/>
      <c r="T985" s="1549"/>
      <c r="U985" s="1549"/>
      <c r="V985" s="1549"/>
      <c r="W985" s="1549"/>
      <c r="X985" s="1549"/>
      <c r="Y985" s="1549"/>
      <c r="Z985" s="1549"/>
    </row>
    <row r="986" spans="1:26" ht="12.75" customHeight="1" x14ac:dyDescent="0.2">
      <c r="A986" s="1549"/>
      <c r="B986" s="1549"/>
      <c r="C986" s="1549"/>
      <c r="D986" s="1558"/>
      <c r="E986" s="1549"/>
      <c r="F986" s="1549"/>
      <c r="G986" s="1549"/>
      <c r="H986" s="1549"/>
      <c r="I986" s="1549"/>
      <c r="J986" s="1549"/>
      <c r="K986" s="1549"/>
      <c r="L986" s="1549"/>
      <c r="M986" s="1549"/>
      <c r="N986" s="1549"/>
      <c r="O986" s="1549"/>
      <c r="P986" s="1549"/>
      <c r="Q986" s="1549"/>
      <c r="R986" s="1549"/>
      <c r="S986" s="1549"/>
      <c r="T986" s="1549"/>
      <c r="U986" s="1549"/>
      <c r="V986" s="1549"/>
      <c r="W986" s="1549"/>
      <c r="X986" s="1549"/>
      <c r="Y986" s="1549"/>
      <c r="Z986" s="1549"/>
    </row>
    <row r="987" spans="1:26" ht="12.75" customHeight="1" x14ac:dyDescent="0.2">
      <c r="A987" s="1549"/>
      <c r="B987" s="1549"/>
      <c r="C987" s="1549"/>
      <c r="D987" s="1558"/>
      <c r="E987" s="1549"/>
      <c r="F987" s="1549"/>
      <c r="G987" s="1549"/>
      <c r="H987" s="1549"/>
      <c r="I987" s="1549"/>
      <c r="J987" s="1549"/>
      <c r="K987" s="1549"/>
      <c r="L987" s="1549"/>
      <c r="M987" s="1549"/>
      <c r="N987" s="1549"/>
      <c r="O987" s="1549"/>
      <c r="P987" s="1549"/>
      <c r="Q987" s="1549"/>
      <c r="R987" s="1549"/>
      <c r="S987" s="1549"/>
      <c r="T987" s="1549"/>
      <c r="U987" s="1549"/>
      <c r="V987" s="1549"/>
      <c r="W987" s="1549"/>
      <c r="X987" s="1549"/>
      <c r="Y987" s="1549"/>
      <c r="Z987" s="1549"/>
    </row>
    <row r="988" spans="1:26" ht="12.75" customHeight="1" x14ac:dyDescent="0.2">
      <c r="A988" s="1549"/>
      <c r="B988" s="1549"/>
      <c r="C988" s="1549"/>
      <c r="D988" s="1558"/>
      <c r="E988" s="1549"/>
      <c r="F988" s="1549"/>
      <c r="G988" s="1549"/>
      <c r="H988" s="1549"/>
      <c r="I988" s="1549"/>
      <c r="J988" s="1549"/>
      <c r="K988" s="1549"/>
      <c r="L988" s="1549"/>
      <c r="M988" s="1549"/>
      <c r="N988" s="1549"/>
      <c r="O988" s="1549"/>
      <c r="P988" s="1549"/>
      <c r="Q988" s="1549"/>
      <c r="R988" s="1549"/>
      <c r="S988" s="1549"/>
      <c r="T988" s="1549"/>
      <c r="U988" s="1549"/>
      <c r="V988" s="1549"/>
      <c r="W988" s="1549"/>
      <c r="X988" s="1549"/>
      <c r="Y988" s="1549"/>
      <c r="Z988" s="1549"/>
    </row>
    <row r="989" spans="1:26" ht="12.75" customHeight="1" x14ac:dyDescent="0.2">
      <c r="A989" s="1549"/>
      <c r="B989" s="1549"/>
      <c r="C989" s="1549"/>
      <c r="D989" s="1558"/>
      <c r="E989" s="1549"/>
      <c r="F989" s="1549"/>
      <c r="G989" s="1549"/>
      <c r="H989" s="1549"/>
      <c r="I989" s="1549"/>
      <c r="J989" s="1549"/>
      <c r="K989" s="1549"/>
      <c r="L989" s="1549"/>
      <c r="M989" s="1549"/>
      <c r="N989" s="1549"/>
      <c r="O989" s="1549"/>
      <c r="P989" s="1549"/>
      <c r="Q989" s="1549"/>
      <c r="R989" s="1549"/>
      <c r="S989" s="1549"/>
      <c r="T989" s="1549"/>
      <c r="U989" s="1549"/>
      <c r="V989" s="1549"/>
      <c r="W989" s="1549"/>
      <c r="X989" s="1549"/>
      <c r="Y989" s="1549"/>
      <c r="Z989" s="1549"/>
    </row>
    <row r="990" spans="1:26" ht="12.75" customHeight="1" x14ac:dyDescent="0.2">
      <c r="A990" s="1549"/>
      <c r="B990" s="1549"/>
      <c r="C990" s="1549"/>
      <c r="D990" s="1558"/>
      <c r="E990" s="1549"/>
      <c r="F990" s="1549"/>
      <c r="G990" s="1549"/>
      <c r="H990" s="1549"/>
      <c r="I990" s="1549"/>
      <c r="J990" s="1549"/>
      <c r="K990" s="1549"/>
      <c r="L990" s="1549"/>
      <c r="M990" s="1549"/>
      <c r="N990" s="1549"/>
      <c r="O990" s="1549"/>
      <c r="P990" s="1549"/>
      <c r="Q990" s="1549"/>
      <c r="R990" s="1549"/>
      <c r="S990" s="1549"/>
      <c r="T990" s="1549"/>
      <c r="U990" s="1549"/>
      <c r="V990" s="1549"/>
      <c r="W990" s="1549"/>
      <c r="X990" s="1549"/>
      <c r="Y990" s="1549"/>
      <c r="Z990" s="1549"/>
    </row>
    <row r="991" spans="1:26" ht="12.75" customHeight="1" x14ac:dyDescent="0.2">
      <c r="A991" s="1549"/>
      <c r="B991" s="1549"/>
      <c r="C991" s="1549"/>
      <c r="D991" s="1558"/>
      <c r="E991" s="1549"/>
      <c r="F991" s="1549"/>
      <c r="G991" s="1549"/>
      <c r="H991" s="1549"/>
      <c r="I991" s="1549"/>
      <c r="J991" s="1549"/>
      <c r="K991" s="1549"/>
      <c r="L991" s="1549"/>
      <c r="M991" s="1549"/>
      <c r="N991" s="1549"/>
      <c r="O991" s="1549"/>
      <c r="P991" s="1549"/>
      <c r="Q991" s="1549"/>
      <c r="R991" s="1549"/>
      <c r="S991" s="1549"/>
      <c r="T991" s="1549"/>
      <c r="U991" s="1549"/>
      <c r="V991" s="1549"/>
      <c r="W991" s="1549"/>
      <c r="X991" s="1549"/>
      <c r="Y991" s="1549"/>
      <c r="Z991" s="1549"/>
    </row>
    <row r="992" spans="1:26" ht="12.75" customHeight="1" x14ac:dyDescent="0.2">
      <c r="A992" s="1549"/>
      <c r="B992" s="1549"/>
      <c r="C992" s="1549"/>
      <c r="D992" s="1558"/>
      <c r="E992" s="1549"/>
      <c r="F992" s="1549"/>
      <c r="G992" s="1549"/>
      <c r="H992" s="1549"/>
      <c r="I992" s="1549"/>
      <c r="J992" s="1549"/>
      <c r="K992" s="1549"/>
      <c r="L992" s="1549"/>
      <c r="M992" s="1549"/>
      <c r="N992" s="1549"/>
      <c r="O992" s="1549"/>
      <c r="P992" s="1549"/>
      <c r="Q992" s="1549"/>
      <c r="R992" s="1549"/>
      <c r="S992" s="1549"/>
      <c r="T992" s="1549"/>
      <c r="U992" s="1549"/>
      <c r="V992" s="1549"/>
      <c r="W992" s="1549"/>
      <c r="X992" s="1549"/>
      <c r="Y992" s="1549"/>
      <c r="Z992" s="1549"/>
    </row>
    <row r="993" spans="1:26" ht="12.75" customHeight="1" x14ac:dyDescent="0.2">
      <c r="A993" s="1549"/>
      <c r="B993" s="1549"/>
      <c r="C993" s="1549"/>
      <c r="D993" s="1558"/>
      <c r="E993" s="1549"/>
      <c r="F993" s="1549"/>
      <c r="G993" s="1549"/>
      <c r="H993" s="1549"/>
      <c r="I993" s="1549"/>
      <c r="J993" s="1549"/>
      <c r="K993" s="1549"/>
      <c r="L993" s="1549"/>
      <c r="M993" s="1549"/>
      <c r="N993" s="1549"/>
      <c r="O993" s="1549"/>
      <c r="P993" s="1549"/>
      <c r="Q993" s="1549"/>
      <c r="R993" s="1549"/>
      <c r="S993" s="1549"/>
      <c r="T993" s="1549"/>
      <c r="U993" s="1549"/>
      <c r="V993" s="1549"/>
      <c r="W993" s="1549"/>
      <c r="X993" s="1549"/>
      <c r="Y993" s="1549"/>
      <c r="Z993" s="1549"/>
    </row>
    <row r="994" spans="1:26" ht="12.75" customHeight="1" x14ac:dyDescent="0.2">
      <c r="A994" s="1549"/>
      <c r="B994" s="1549"/>
      <c r="C994" s="1549"/>
      <c r="D994" s="1558"/>
      <c r="E994" s="1549"/>
      <c r="F994" s="1549"/>
      <c r="G994" s="1549"/>
      <c r="H994" s="1549"/>
      <c r="I994" s="1549"/>
      <c r="J994" s="1549"/>
      <c r="K994" s="1549"/>
      <c r="L994" s="1549"/>
      <c r="M994" s="1549"/>
      <c r="N994" s="1549"/>
      <c r="O994" s="1549"/>
      <c r="P994" s="1549"/>
      <c r="Q994" s="1549"/>
      <c r="R994" s="1549"/>
      <c r="S994" s="1549"/>
      <c r="T994" s="1549"/>
      <c r="U994" s="1549"/>
      <c r="V994" s="1549"/>
      <c r="W994" s="1549"/>
      <c r="X994" s="1549"/>
      <c r="Y994" s="1549"/>
      <c r="Z994" s="1549"/>
    </row>
    <row r="995" spans="1:26" ht="12.75" customHeight="1" x14ac:dyDescent="0.2">
      <c r="A995" s="1549"/>
      <c r="B995" s="1549"/>
      <c r="C995" s="1549"/>
      <c r="D995" s="1558"/>
      <c r="E995" s="1549"/>
      <c r="F995" s="1549"/>
      <c r="G995" s="1549"/>
      <c r="H995" s="1549"/>
      <c r="I995" s="1549"/>
      <c r="J995" s="1549"/>
      <c r="K995" s="1549"/>
      <c r="L995" s="1549"/>
      <c r="M995" s="1549"/>
      <c r="N995" s="1549"/>
      <c r="O995" s="1549"/>
      <c r="P995" s="1549"/>
      <c r="Q995" s="1549"/>
      <c r="R995" s="1549"/>
      <c r="S995" s="1549"/>
      <c r="T995" s="1549"/>
      <c r="U995" s="1549"/>
      <c r="V995" s="1549"/>
      <c r="W995" s="1549"/>
      <c r="X995" s="1549"/>
      <c r="Y995" s="1549"/>
      <c r="Z995" s="1549"/>
    </row>
    <row r="996" spans="1:26" ht="12.75" customHeight="1" x14ac:dyDescent="0.2">
      <c r="A996" s="1549"/>
      <c r="B996" s="1549"/>
      <c r="C996" s="1549"/>
      <c r="D996" s="1558"/>
      <c r="E996" s="1549"/>
      <c r="F996" s="1549"/>
      <c r="G996" s="1549"/>
      <c r="H996" s="1549"/>
      <c r="I996" s="1549"/>
      <c r="J996" s="1549"/>
      <c r="K996" s="1549"/>
      <c r="L996" s="1549"/>
      <c r="M996" s="1549"/>
      <c r="N996" s="1549"/>
      <c r="O996" s="1549"/>
      <c r="P996" s="1549"/>
      <c r="Q996" s="1549"/>
      <c r="R996" s="1549"/>
      <c r="S996" s="1549"/>
      <c r="T996" s="1549"/>
      <c r="U996" s="1549"/>
      <c r="V996" s="1549"/>
      <c r="W996" s="1549"/>
      <c r="X996" s="1549"/>
      <c r="Y996" s="1549"/>
      <c r="Z996" s="1549"/>
    </row>
    <row r="997" spans="1:26" ht="12.75" customHeight="1" x14ac:dyDescent="0.2">
      <c r="A997" s="1549"/>
      <c r="B997" s="1549"/>
      <c r="C997" s="1549"/>
      <c r="D997" s="1558"/>
      <c r="E997" s="1549"/>
      <c r="F997" s="1549"/>
      <c r="G997" s="1549"/>
      <c r="H997" s="1549"/>
      <c r="I997" s="1549"/>
      <c r="J997" s="1549"/>
      <c r="K997" s="1549"/>
      <c r="L997" s="1549"/>
      <c r="M997" s="1549"/>
      <c r="N997" s="1549"/>
      <c r="O997" s="1549"/>
      <c r="P997" s="1549"/>
      <c r="Q997" s="1549"/>
      <c r="R997" s="1549"/>
      <c r="S997" s="1549"/>
      <c r="T997" s="1549"/>
      <c r="U997" s="1549"/>
      <c r="V997" s="1549"/>
      <c r="W997" s="1549"/>
      <c r="X997" s="1549"/>
      <c r="Y997" s="1549"/>
      <c r="Z997" s="1549"/>
    </row>
    <row r="998" spans="1:26" ht="12.75" customHeight="1" x14ac:dyDescent="0.2">
      <c r="A998" s="1549"/>
      <c r="B998" s="1549"/>
      <c r="C998" s="1549"/>
      <c r="D998" s="1558"/>
      <c r="E998" s="1549"/>
      <c r="F998" s="1549"/>
      <c r="G998" s="1549"/>
      <c r="H998" s="1549"/>
      <c r="I998" s="1549"/>
      <c r="J998" s="1549"/>
      <c r="K998" s="1549"/>
      <c r="L998" s="1549"/>
      <c r="M998" s="1549"/>
      <c r="N998" s="1549"/>
      <c r="O998" s="1549"/>
      <c r="P998" s="1549"/>
      <c r="Q998" s="1549"/>
      <c r="R998" s="1549"/>
      <c r="S998" s="1549"/>
      <c r="T998" s="1549"/>
      <c r="U998" s="1549"/>
      <c r="V998" s="1549"/>
      <c r="W998" s="1549"/>
      <c r="X998" s="1549"/>
      <c r="Y998" s="1549"/>
      <c r="Z998" s="1549"/>
    </row>
    <row r="999" spans="1:26" ht="12.75" customHeight="1" x14ac:dyDescent="0.2">
      <c r="A999" s="1549"/>
      <c r="B999" s="1549"/>
      <c r="C999" s="1549"/>
      <c r="D999" s="1558"/>
      <c r="E999" s="1549"/>
      <c r="F999" s="1549"/>
      <c r="G999" s="1549"/>
      <c r="H999" s="1549"/>
      <c r="I999" s="1549"/>
      <c r="J999" s="1549"/>
      <c r="K999" s="1549"/>
      <c r="L999" s="1549"/>
      <c r="M999" s="1549"/>
      <c r="N999" s="1549"/>
      <c r="O999" s="1549"/>
      <c r="P999" s="1549"/>
      <c r="Q999" s="1549"/>
      <c r="R999" s="1549"/>
      <c r="S999" s="1549"/>
      <c r="T999" s="1549"/>
      <c r="U999" s="1549"/>
      <c r="V999" s="1549"/>
      <c r="W999" s="1549"/>
      <c r="X999" s="1549"/>
      <c r="Y999" s="1549"/>
      <c r="Z999" s="1549"/>
    </row>
    <row r="1000" spans="1:26" ht="12.75" customHeight="1" x14ac:dyDescent="0.2">
      <c r="A1000" s="1549"/>
      <c r="B1000" s="1549"/>
      <c r="C1000" s="1549"/>
      <c r="D1000" s="1558"/>
      <c r="E1000" s="1549"/>
      <c r="F1000" s="1549"/>
      <c r="G1000" s="1549"/>
      <c r="H1000" s="1549"/>
      <c r="I1000" s="1549"/>
      <c r="J1000" s="1549"/>
      <c r="K1000" s="1549"/>
      <c r="L1000" s="1549"/>
      <c r="M1000" s="1549"/>
      <c r="N1000" s="1549"/>
      <c r="O1000" s="1549"/>
      <c r="P1000" s="1549"/>
      <c r="Q1000" s="1549"/>
      <c r="R1000" s="1549"/>
      <c r="S1000" s="1549"/>
      <c r="T1000" s="1549"/>
      <c r="U1000" s="1549"/>
      <c r="V1000" s="1549"/>
      <c r="W1000" s="1549"/>
      <c r="X1000" s="1549"/>
      <c r="Y1000" s="1549"/>
      <c r="Z1000" s="1549"/>
    </row>
  </sheetData>
  <mergeCells count="11">
    <mergeCell ref="D77:J77"/>
    <mergeCell ref="D90:J90"/>
    <mergeCell ref="D106:J106"/>
    <mergeCell ref="D122:J122"/>
    <mergeCell ref="D139:J139"/>
    <mergeCell ref="D60:J60"/>
    <mergeCell ref="B2:L2"/>
    <mergeCell ref="D20:F20"/>
    <mergeCell ref="H20:J20"/>
    <mergeCell ref="D22:J22"/>
    <mergeCell ref="D45:J45"/>
  </mergeCells>
  <hyperlinks>
    <hyperlink ref="H23" location="5.Debit-Analysis!C86" display="CHQ" xr:uid="{9F73F32E-C808-489C-A0C1-EFC7BDC14EC9}"/>
    <hyperlink ref="D24" location="6.Credit-Analysis!C101" display="NEFT" xr:uid="{57E600ED-64D9-439D-AE55-D2FA3FD88557}"/>
    <hyperlink ref="H24" location="5.Debit-Analysis!C8" display="INTER-FIRM" xr:uid="{0E9F5DB4-60FB-49AF-9918-610F37999A74}"/>
    <hyperlink ref="D25" location="6.Credit-Analysis!C209" display="FOREX-TRANSFER" xr:uid="{76F8C9D0-5A70-4F35-8546-56805BADDC8A}"/>
    <hyperlink ref="H25" location="5.Debit-Analysis!C1374" display="RTGS" xr:uid="{BD9270B4-FA37-49B2-ABA9-2E3ADECFCB62}"/>
    <hyperlink ref="D26" location="6.Credit-Analysis!C47" display="INTER-FIRM" xr:uid="{36E2A928-9401-456B-BF9C-CC4943B778D0}"/>
    <hyperlink ref="H26" location="5.Debit-Analysis!C1103" display="TRANSFER" xr:uid="{8CBD5D31-A079-4316-BC21-B746BD6F5517}"/>
    <hyperlink ref="D27" location="6.Credit-Analysis!C3" display="LOAN-CREDIT" xr:uid="{ED5A5357-FEBD-452D-842E-739B7074764C}"/>
    <hyperlink ref="H27" location="5.Debit-Analysis!C64" display="CASH" xr:uid="{C2FCE7D1-DF1D-4B84-84E7-72841682F492}"/>
    <hyperlink ref="D28" location="6.Credit-Analysis!C58" display="TRANSFER" xr:uid="{004907F7-FB27-4E72-B63F-F9549D5C5494}"/>
    <hyperlink ref="H28" location="5.Debit-Analysis!C1444" display="OTHER-TRANSFER" xr:uid="{5B664DBB-8D53-424F-B69D-DEA4B752D02B}"/>
    <hyperlink ref="D29" location="6.Credit-Analysis!C73" display="RTGS" xr:uid="{E124B078-4220-4E7A-ABC8-7CC5798A6398}"/>
    <hyperlink ref="H29" location="5.Debit-Analysis!C1393" display="OTHER-STATUTORY" xr:uid="{5E03A85A-5EB8-452F-B565-590E9179D44E}"/>
    <hyperlink ref="D30" location="6.Credit-Analysis!C51" display="CHQ" xr:uid="{04780B51-BD0C-407A-BEA1-A976A5E3E857}"/>
    <hyperlink ref="H30" location="5.Debit-Analysis!C1457" display="PROMOTER" xr:uid="{D2E6DEFD-7166-45B4-BB5B-5844048D8320}"/>
    <hyperlink ref="D31" location="6.Credit-Analysis!C240" display="OTHER-TRANSFER" xr:uid="{BE3D198B-0CAB-4184-8AE7-F846E56D42CC}"/>
    <hyperlink ref="H31" location="5.Debit-Analysis!C1346" display="EMI-DEBIT" xr:uid="{5E38D62C-1821-44B5-8E1E-A956F01DAEDE}"/>
    <hyperlink ref="D32" location="6.Credit-Analysis!C71" display="REVERSED" xr:uid="{17D596AB-2A09-43FD-8104-6B14B58EFF2F}"/>
    <hyperlink ref="H32" location="5.Debit-Analysis!C1236" display="INTEREST-PAID" xr:uid="{96FBA053-E2F7-423E-BADC-1A4AB5942933}"/>
    <hyperlink ref="H33" location="5.Debit-Analysis!C1232" display="SALARY-PAID" xr:uid="{6FF69279-2B9F-4FAA-B56D-6B44367D1D13}"/>
    <hyperlink ref="H34" location="5.Debit-Analysis!C3" display="LOAN-DEBIT" xr:uid="{AE98C0DF-F034-4A10-8A44-32EF8400205E}"/>
    <hyperlink ref="H35" location="5.Debit-Analysis!C1396" display="FOREX-TRANSFER" xr:uid="{319085DA-2860-4579-A728-873A228DDB6F}"/>
    <hyperlink ref="H36" location="5.Debit-Analysis!C1483" display="INSURANCE" xr:uid="{7C1ABCBA-44FE-4E49-9BD6-AC4D6240A347}"/>
    <hyperlink ref="H37" location="5.Debit-Analysis!C1481" display="TRANSACTION-MISSING" xr:uid="{C5548DDA-00BD-4121-91FF-E8386AA5910A}"/>
    <hyperlink ref="H38" location="5.Debit-Analysis!C1378" display="PHONE" xr:uid="{8770FAA7-B556-4AF4-B639-75547F75FBC7}"/>
    <hyperlink ref="H39" location="5.Debit-Analysis!C1187" display="BANK-CHARGES" xr:uid="{19084D83-8A68-40A0-BB84-DE20B394F4A6}"/>
    <hyperlink ref="H40" location="5.Debit-Analysis!C1230" display="REVERSED" xr:uid="{2D14E966-8CCB-4DB6-8F77-7C156F24AB7F}"/>
    <hyperlink ref="H46" location="5.Debit-Analysis!C3" display="LOAN-DEBIT" xr:uid="{E90FFD86-DBB0-4FB2-822C-A2103409A2A0}"/>
    <hyperlink ref="D47" location="6.Credit-Analysis!C3" display="LOAN-CREDIT" xr:uid="{F47CF690-F551-4ABB-9754-4A3E255633AD}"/>
    <hyperlink ref="H47" location="5.Debit-Analysis!C8" display="INTER-FIRM" xr:uid="{F31B59CD-31B0-4005-B6BF-998115D6D1AB}"/>
    <hyperlink ref="D48" location="6.Credit-Analysis!C51" display="CHQ" xr:uid="{8B579425-F068-4889-8005-740D04E17E08}"/>
    <hyperlink ref="H48" location="5.Debit-Analysis!C64" display="CASH" xr:uid="{09CAD4E3-11A9-4436-988D-654BF7F0A40E}"/>
    <hyperlink ref="D49" location="6.Credit-Analysis!C58" display="TRANSFER" xr:uid="{901D7EC5-222B-40D6-9507-BCE7146AE93A}"/>
    <hyperlink ref="H49" location="5.Debit-Analysis!C86" display="CHQ" xr:uid="{CE6C8E3F-1D2C-4B11-915F-F685B3888640}"/>
    <hyperlink ref="D50" location="6.Credit-Analysis!C73" display="RTGS" xr:uid="{4EA4AC1D-1A38-4632-8F3D-0A6487328F1B}"/>
    <hyperlink ref="H50" location="5.Debit-Analysis!C1103" display="TRANSFER" xr:uid="{8384A882-62FD-471F-AD3F-8F956E5E5E68}"/>
    <hyperlink ref="D51" location="6.Credit-Analysis!C101" display="NEFT" xr:uid="{08409D73-9884-4210-B906-B47E6B8A963A}"/>
    <hyperlink ref="H51" location="5.Debit-Analysis!C1187" display="BANK-CHARGES" xr:uid="{6BA48770-5A30-4B35-A9F4-D2543B2C5D73}"/>
    <hyperlink ref="D52" location="6.Credit-Analysis!C209" display="FOREX-TRANSFER" xr:uid="{09C81AE7-8DA4-4EE7-9EFF-79CF596AA6D2}"/>
    <hyperlink ref="H52" location="5.Debit-Analysis!C1346" display="EMI-DEBIT" xr:uid="{96BB5FDB-927E-44AC-A172-78F5BBAD8927}"/>
    <hyperlink ref="H53" location="5.Debit-Analysis!C1378" display="PHONE" xr:uid="{98C5C472-BE5B-4476-A183-5680A9590E58}"/>
    <hyperlink ref="H54" location="5.Debit-Analysis!C1396" display="FOREX-TRANSFER" xr:uid="{7330C740-1EDF-428A-A3AB-EA55EC202E6A}"/>
    <hyperlink ref="H55" location="5.Debit-Analysis!C1444" display="OTHER-TRANSFER" xr:uid="{B47962DA-5912-4DF3-A07E-D07063A901D3}"/>
    <hyperlink ref="H56" location="5.Debit-Analysis!C1457" display="PROMOTER" xr:uid="{3E53F3BC-E45C-4D7A-9BB2-F79DFA42BA1F}"/>
    <hyperlink ref="H61" location="5.Debit-Analysis!C19" display="INTER-FIRM" xr:uid="{8CF9EA58-BE23-44FE-91E1-0EC034530E3B}"/>
    <hyperlink ref="D62" location="6.Credit-Analysis!C8" display="LOAN-CREDIT" xr:uid="{E6944212-F157-4DF8-B015-02FAF62822F6}"/>
    <hyperlink ref="H62" location="5.Debit-Analysis!C66" display="CASH" xr:uid="{280D371B-972D-473F-B2B6-3ED36618C22F}"/>
    <hyperlink ref="D63" location="6.Credit-Analysis!C53" display="CHQ" xr:uid="{02313A8E-0DF9-460F-9AEC-09B791AACC56}"/>
    <hyperlink ref="H63" location="5.Debit-Analysis!C231" display="CHQ" xr:uid="{F9204A2A-C91B-4FD9-B0FD-186248F67740}"/>
    <hyperlink ref="D64" location="6.Credit-Analysis!C77" display="RTGS" xr:uid="{7F6A4210-E0E6-48DE-8833-18CF7BCEC55D}"/>
    <hyperlink ref="H64" location="5.Debit-Analysis!C1116" display="TRANSFER" xr:uid="{4ED050A2-5488-4D10-A2C5-11A6510566EA}"/>
    <hyperlink ref="D65" location="6.Credit-Analysis!C114" display="NEFT" xr:uid="{470B6B1C-96E0-4636-AF84-2E11B33F8795}"/>
    <hyperlink ref="H65" location="5.Debit-Analysis!C1192" display="BANK-CHARGES" xr:uid="{83F46639-6DD1-4E4F-8B54-A82D69183F0C}"/>
    <hyperlink ref="D66" location="6.Credit-Analysis!C215" display="FOREX-TRANSFER" xr:uid="{958DEE1F-103A-469A-A949-9125F01A72E7}"/>
    <hyperlink ref="H66" location="5.Debit-Analysis!C1236" display="INTEREST-PAID" xr:uid="{3ED0BB43-1367-4658-8065-092A5D46A4BF}"/>
    <hyperlink ref="H67" location="5.Debit-Analysis!C1350" display="EMI-DEBIT" xr:uid="{48D7E12D-D15A-4296-93F2-52FAD44D4651}"/>
    <hyperlink ref="H68" location="5.Debit-Analysis!C1374" display="RTGS" xr:uid="{A0895EB3-DA1A-4F13-BC1A-B1BF85DA8F66}"/>
    <hyperlink ref="H69" location="5.Debit-Analysis!C1381" display="PHONE" xr:uid="{D95D31D8-6AB8-46CE-ABFC-6E09EB6A948D}"/>
    <hyperlink ref="H70" location="5.Debit-Analysis!C1405" display="FOREX-TRANSFER" xr:uid="{5DCB9EEF-4159-42EA-A585-ECE0468D24B4}"/>
    <hyperlink ref="H71" location="5.Debit-Analysis!C1460" display="PROMOTER" xr:uid="{5C5CDDBC-364F-49DE-8DCE-4F9E61A02FCC}"/>
    <hyperlink ref="H72" location="5.Debit-Analysis!C1481" display="TRANSACTION-MISSING" xr:uid="{78C3FB23-447A-48A3-AADC-86C45714F23C}"/>
    <hyperlink ref="H73" location="5.Debit-Analysis!C1483" display="INSURANCE" xr:uid="{B8DEDD7E-41EA-463C-AB42-5292C46B0059}"/>
    <hyperlink ref="H78" location="5.Debit-Analysis!C28" display="INTER-FIRM" xr:uid="{07F37DF5-63C6-417B-8520-5CBB8BD94AE1}"/>
    <hyperlink ref="D79" location="6.Credit-Analysis!C81" display="RTGS" xr:uid="{DECC4B2C-9810-4121-9A5F-9DE677D8DC6E}"/>
    <hyperlink ref="H79" location="5.Debit-Analysis!C69" display="CASH" xr:uid="{830917AB-4FB8-4431-B613-3A5C898D09DE}"/>
    <hyperlink ref="D80" location="6.Credit-Analysis!C130" display="NEFT" xr:uid="{9F26146F-C900-4145-96F1-8C3F614E5B8E}"/>
    <hyperlink ref="H80" location="5.Debit-Analysis!C428" display="CHQ" xr:uid="{0D509B69-0E18-4E12-8A56-6F8C15E3BDFE}"/>
    <hyperlink ref="D81" location="6.Credit-Analysis!C222" display="FOREX-TRANSFER" xr:uid="{50DEEBBD-52C1-48F8-ACF8-548A2FCE58FF}"/>
    <hyperlink ref="H81" location="5.Debit-Analysis!C1131" display="TRANSFER" xr:uid="{530FC32A-DADF-4667-AADE-0E32C9C46C74}"/>
    <hyperlink ref="D82" location="6.Credit-Analysis!C240" display="OTHER-TRANSFER" xr:uid="{057B2CED-F3FE-46CE-9FAD-3FE826878B34}"/>
    <hyperlink ref="H82" location="5.Debit-Analysis!C1197" display="BANK-CHARGES" xr:uid="{E91A0E19-166A-4EF3-B094-934A88409637}"/>
    <hyperlink ref="H83" location="5.Debit-Analysis!C1250" display="INTEREST-PAID" xr:uid="{EFCC01F2-7402-4DB8-BF15-BF802E2614C3}"/>
    <hyperlink ref="H84" location="5.Debit-Analysis!C1354" display="EMI-DEBIT" xr:uid="{7CAC9375-6558-480A-9F1F-222D43CB5ECA}"/>
    <hyperlink ref="H85" location="5.Debit-Analysis!C1411" display="FOREX-TRANSFER" xr:uid="{0C043509-0DB2-43F8-82D7-615817720A21}"/>
    <hyperlink ref="H86" location="5.Debit-Analysis!C1465" display="PROMOTER" xr:uid="{180F1E15-52C8-44B2-9A90-D2E6BDCAF536}"/>
    <hyperlink ref="H91" location="5.Debit-Analysis!C35" display="INTER-FIRM" xr:uid="{61C69FEC-9038-4CB6-866C-D934A4714EF3}"/>
    <hyperlink ref="D92" location="6.Credit-Analysis!C22" display="LOAN-CREDIT" xr:uid="{5AC96942-6830-4E1A-ACA2-0243AF7CE703}"/>
    <hyperlink ref="H92" location="5.Debit-Analysis!C72" display="CASH" xr:uid="{EA92D0C6-9DA7-434E-8A70-30C4CC15F875}"/>
    <hyperlink ref="D93" location="6.Credit-Analysis!C56" display="CHQ" xr:uid="{E159662C-8375-46DD-941C-E4371C6FD5FF}"/>
    <hyperlink ref="H93" location="5.Debit-Analysis!C541" display="CHQ" xr:uid="{39F95BC4-6811-480A-9638-68118F74AAA8}"/>
    <hyperlink ref="D94" location="6.Credit-Analysis!C62" display="TRANSFER" xr:uid="{8973D73C-EB33-43FC-A57C-A9132B8BEDC2}"/>
    <hyperlink ref="H94" location="5.Debit-Analysis!C1140" display="TRANSFER" xr:uid="{FFC62D47-948D-4700-8533-6D0AC8412A53}"/>
    <hyperlink ref="D95" location="6.Credit-Analysis!C86" display="RTGS" xr:uid="{FE720DBF-FC73-4FEB-B3B8-E57A0BFE581B}"/>
    <hyperlink ref="H95" location="5.Debit-Analysis!C1200" display="BANK-CHARGES" xr:uid="{6FE3A43A-73B4-47B6-A99A-C8DC8B0AA682}"/>
    <hyperlink ref="D96" location="6.Credit-Analysis!C141" display="NEFT" xr:uid="{3E48EFEF-BB2F-4E66-BFC6-1E514F2F284F}"/>
    <hyperlink ref="H96" location="5.Debit-Analysis!C1262" display="INTEREST-PAID" xr:uid="{3AD5A064-1E31-4B6E-A147-695DC64C59B1}"/>
    <hyperlink ref="D97" location="6.Credit-Analysis!C226" display="FOREX-TRANSFER" xr:uid="{4071329D-0CBA-47AE-8391-E940293E6044}"/>
    <hyperlink ref="H97" location="5.Debit-Analysis!C1358" display="EMI-DEBIT" xr:uid="{F2B95976-16F2-4FE2-BE3B-28F3DBCB4EC1}"/>
    <hyperlink ref="D98" location="6.Credit-Analysis!C242" display="OTHER-TRANSFER" xr:uid="{AFE32C13-94CD-4DD4-9CB9-F60BE7F72079}"/>
    <hyperlink ref="H98" location="5.Debit-Analysis!C1383" display="PHONE" xr:uid="{07D9DB4A-4E91-4F89-AD22-109EA891088A}"/>
    <hyperlink ref="H99" location="5.Debit-Analysis!C1393" display="OTHER-STATUTORY" xr:uid="{4350A9C0-4816-4896-A93E-5F7103E6EF3B}"/>
    <hyperlink ref="H100" location="5.Debit-Analysis!C1415" display="FOREX-TRANSFER" xr:uid="{A069BE26-BCA9-469A-A715-AC7847BA6F1F}"/>
    <hyperlink ref="H101" location="5.Debit-Analysis!C1446" display="OTHER-TRANSFER" xr:uid="{2B5C162B-E322-4DC2-BD0C-EB8C7672FFA7}"/>
    <hyperlink ref="H102" location="5.Debit-Analysis!C1467" display="PROMOTER" xr:uid="{466DEB77-B362-4A2C-A4C7-A6F83A610254}"/>
    <hyperlink ref="H107" location="5.Debit-Analysis!C45" display="INTER-FIRM" xr:uid="{96AEBD78-DFE4-4130-87D2-5E7163EDF465}"/>
    <hyperlink ref="D108" location="6.Credit-Analysis!C30" display="LOAN-CREDIT" xr:uid="{AEE52E04-31EE-4020-94A9-FD00F95C547D}"/>
    <hyperlink ref="H108" location="5.Debit-Analysis!C74" display="CASH" xr:uid="{36A07227-3E4E-4342-BC4F-CF58C9BA54CB}"/>
    <hyperlink ref="D109" location="6.Credit-Analysis!C47" display="INTER-FIRM" xr:uid="{6406E1C7-A8F0-41B0-9B67-C1639A3E5287}"/>
    <hyperlink ref="H109" location="5.Debit-Analysis!C675" display="CHQ" xr:uid="{0D516505-443A-49FF-891E-13D90C724C71}"/>
    <hyperlink ref="D110" location="6.Credit-Analysis!C64" display="TRANSFER" xr:uid="{D05EEFE2-4E57-441D-BEB8-1B433B971B89}"/>
    <hyperlink ref="H110" location="5.Debit-Analysis!C1144" display="TRANSFER" xr:uid="{D075D2DE-5839-419B-AC3E-6A70EEC45136}"/>
    <hyperlink ref="D111" location="6.Credit-Analysis!C88" display="RTGS" xr:uid="{B4BDB131-6537-40D2-956D-141423FCBBC6}"/>
    <hyperlink ref="H111" location="5.Debit-Analysis!C1211" display="BANK-CHARGES" xr:uid="{66C419A7-7CCC-4835-80A7-9564E345E493}"/>
    <hyperlink ref="D112" location="6.Credit-Analysis!C155" display="NEFT" xr:uid="{26D6E40F-8C11-42BE-81DB-71672FCD2ED0}"/>
    <hyperlink ref="H112" location="5.Debit-Analysis!C1281" display="INTEREST-PAID" xr:uid="{2ECEFD0A-CC62-4E42-A403-7E23BF7EA9F0}"/>
    <hyperlink ref="D113" location="6.Credit-Analysis!C231" display="FOREX-TRANSFER" xr:uid="{8E22E47B-E771-4379-8431-24BAD5134FCF}"/>
    <hyperlink ref="H113" location="5.Debit-Analysis!C1362" display="EMI-DEBIT" xr:uid="{A322779C-1DD3-49EA-9177-EFF0C93A6888}"/>
    <hyperlink ref="H114" location="5.Debit-Analysis!C1386" display="PHONE" xr:uid="{DD9DF94E-5C2B-4275-8312-4B82B45350B1}"/>
    <hyperlink ref="H115" location="5.Debit-Analysis!C1419" display="FOREX-TRANSFER" xr:uid="{43653058-485A-43D0-805F-799A6CE1A207}"/>
    <hyperlink ref="H116" location="5.Debit-Analysis!C1452" display="OTHER-TRANSFER" xr:uid="{8D3DB000-D980-4451-A370-9F3A4EC6E918}"/>
    <hyperlink ref="H117" location="5.Debit-Analysis!C1470" display="PROMOTER" xr:uid="{D3A789AF-A2D3-4D78-A1AD-224F48794C88}"/>
    <hyperlink ref="H118" location="5.Debit-Analysis!C1485" display="INSURANCE" xr:uid="{EB7AEAE7-F19E-417C-A418-88A4ECC555CD}"/>
    <hyperlink ref="H123" location="5.Debit-Analysis!C50" display="INTER-FIRM" xr:uid="{4180AA00-2299-4AB4-97CB-1FAE76CD6BF3}"/>
    <hyperlink ref="D124" location="6.Credit-Analysis!C42" display="LOAN-CREDIT" xr:uid="{9B84F2B6-82D5-439F-9C9D-451233755803}"/>
    <hyperlink ref="H124" location="5.Debit-Analysis!C78" display="CASH" xr:uid="{CFE447DD-D788-4FE9-A08E-3CAD86B8C53B}"/>
    <hyperlink ref="D125" location="6.Credit-Analysis!C67" display="TRANSFER" xr:uid="{134C822C-7B1B-4820-B330-D2C6106D6509}"/>
    <hyperlink ref="H125" location="5.Debit-Analysis!C806" display="CHQ" xr:uid="{7670DF7F-A134-4994-8190-C293375D8C22}"/>
    <hyperlink ref="D126" location="6.Credit-Analysis!C71" display="REVERSED" xr:uid="{DCF81251-CC89-4AA6-B6C9-00FB14629DDD}"/>
    <hyperlink ref="H126" location="5.Debit-Analysis!C1160" display="TRANSFER" xr:uid="{8836C97A-F881-45A4-B26D-8D12C41DF25F}"/>
    <hyperlink ref="D127" location="6.Credit-Analysis!C91" display="RTGS" xr:uid="{8614B7D7-EBFB-4B0A-8476-8470DC630A6F}"/>
    <hyperlink ref="H127" location="5.Debit-Analysis!C1221" display="BANK-CHARGES" xr:uid="{619EABEE-3B4C-46D8-8B16-4FBC14B9738E}"/>
    <hyperlink ref="D128" location="6.Credit-Analysis!C171" display="NEFT" xr:uid="{FCDEDC3B-A704-4269-B520-1EAC1150CCA7}"/>
    <hyperlink ref="H128" location="5.Debit-Analysis!C1230" display="REVERSED" xr:uid="{BDB1CC73-FCFD-496D-BF06-BEF8B5903BC7}"/>
    <hyperlink ref="D129" location="6.Credit-Analysis!C235" display="FOREX-TRANSFER" xr:uid="{98B8D2ED-5492-4725-819E-F0F0E179AB5A}"/>
    <hyperlink ref="H129" location="5.Debit-Analysis!C1232" display="SALARY-PAID" xr:uid="{59183D19-4AA9-4A83-9928-4A4B76384190}"/>
    <hyperlink ref="H130" location="5.Debit-Analysis!C1306" display="INTEREST-PAID" xr:uid="{B45F06D5-76D2-4AB8-AB1A-664838A18C06}"/>
    <hyperlink ref="H131" location="5.Debit-Analysis!C1366" display="EMI-DEBIT" xr:uid="{652BE151-4575-45E1-98E7-A11A7C217130}"/>
    <hyperlink ref="H132" location="5.Debit-Analysis!C1376" display="RTGS" xr:uid="{33381A71-FDA1-445A-9FC8-D48E6BD3A4BC}"/>
    <hyperlink ref="H133" location="5.Debit-Analysis!C1425" display="FOREX-TRANSFER" xr:uid="{84C42340-1EE4-44E7-82E4-2E9E5488B60E}"/>
    <hyperlink ref="H134" location="5.Debit-Analysis!C1454" display="OTHER-TRANSFER" xr:uid="{1F32D53F-95E5-4662-90FC-482E9C8BFC03}"/>
    <hyperlink ref="H135" location="5.Debit-Analysis!C1473" display="PROMOTER" xr:uid="{DC154911-F410-438B-B0FB-614AE26D41DF}"/>
    <hyperlink ref="H140" location="5.Debit-Analysis!C55" display="INTER-FIRM" xr:uid="{C4368749-645C-41A1-A958-E537A70CD45A}"/>
    <hyperlink ref="D141" location="6.Credit-Analysis!C49" display="INTER-FIRM" xr:uid="{C88C99EE-0153-4525-914A-31984B4D0976}"/>
    <hyperlink ref="H141" location="5.Debit-Analysis!C83" display="CASH" xr:uid="{C1B61227-7CE5-4257-9197-D26445763846}"/>
    <hyperlink ref="D142" location="6.Credit-Analysis!C69" display="TRANSFER" xr:uid="{530E66CC-0794-4197-B0FA-AC2D3589B569}"/>
    <hyperlink ref="H142" location="5.Debit-Analysis!C940" display="CHQ" xr:uid="{A8E4BA04-F72E-4E1A-9D2C-4AA3B1DC85FB}"/>
    <hyperlink ref="D143" location="6.Credit-Analysis!C94" display="RTGS" xr:uid="{3EDB9528-73E0-41F6-9DD9-765586AE22BB}"/>
    <hyperlink ref="H143" location="5.Debit-Analysis!C1172" display="TRANSFER" xr:uid="{A6054559-DF83-44AD-A230-324DE2095A96}"/>
    <hyperlink ref="D144" location="6.Credit-Analysis!C193" display="NEFT" xr:uid="{BF768724-5B38-4304-876F-2D6CA0828A33}"/>
    <hyperlink ref="H144" location="5.Debit-Analysis!C1226" display="BANK-CHARGES" xr:uid="{21C256D2-E928-4B57-834C-008EB519E241}"/>
    <hyperlink ref="D145" location="6.Credit-Analysis!C238" display="FOREX-TRANSFER" xr:uid="{B5D6E66B-8011-4AFB-B7A5-006EFAA6858C}"/>
    <hyperlink ref="H145" location="5.Debit-Analysis!C1234" display="SALARY-PAID" xr:uid="{B40F2F4E-0544-4E79-881C-CA4B3A037C0A}"/>
    <hyperlink ref="H146" location="5.Debit-Analysis!C1331" display="INTEREST-PAID" xr:uid="{5E6F9538-7594-4BF4-8505-7EFFE9AFF06B}"/>
    <hyperlink ref="H147" location="5.Debit-Analysis!C1370" display="EMI-DEBIT" xr:uid="{26BEBE16-86CF-46DC-845C-F94433226DBD}"/>
    <hyperlink ref="H148" location="5.Debit-Analysis!C1390" display="PHONE" xr:uid="{3E4C37B0-AB84-4467-8333-875ACA222A44}"/>
    <hyperlink ref="H149" location="5.Debit-Analysis!C1432" display="FOREX-TRANSFER" xr:uid="{D467340A-D64E-41E5-A810-C2EA5473208D}"/>
    <hyperlink ref="H150" location="5.Debit-Analysis!C1476" display="PROMOTER" xr:uid="{7299DB88-1447-4737-BC4F-5C7C61285DF3}"/>
    <hyperlink ref="H151" location="5.Debit-Analysis!C1489" display="INSURANCE" xr:uid="{53E449D5-AB85-41F2-94F3-4A4D4837F607}"/>
  </hyperlinks>
  <printOptions horizontalCentered="1"/>
  <pageMargins left="0.3" right="0.3" top="0.61" bottom="0.37" header="0" footer="0"/>
  <pageSetup paperSize="9" pageOrder="overThenDown" orientation="portrait"/>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3">
    <tabColor theme="3" tint="-0.499984740745262"/>
  </sheetPr>
  <dimension ref="A1:BJ49"/>
  <sheetViews>
    <sheetView topLeftCell="A24" zoomScale="90" zoomScaleNormal="90" workbookViewId="0">
      <selection activeCell="B8" sqref="B1:Z8"/>
    </sheetView>
  </sheetViews>
  <sheetFormatPr defaultColWidth="9.140625" defaultRowHeight="15" customHeight="1" outlineLevelRow="1" x14ac:dyDescent="0.2"/>
  <cols>
    <col min="1" max="1" width="1.7109375" style="633" customWidth="1"/>
    <col min="2" max="2" width="4.5703125" style="634" customWidth="1"/>
    <col min="3" max="3" width="22.5703125" style="634" customWidth="1"/>
    <col min="4" max="4" width="43.5703125" style="634" customWidth="1"/>
    <col min="5" max="5" width="14.140625" style="634" customWidth="1"/>
    <col min="6" max="7" width="11.7109375" style="634" customWidth="1"/>
    <col min="8" max="8" width="11.140625" style="634" customWidth="1"/>
    <col min="9" max="9" width="14.140625" style="634" customWidth="1"/>
    <col min="10" max="11" width="7.7109375" style="634" customWidth="1"/>
    <col min="12" max="12" width="4" style="634" customWidth="1"/>
    <col min="13" max="13" width="9.7109375" style="634" customWidth="1"/>
    <col min="14" max="14" width="12" style="634" customWidth="1"/>
    <col min="15" max="15" width="5.7109375" style="634" customWidth="1"/>
    <col min="16" max="16" width="7.28515625" style="634" customWidth="1"/>
    <col min="17" max="17" width="9.7109375" style="634" customWidth="1"/>
    <col min="18" max="18" width="13.7109375" style="634" customWidth="1"/>
    <col min="19" max="19" width="5.140625" style="634" customWidth="1"/>
    <col min="20" max="20" width="9.7109375" style="634" customWidth="1"/>
    <col min="21" max="21" width="12.5703125" style="634" customWidth="1"/>
    <col min="22" max="22" width="5.140625" style="634" customWidth="1"/>
    <col min="23" max="23" width="9.7109375" style="634" customWidth="1"/>
    <col min="24" max="24" width="12.7109375" style="634" customWidth="1"/>
    <col min="25" max="25" width="5.140625" style="634" customWidth="1"/>
    <col min="26" max="26" width="9.7109375" style="634" customWidth="1"/>
    <col min="27" max="27" width="12.7109375" style="634" customWidth="1"/>
    <col min="28" max="28" width="5.140625" style="634" customWidth="1"/>
    <col min="29" max="29" width="9.7109375" style="634" customWidth="1"/>
    <col min="30" max="30" width="12.7109375" style="634" customWidth="1"/>
    <col min="31" max="31" width="5.140625" style="634" customWidth="1"/>
    <col min="32" max="32" width="9.7109375" style="634" customWidth="1"/>
    <col min="33" max="33" width="12.7109375" style="634" customWidth="1"/>
    <col min="34" max="34" width="5.140625" style="634" customWidth="1"/>
    <col min="35" max="35" width="9.7109375" style="634" customWidth="1"/>
    <col min="36" max="36" width="12.7109375" style="634" customWidth="1"/>
    <col min="37" max="37" width="5.140625" style="634" customWidth="1"/>
    <col min="38" max="38" width="9.7109375" style="634" customWidth="1"/>
    <col min="39" max="39" width="12.7109375" style="634" customWidth="1"/>
    <col min="40" max="40" width="5.140625" style="634" customWidth="1"/>
    <col min="41" max="41" width="9.7109375" style="634" customWidth="1"/>
    <col min="42" max="42" width="12.7109375" style="634" customWidth="1"/>
    <col min="43" max="43" width="5.140625" style="634" customWidth="1"/>
    <col min="44" max="44" width="9.7109375" style="634" customWidth="1"/>
    <col min="45" max="45" width="12.7109375" style="634" customWidth="1"/>
    <col min="46" max="46" width="5.140625" style="634" customWidth="1"/>
    <col min="47" max="47" width="9.7109375" style="634" customWidth="1"/>
    <col min="48" max="48" width="12.7109375" style="634" customWidth="1"/>
    <col min="49" max="49" width="5.140625" style="634" customWidth="1"/>
    <col min="50" max="50" width="9.7109375" style="634" customWidth="1"/>
    <col min="51" max="51" width="12.7109375" style="634" customWidth="1"/>
    <col min="52" max="52" width="5.140625" style="634" customWidth="1"/>
    <col min="53" max="53" width="9.7109375" style="634" customWidth="1"/>
    <col min="54" max="54" width="12.7109375" style="634" customWidth="1"/>
    <col min="55" max="55" width="37.7109375" style="634" customWidth="1"/>
    <col min="56" max="56" width="9.140625" style="634"/>
    <col min="57" max="16384" width="9.140625" style="635"/>
  </cols>
  <sheetData>
    <row r="1" spans="1:56" ht="13.5" thickBot="1" x14ac:dyDescent="0.25">
      <c r="A1" s="633">
        <v>130</v>
      </c>
    </row>
    <row r="2" spans="1:56" ht="18.75" customHeight="1" outlineLevel="1" thickBot="1" x14ac:dyDescent="0.25">
      <c r="B2" s="2723" t="s">
        <v>1300</v>
      </c>
      <c r="C2" s="2724"/>
      <c r="D2" s="2724"/>
      <c r="E2" s="2724"/>
      <c r="F2" s="2724"/>
      <c r="G2" s="2724"/>
      <c r="H2" s="2724"/>
      <c r="I2" s="2724"/>
      <c r="J2" s="2724"/>
      <c r="K2" s="2724"/>
      <c r="L2" s="2724"/>
      <c r="M2" s="2724"/>
      <c r="N2" s="2724"/>
      <c r="O2" s="2724"/>
      <c r="P2" s="2724"/>
      <c r="Q2" s="2724"/>
      <c r="R2" s="2724"/>
      <c r="S2" s="2724"/>
      <c r="T2" s="2724"/>
      <c r="U2" s="2724"/>
      <c r="V2" s="2724"/>
      <c r="W2" s="2724"/>
      <c r="X2" s="2724"/>
      <c r="Y2" s="2724"/>
      <c r="Z2" s="2725"/>
      <c r="BC2" s="635"/>
      <c r="BD2" s="635"/>
    </row>
    <row r="3" spans="1:56" s="638" customFormat="1" ht="17.25" customHeight="1" outlineLevel="1" x14ac:dyDescent="0.2">
      <c r="A3" s="636"/>
      <c r="B3" s="2726" t="s">
        <v>20</v>
      </c>
      <c r="C3" s="2727"/>
      <c r="D3" s="2727"/>
      <c r="E3" s="2728" t="s">
        <v>624</v>
      </c>
      <c r="F3" s="2728"/>
      <c r="G3" s="2728"/>
      <c r="H3" s="2728" t="s">
        <v>1301</v>
      </c>
      <c r="I3" s="2728"/>
      <c r="J3" s="2728"/>
      <c r="K3" s="2728" t="s">
        <v>1302</v>
      </c>
      <c r="L3" s="2728"/>
      <c r="M3" s="2728"/>
      <c r="N3" s="2728"/>
      <c r="O3" s="2728" t="s">
        <v>1303</v>
      </c>
      <c r="P3" s="2728"/>
      <c r="Q3" s="2728"/>
      <c r="R3" s="2728"/>
      <c r="S3" s="2728" t="s">
        <v>1805</v>
      </c>
      <c r="T3" s="2728"/>
      <c r="U3" s="2728"/>
      <c r="V3" s="2728"/>
      <c r="W3" s="2728" t="s">
        <v>1806</v>
      </c>
      <c r="X3" s="2728"/>
      <c r="Y3" s="2728"/>
      <c r="Z3" s="2729"/>
      <c r="AA3" s="637"/>
      <c r="AB3" s="637"/>
      <c r="AC3" s="637"/>
      <c r="AD3" s="637"/>
      <c r="AE3" s="637"/>
      <c r="AF3" s="637"/>
      <c r="AG3" s="637"/>
      <c r="AH3" s="637"/>
      <c r="AI3" s="637"/>
      <c r="AJ3" s="637"/>
      <c r="AK3" s="637"/>
      <c r="AL3" s="637"/>
      <c r="AM3" s="637"/>
      <c r="AN3" s="637"/>
      <c r="AO3" s="637"/>
      <c r="AP3" s="637"/>
      <c r="AQ3" s="637"/>
      <c r="AR3" s="637"/>
      <c r="AS3" s="637"/>
      <c r="AT3" s="637"/>
      <c r="AU3" s="637"/>
      <c r="AV3" s="637"/>
      <c r="AW3" s="637"/>
      <c r="AX3" s="637"/>
      <c r="AY3" s="637"/>
      <c r="AZ3" s="637"/>
      <c r="BA3" s="637"/>
      <c r="BB3" s="637"/>
    </row>
    <row r="4" spans="1:56" ht="15" customHeight="1" outlineLevel="1" x14ac:dyDescent="0.2">
      <c r="B4" s="2696" t="s">
        <v>1304</v>
      </c>
      <c r="C4" s="2697"/>
      <c r="D4" s="2697"/>
      <c r="E4" s="2713" t="s">
        <v>3465</v>
      </c>
      <c r="F4" s="2713"/>
      <c r="G4" s="2713"/>
      <c r="H4" s="2713" t="s">
        <v>3499</v>
      </c>
      <c r="I4" s="2713"/>
      <c r="J4" s="2713"/>
      <c r="K4" s="2713" t="s">
        <v>3499</v>
      </c>
      <c r="L4" s="2713"/>
      <c r="M4" s="2713"/>
      <c r="N4" s="2713"/>
      <c r="O4" s="2713"/>
      <c r="P4" s="2713"/>
      <c r="Q4" s="2713"/>
      <c r="R4" s="2713"/>
      <c r="S4" s="2713"/>
      <c r="T4" s="2713"/>
      <c r="U4" s="2713"/>
      <c r="V4" s="2713"/>
      <c r="W4" s="2713"/>
      <c r="X4" s="2713"/>
      <c r="Y4" s="2713"/>
      <c r="Z4" s="2714"/>
      <c r="BA4" s="635"/>
      <c r="BB4" s="635"/>
      <c r="BC4" s="635"/>
      <c r="BD4" s="635"/>
    </row>
    <row r="5" spans="1:56" ht="15" customHeight="1" outlineLevel="1" x14ac:dyDescent="0.2">
      <c r="B5" s="2696" t="s">
        <v>2</v>
      </c>
      <c r="C5" s="2697"/>
      <c r="D5" s="2697"/>
      <c r="E5" s="2713" t="s">
        <v>3458</v>
      </c>
      <c r="F5" s="2713"/>
      <c r="G5" s="2713"/>
      <c r="H5" s="2713" t="s">
        <v>3483</v>
      </c>
      <c r="I5" s="2713"/>
      <c r="J5" s="2713"/>
      <c r="K5" s="2281" t="s">
        <v>3484</v>
      </c>
      <c r="L5" s="2281"/>
      <c r="M5" s="2281"/>
      <c r="N5" s="2281"/>
      <c r="O5" s="2713"/>
      <c r="P5" s="2713"/>
      <c r="Q5" s="2713"/>
      <c r="R5" s="2713"/>
      <c r="S5" s="2713"/>
      <c r="T5" s="2713"/>
      <c r="U5" s="2713"/>
      <c r="V5" s="2713"/>
      <c r="W5" s="2713"/>
      <c r="X5" s="2713"/>
      <c r="Y5" s="2713"/>
      <c r="Z5" s="2714"/>
      <c r="BA5" s="635"/>
      <c r="BB5" s="635"/>
      <c r="BC5" s="635"/>
      <c r="BD5" s="635"/>
    </row>
    <row r="6" spans="1:56" ht="15" customHeight="1" outlineLevel="1" x14ac:dyDescent="0.2">
      <c r="B6" s="2696" t="s">
        <v>1807</v>
      </c>
      <c r="C6" s="2697"/>
      <c r="D6" s="2697"/>
      <c r="E6" s="2721">
        <v>31840</v>
      </c>
      <c r="F6" s="2721"/>
      <c r="G6" s="2721"/>
      <c r="H6" s="2721">
        <v>20773</v>
      </c>
      <c r="I6" s="2721"/>
      <c r="J6" s="2721"/>
      <c r="K6" s="2307">
        <v>21130</v>
      </c>
      <c r="L6" s="2307"/>
      <c r="M6" s="2307"/>
      <c r="N6" s="2307"/>
      <c r="O6" s="2721"/>
      <c r="P6" s="2721"/>
      <c r="Q6" s="2721"/>
      <c r="R6" s="2721"/>
      <c r="S6" s="2721"/>
      <c r="T6" s="2721"/>
      <c r="U6" s="2721"/>
      <c r="V6" s="2721"/>
      <c r="W6" s="2721"/>
      <c r="X6" s="2721"/>
      <c r="Y6" s="2721"/>
      <c r="Z6" s="2722"/>
      <c r="BA6" s="635"/>
      <c r="BB6" s="635"/>
      <c r="BC6" s="635"/>
      <c r="BD6" s="635"/>
    </row>
    <row r="7" spans="1:56" ht="15" customHeight="1" outlineLevel="1" x14ac:dyDescent="0.2">
      <c r="B7" s="2696" t="s">
        <v>1306</v>
      </c>
      <c r="C7" s="2697"/>
      <c r="D7" s="2697"/>
      <c r="E7" s="2713" t="s">
        <v>3466</v>
      </c>
      <c r="F7" s="2713"/>
      <c r="G7" s="2713"/>
      <c r="H7" s="2713" t="s">
        <v>3494</v>
      </c>
      <c r="I7" s="2713"/>
      <c r="J7" s="2713"/>
      <c r="K7" s="2281" t="s">
        <v>3495</v>
      </c>
      <c r="L7" s="2281"/>
      <c r="M7" s="2281"/>
      <c r="N7" s="2281"/>
      <c r="O7" s="2713"/>
      <c r="P7" s="2713"/>
      <c r="Q7" s="2713"/>
      <c r="R7" s="2713"/>
      <c r="S7" s="2713"/>
      <c r="T7" s="2713"/>
      <c r="U7" s="2713"/>
      <c r="V7" s="2713"/>
      <c r="W7" s="2713"/>
      <c r="X7" s="2713"/>
      <c r="Y7" s="2713"/>
      <c r="Z7" s="2714"/>
      <c r="BA7" s="635"/>
      <c r="BB7" s="635"/>
      <c r="BC7" s="635"/>
      <c r="BD7" s="635"/>
    </row>
    <row r="8" spans="1:56" s="641" customFormat="1" ht="21" customHeight="1" outlineLevel="1" x14ac:dyDescent="0.25">
      <c r="A8" s="639"/>
      <c r="B8" s="2696" t="s">
        <v>1307</v>
      </c>
      <c r="C8" s="2697"/>
      <c r="D8" s="2697"/>
      <c r="E8" s="2719" t="s">
        <v>3467</v>
      </c>
      <c r="F8" s="2719"/>
      <c r="G8" s="2719"/>
      <c r="H8" s="2719">
        <v>744</v>
      </c>
      <c r="I8" s="2719"/>
      <c r="J8" s="2719"/>
      <c r="K8" s="2283">
        <v>763</v>
      </c>
      <c r="L8" s="2283"/>
      <c r="M8" s="2283"/>
      <c r="N8" s="2283"/>
      <c r="O8" s="2719"/>
      <c r="P8" s="2719"/>
      <c r="Q8" s="2719"/>
      <c r="R8" s="2719"/>
      <c r="S8" s="2719"/>
      <c r="T8" s="2719"/>
      <c r="U8" s="2719"/>
      <c r="V8" s="2719"/>
      <c r="W8" s="2719"/>
      <c r="X8" s="2719"/>
      <c r="Y8" s="2719"/>
      <c r="Z8" s="2720"/>
      <c r="AA8" s="640"/>
      <c r="AB8" s="640"/>
      <c r="AC8" s="640"/>
      <c r="AD8" s="640"/>
      <c r="AE8" s="640"/>
      <c r="AF8" s="640"/>
      <c r="AG8" s="640"/>
      <c r="AH8" s="640"/>
      <c r="AI8" s="640"/>
      <c r="AJ8" s="640"/>
      <c r="AK8" s="640"/>
      <c r="AL8" s="640"/>
      <c r="AM8" s="640"/>
      <c r="AN8" s="640"/>
      <c r="AO8" s="640"/>
      <c r="AP8" s="640"/>
      <c r="AQ8" s="640"/>
      <c r="AR8" s="640"/>
      <c r="AS8" s="640"/>
      <c r="AT8" s="640"/>
      <c r="AU8" s="640"/>
      <c r="AV8" s="640"/>
      <c r="AW8" s="640"/>
      <c r="AX8" s="640"/>
      <c r="AY8" s="640"/>
      <c r="AZ8" s="640"/>
    </row>
    <row r="9" spans="1:56" ht="15" customHeight="1" outlineLevel="1" x14ac:dyDescent="0.2">
      <c r="B9" s="2696" t="s">
        <v>1808</v>
      </c>
      <c r="C9" s="2697"/>
      <c r="D9" s="2697"/>
      <c r="E9" s="2713">
        <v>33</v>
      </c>
      <c r="F9" s="2713"/>
      <c r="G9" s="2713"/>
      <c r="H9" s="2713"/>
      <c r="I9" s="2713"/>
      <c r="J9" s="2713"/>
      <c r="K9" s="2713"/>
      <c r="L9" s="2713"/>
      <c r="M9" s="2713"/>
      <c r="N9" s="2713"/>
      <c r="O9" s="2713"/>
      <c r="P9" s="2713"/>
      <c r="Q9" s="2713"/>
      <c r="R9" s="2713"/>
      <c r="S9" s="2713"/>
      <c r="T9" s="2713"/>
      <c r="U9" s="2713"/>
      <c r="V9" s="2713"/>
      <c r="W9" s="2713"/>
      <c r="X9" s="2713"/>
      <c r="Y9" s="2713"/>
      <c r="Z9" s="2714"/>
      <c r="BA9" s="635"/>
      <c r="BB9" s="635"/>
      <c r="BC9" s="635"/>
      <c r="BD9" s="635"/>
    </row>
    <row r="10" spans="1:56" ht="15" customHeight="1" outlineLevel="1" x14ac:dyDescent="0.2">
      <c r="B10" s="2696" t="s">
        <v>1809</v>
      </c>
      <c r="C10" s="2697"/>
      <c r="D10" s="2697"/>
      <c r="E10" s="2713">
        <v>6</v>
      </c>
      <c r="F10" s="2713"/>
      <c r="G10" s="2713"/>
      <c r="H10" s="2713"/>
      <c r="I10" s="2713"/>
      <c r="J10" s="2713"/>
      <c r="K10" s="2713"/>
      <c r="L10" s="2713"/>
      <c r="M10" s="2713"/>
      <c r="N10" s="2713"/>
      <c r="O10" s="2713"/>
      <c r="P10" s="2713"/>
      <c r="Q10" s="2713"/>
      <c r="R10" s="2713"/>
      <c r="S10" s="2713"/>
      <c r="T10" s="2713"/>
      <c r="U10" s="2713"/>
      <c r="V10" s="2713"/>
      <c r="W10" s="2713"/>
      <c r="X10" s="2713"/>
      <c r="Y10" s="2713"/>
      <c r="Z10" s="2714"/>
      <c r="BA10" s="635"/>
      <c r="BB10" s="635"/>
      <c r="BC10" s="635"/>
      <c r="BD10" s="635"/>
    </row>
    <row r="11" spans="1:56" ht="15" customHeight="1" outlineLevel="1" x14ac:dyDescent="0.2">
      <c r="B11" s="2696" t="s">
        <v>1308</v>
      </c>
      <c r="C11" s="2697"/>
      <c r="D11" s="2697"/>
      <c r="E11" s="2715">
        <v>931949</v>
      </c>
      <c r="F11" s="2715"/>
      <c r="G11" s="2715"/>
      <c r="H11" s="2715"/>
      <c r="I11" s="2715"/>
      <c r="J11" s="2715"/>
      <c r="K11" s="2715"/>
      <c r="L11" s="2715"/>
      <c r="M11" s="2715"/>
      <c r="N11" s="2715"/>
      <c r="O11" s="2715"/>
      <c r="P11" s="2715"/>
      <c r="Q11" s="2715"/>
      <c r="R11" s="2715"/>
      <c r="S11" s="2715"/>
      <c r="T11" s="2715"/>
      <c r="U11" s="2715"/>
      <c r="V11" s="2715"/>
      <c r="W11" s="2715"/>
      <c r="X11" s="2715"/>
      <c r="Y11" s="2715"/>
      <c r="Z11" s="2716"/>
      <c r="BA11" s="635"/>
      <c r="BB11" s="635"/>
      <c r="BC11" s="635"/>
      <c r="BD11" s="635"/>
    </row>
    <row r="12" spans="1:56" ht="15" customHeight="1" outlineLevel="1" x14ac:dyDescent="0.2">
      <c r="B12" s="2696" t="s">
        <v>1309</v>
      </c>
      <c r="C12" s="2697"/>
      <c r="D12" s="2697"/>
      <c r="E12" s="2715">
        <v>94190196</v>
      </c>
      <c r="F12" s="2715"/>
      <c r="G12" s="2715"/>
      <c r="H12" s="2715"/>
      <c r="I12" s="2715"/>
      <c r="J12" s="2715"/>
      <c r="K12" s="2715"/>
      <c r="L12" s="2715"/>
      <c r="M12" s="2715"/>
      <c r="N12" s="2715"/>
      <c r="O12" s="2715"/>
      <c r="P12" s="2715"/>
      <c r="Q12" s="2715"/>
      <c r="R12" s="2715"/>
      <c r="S12" s="2715"/>
      <c r="T12" s="2715"/>
      <c r="U12" s="2715"/>
      <c r="V12" s="2715"/>
      <c r="W12" s="2715"/>
      <c r="X12" s="2715"/>
      <c r="Y12" s="2715"/>
      <c r="Z12" s="2716"/>
      <c r="BA12" s="635"/>
      <c r="BB12" s="635"/>
      <c r="BC12" s="635"/>
      <c r="BD12" s="635"/>
    </row>
    <row r="13" spans="1:56" ht="15" customHeight="1" outlineLevel="1" x14ac:dyDescent="0.2">
      <c r="B13" s="2696" t="s">
        <v>1310</v>
      </c>
      <c r="C13" s="2697"/>
      <c r="D13" s="2697"/>
      <c r="E13" s="2717">
        <f>IFERROR(E11/E12,"")</f>
        <v>9.8943312529044952E-3</v>
      </c>
      <c r="F13" s="2717" t="str">
        <f>IFERROR(F11/F12,"")</f>
        <v/>
      </c>
      <c r="G13" s="2717" t="str">
        <f>IFERROR(G11/G12,"")</f>
        <v/>
      </c>
      <c r="H13" s="2717" t="str">
        <f>IFERROR(H11/H12,"")</f>
        <v/>
      </c>
      <c r="I13" s="2717"/>
      <c r="J13" s="2717"/>
      <c r="K13" s="2717" t="str">
        <f>IFERROR(K11/K12,"")</f>
        <v/>
      </c>
      <c r="L13" s="2717"/>
      <c r="M13" s="2717"/>
      <c r="N13" s="2717"/>
      <c r="O13" s="2717" t="str">
        <f>IFERROR(O11/O12,"")</f>
        <v/>
      </c>
      <c r="P13" s="2717"/>
      <c r="Q13" s="2717"/>
      <c r="R13" s="2717"/>
      <c r="S13" s="2717" t="str">
        <f>IFERROR(S11/S12,"")</f>
        <v/>
      </c>
      <c r="T13" s="2717"/>
      <c r="U13" s="2717"/>
      <c r="V13" s="2717"/>
      <c r="W13" s="2717" t="str">
        <f>IFERROR(W11/W12,"")</f>
        <v/>
      </c>
      <c r="X13" s="2717"/>
      <c r="Y13" s="2717"/>
      <c r="Z13" s="2718"/>
      <c r="BA13" s="635"/>
      <c r="BB13" s="635"/>
      <c r="BC13" s="635"/>
      <c r="BD13" s="635"/>
    </row>
    <row r="14" spans="1:56" ht="15" customHeight="1" outlineLevel="1" x14ac:dyDescent="0.2">
      <c r="B14" s="2696" t="s">
        <v>1810</v>
      </c>
      <c r="C14" s="2697"/>
      <c r="D14" s="2697"/>
      <c r="E14" s="2713">
        <v>0</v>
      </c>
      <c r="F14" s="2713"/>
      <c r="G14" s="2713"/>
      <c r="H14" s="2713"/>
      <c r="I14" s="2713"/>
      <c r="J14" s="2713"/>
      <c r="K14" s="2713"/>
      <c r="L14" s="2713"/>
      <c r="M14" s="2713"/>
      <c r="N14" s="2713"/>
      <c r="O14" s="2713"/>
      <c r="P14" s="2713"/>
      <c r="Q14" s="2713"/>
      <c r="R14" s="2713"/>
      <c r="S14" s="2713"/>
      <c r="T14" s="2713"/>
      <c r="U14" s="2713"/>
      <c r="V14" s="2713"/>
      <c r="W14" s="2713"/>
      <c r="X14" s="2713"/>
      <c r="Y14" s="2713"/>
      <c r="Z14" s="2714"/>
      <c r="BA14" s="635"/>
      <c r="BB14" s="635"/>
      <c r="BC14" s="635"/>
      <c r="BD14" s="635"/>
    </row>
    <row r="15" spans="1:56" ht="15" customHeight="1" outlineLevel="1" x14ac:dyDescent="0.2">
      <c r="B15" s="2696" t="s">
        <v>1811</v>
      </c>
      <c r="C15" s="2697"/>
      <c r="D15" s="2697"/>
      <c r="E15" s="2713">
        <v>0</v>
      </c>
      <c r="F15" s="2713"/>
      <c r="G15" s="2713"/>
      <c r="H15" s="2713"/>
      <c r="I15" s="2713"/>
      <c r="J15" s="2713"/>
      <c r="K15" s="2713"/>
      <c r="L15" s="2713"/>
      <c r="M15" s="2713"/>
      <c r="N15" s="2713"/>
      <c r="O15" s="2713"/>
      <c r="P15" s="2713"/>
      <c r="Q15" s="2713"/>
      <c r="R15" s="2713"/>
      <c r="S15" s="2713"/>
      <c r="T15" s="2713"/>
      <c r="U15" s="2713"/>
      <c r="V15" s="2713"/>
      <c r="W15" s="2713"/>
      <c r="X15" s="2713"/>
      <c r="Y15" s="2713"/>
      <c r="Z15" s="2714"/>
      <c r="BA15" s="635"/>
      <c r="BB15" s="635"/>
      <c r="BC15" s="635"/>
      <c r="BD15" s="635"/>
    </row>
    <row r="16" spans="1:56" ht="15" customHeight="1" outlineLevel="1" x14ac:dyDescent="0.2">
      <c r="B16" s="2696" t="s">
        <v>1812</v>
      </c>
      <c r="C16" s="2697"/>
      <c r="D16" s="2697"/>
      <c r="E16" s="2698" t="s">
        <v>3468</v>
      </c>
      <c r="F16" s="2698"/>
      <c r="G16" s="2698"/>
      <c r="H16" s="2698"/>
      <c r="I16" s="2698"/>
      <c r="J16" s="2698"/>
      <c r="K16" s="2698"/>
      <c r="L16" s="2698"/>
      <c r="M16" s="2698"/>
      <c r="N16" s="2698"/>
      <c r="O16" s="2698"/>
      <c r="P16" s="2698"/>
      <c r="Q16" s="2698"/>
      <c r="R16" s="2698"/>
      <c r="S16" s="2698"/>
      <c r="T16" s="2698"/>
      <c r="U16" s="2698"/>
      <c r="V16" s="2698"/>
      <c r="W16" s="2698"/>
      <c r="X16" s="2698"/>
      <c r="Y16" s="2698"/>
      <c r="Z16" s="2708"/>
      <c r="BA16" s="635"/>
      <c r="BB16" s="635"/>
      <c r="BC16" s="635"/>
      <c r="BD16" s="635"/>
    </row>
    <row r="17" spans="1:62" ht="15" customHeight="1" outlineLevel="1" x14ac:dyDescent="0.2">
      <c r="B17" s="2696" t="s">
        <v>1813</v>
      </c>
      <c r="C17" s="2697"/>
      <c r="D17" s="2697"/>
      <c r="E17" s="2698" t="s">
        <v>3468</v>
      </c>
      <c r="F17" s="2698"/>
      <c r="G17" s="2698"/>
      <c r="H17" s="2698"/>
      <c r="I17" s="2698"/>
      <c r="J17" s="2698"/>
      <c r="K17" s="2698"/>
      <c r="L17" s="2698"/>
      <c r="M17" s="2698"/>
      <c r="N17" s="2698"/>
      <c r="O17" s="2698"/>
      <c r="P17" s="2698"/>
      <c r="Q17" s="2698"/>
      <c r="R17" s="2698"/>
      <c r="S17" s="2698"/>
      <c r="T17" s="2698"/>
      <c r="U17" s="2698"/>
      <c r="V17" s="2698"/>
      <c r="W17" s="2698"/>
      <c r="X17" s="2698"/>
      <c r="Y17" s="2698"/>
      <c r="Z17" s="2708"/>
      <c r="BA17" s="635"/>
      <c r="BB17" s="635"/>
      <c r="BC17" s="635"/>
      <c r="BD17" s="635"/>
    </row>
    <row r="18" spans="1:62" ht="15" customHeight="1" outlineLevel="1" x14ac:dyDescent="0.2">
      <c r="B18" s="2696" t="s">
        <v>1814</v>
      </c>
      <c r="C18" s="2697"/>
      <c r="D18" s="2697"/>
      <c r="E18" s="2698" t="s">
        <v>3469</v>
      </c>
      <c r="F18" s="2698"/>
      <c r="G18" s="2698"/>
      <c r="H18" s="2698"/>
      <c r="I18" s="2698"/>
      <c r="J18" s="2698"/>
      <c r="K18" s="2698"/>
      <c r="L18" s="2698"/>
      <c r="M18" s="2698"/>
      <c r="N18" s="2698"/>
      <c r="O18" s="2698"/>
      <c r="P18" s="2698"/>
      <c r="Q18" s="2698"/>
      <c r="R18" s="2698"/>
      <c r="S18" s="2698"/>
      <c r="T18" s="2698"/>
      <c r="U18" s="2698"/>
      <c r="V18" s="2698"/>
      <c r="W18" s="2698"/>
      <c r="X18" s="2698"/>
      <c r="Y18" s="2698"/>
      <c r="Z18" s="2708"/>
      <c r="BA18" s="635"/>
      <c r="BB18" s="635"/>
      <c r="BC18" s="635"/>
      <c r="BD18" s="635"/>
    </row>
    <row r="19" spans="1:62" ht="15" customHeight="1" outlineLevel="1" x14ac:dyDescent="0.2">
      <c r="B19" s="2696" t="s">
        <v>1815</v>
      </c>
      <c r="C19" s="2697"/>
      <c r="D19" s="2697"/>
      <c r="E19" s="2698" t="s">
        <v>3470</v>
      </c>
      <c r="F19" s="2698"/>
      <c r="G19" s="2698"/>
      <c r="H19" s="2698"/>
      <c r="I19" s="2698"/>
      <c r="J19" s="2698"/>
      <c r="K19" s="2698"/>
      <c r="L19" s="2698"/>
      <c r="M19" s="2698"/>
      <c r="N19" s="2698"/>
      <c r="O19" s="2698"/>
      <c r="P19" s="2698"/>
      <c r="Q19" s="2698"/>
      <c r="R19" s="2698"/>
      <c r="S19" s="2698"/>
      <c r="T19" s="2698"/>
      <c r="U19" s="2698"/>
      <c r="V19" s="2698"/>
      <c r="W19" s="2698"/>
      <c r="X19" s="2698"/>
      <c r="Y19" s="2698"/>
      <c r="Z19" s="2708"/>
      <c r="BA19" s="635"/>
      <c r="BB19" s="635"/>
      <c r="BC19" s="635"/>
      <c r="BD19" s="635"/>
    </row>
    <row r="20" spans="1:62" ht="12.75" outlineLevel="1" x14ac:dyDescent="0.2">
      <c r="B20" s="2696" t="s">
        <v>1816</v>
      </c>
      <c r="C20" s="2697"/>
      <c r="D20" s="2697"/>
      <c r="E20" s="2698" t="s">
        <v>3471</v>
      </c>
      <c r="F20" s="2698"/>
      <c r="G20" s="2698"/>
      <c r="H20" s="2698"/>
      <c r="I20" s="2698"/>
      <c r="J20" s="2698"/>
      <c r="K20" s="2698"/>
      <c r="L20" s="2698"/>
      <c r="M20" s="2698"/>
      <c r="N20" s="2698"/>
      <c r="O20" s="2698"/>
      <c r="P20" s="2698"/>
      <c r="Q20" s="2698"/>
      <c r="R20" s="2698"/>
      <c r="S20" s="2698"/>
      <c r="T20" s="2698"/>
      <c r="U20" s="2698"/>
      <c r="V20" s="2698"/>
      <c r="W20" s="2698"/>
      <c r="X20" s="2698"/>
      <c r="Y20" s="2698"/>
      <c r="Z20" s="2708"/>
      <c r="BA20" s="635"/>
      <c r="BB20" s="635"/>
      <c r="BC20" s="635"/>
      <c r="BD20" s="635"/>
    </row>
    <row r="21" spans="1:62" ht="15" customHeight="1" outlineLevel="1" thickBot="1" x14ac:dyDescent="0.25">
      <c r="B21" s="2709" t="s">
        <v>504</v>
      </c>
      <c r="C21" s="2710"/>
      <c r="D21" s="2710"/>
      <c r="E21" s="2711" t="s">
        <v>3472</v>
      </c>
      <c r="F21" s="2711"/>
      <c r="G21" s="2711"/>
      <c r="H21" s="2711"/>
      <c r="I21" s="2711"/>
      <c r="J21" s="2711"/>
      <c r="K21" s="2711"/>
      <c r="L21" s="2711"/>
      <c r="M21" s="2711"/>
      <c r="N21" s="2711"/>
      <c r="O21" s="2711"/>
      <c r="P21" s="2711"/>
      <c r="Q21" s="2711"/>
      <c r="R21" s="2711"/>
      <c r="S21" s="2711"/>
      <c r="T21" s="2711"/>
      <c r="U21" s="2711"/>
      <c r="V21" s="2711"/>
      <c r="W21" s="2711"/>
      <c r="X21" s="2711"/>
      <c r="Y21" s="2711"/>
      <c r="Z21" s="2712"/>
      <c r="BA21" s="635"/>
      <c r="BB21" s="635"/>
      <c r="BC21" s="635"/>
      <c r="BD21" s="635"/>
    </row>
    <row r="22" spans="1:62" ht="13.5" outlineLevel="1" thickBot="1" x14ac:dyDescent="0.25"/>
    <row r="23" spans="1:62" ht="15" customHeight="1" thickBot="1" x14ac:dyDescent="0.25">
      <c r="A23" s="634"/>
      <c r="B23" s="2705" t="s">
        <v>1696</v>
      </c>
      <c r="C23" s="2706"/>
      <c r="D23" s="2706"/>
      <c r="E23" s="2706"/>
      <c r="F23" s="2706"/>
      <c r="G23" s="2706"/>
      <c r="H23" s="2706"/>
      <c r="I23" s="2706"/>
      <c r="J23" s="2706"/>
      <c r="K23" s="2706"/>
      <c r="L23" s="2706"/>
      <c r="M23" s="2706"/>
      <c r="N23" s="2707"/>
      <c r="O23" s="2705" t="s">
        <v>1817</v>
      </c>
      <c r="P23" s="2706"/>
      <c r="Q23" s="2706"/>
      <c r="R23" s="2706"/>
      <c r="S23" s="2706"/>
      <c r="T23" s="2706"/>
      <c r="U23" s="2706"/>
      <c r="V23" s="2706"/>
      <c r="W23" s="2706"/>
      <c r="X23" s="2706"/>
      <c r="Y23" s="2706"/>
      <c r="Z23" s="2706"/>
      <c r="AA23" s="2706"/>
      <c r="AB23" s="2706"/>
      <c r="AC23" s="2706"/>
      <c r="AD23" s="2706"/>
      <c r="AE23" s="2706"/>
      <c r="AF23" s="2706"/>
      <c r="AG23" s="2706"/>
      <c r="AH23" s="2706"/>
      <c r="AI23" s="2706"/>
      <c r="AJ23" s="2706"/>
      <c r="AK23" s="2706"/>
      <c r="AL23" s="2706"/>
      <c r="AM23" s="2706"/>
      <c r="AN23" s="2706"/>
      <c r="AO23" s="2706"/>
      <c r="AP23" s="2706"/>
      <c r="AQ23" s="2706"/>
      <c r="AR23" s="2706"/>
      <c r="AS23" s="2706"/>
      <c r="AT23" s="2706"/>
      <c r="AU23" s="2706"/>
      <c r="AV23" s="2706"/>
      <c r="AW23" s="2706"/>
      <c r="AX23" s="2706"/>
      <c r="AY23" s="2706"/>
      <c r="AZ23" s="2706"/>
      <c r="BA23" s="2706"/>
      <c r="BB23" s="2706"/>
      <c r="BC23" s="2707"/>
    </row>
    <row r="24" spans="1:62" s="638" customFormat="1" x14ac:dyDescent="0.2">
      <c r="A24" s="637"/>
      <c r="B24" s="2699" t="s">
        <v>1331</v>
      </c>
      <c r="C24" s="2684" t="s">
        <v>1818</v>
      </c>
      <c r="D24" s="2684" t="s">
        <v>1819</v>
      </c>
      <c r="E24" s="2686" t="s">
        <v>1820</v>
      </c>
      <c r="F24" s="2701" t="s">
        <v>1821</v>
      </c>
      <c r="G24" s="2701" t="s">
        <v>1822</v>
      </c>
      <c r="H24" s="2684" t="s">
        <v>1823</v>
      </c>
      <c r="I24" s="2703" t="s">
        <v>1824</v>
      </c>
      <c r="J24" s="2684" t="s">
        <v>202</v>
      </c>
      <c r="K24" s="2686" t="s">
        <v>1825</v>
      </c>
      <c r="L24" s="2688" t="s">
        <v>1826</v>
      </c>
      <c r="M24" s="2689"/>
      <c r="N24" s="2690" t="s">
        <v>1827</v>
      </c>
      <c r="O24" s="2692" t="s">
        <v>1828</v>
      </c>
      <c r="P24" s="2692"/>
      <c r="Q24" s="2693"/>
      <c r="R24" s="2694"/>
      <c r="S24" s="2695">
        <f>Banking!AP4</f>
        <v>44348</v>
      </c>
      <c r="T24" s="2681"/>
      <c r="U24" s="2682"/>
      <c r="V24" s="2680">
        <f>EDATE(S24,-1)</f>
        <v>44317</v>
      </c>
      <c r="W24" s="2681"/>
      <c r="X24" s="2682"/>
      <c r="Y24" s="2680">
        <f>EDATE(V24,-1)</f>
        <v>44287</v>
      </c>
      <c r="Z24" s="2681"/>
      <c r="AA24" s="2682"/>
      <c r="AB24" s="2680">
        <f>EDATE(Y24,-1)</f>
        <v>44256</v>
      </c>
      <c r="AC24" s="2681"/>
      <c r="AD24" s="2682"/>
      <c r="AE24" s="2680">
        <f>EDATE(AB24,-1)</f>
        <v>44228</v>
      </c>
      <c r="AF24" s="2681"/>
      <c r="AG24" s="2682"/>
      <c r="AH24" s="2680">
        <f>EDATE(AE24,-1)</f>
        <v>44197</v>
      </c>
      <c r="AI24" s="2681"/>
      <c r="AJ24" s="2682"/>
      <c r="AK24" s="2680">
        <f>EDATE(AH24,-1)</f>
        <v>44166</v>
      </c>
      <c r="AL24" s="2681"/>
      <c r="AM24" s="2682"/>
      <c r="AN24" s="2680">
        <f>EDATE(AK24,-1)</f>
        <v>44136</v>
      </c>
      <c r="AO24" s="2681"/>
      <c r="AP24" s="2682"/>
      <c r="AQ24" s="2680">
        <f>EDATE(AN24,-1)</f>
        <v>44105</v>
      </c>
      <c r="AR24" s="2681"/>
      <c r="AS24" s="2682"/>
      <c r="AT24" s="2680">
        <f>EDATE(AQ24,-1)</f>
        <v>44075</v>
      </c>
      <c r="AU24" s="2681"/>
      <c r="AV24" s="2682"/>
      <c r="AW24" s="2680">
        <f>EDATE(AT24,-1)</f>
        <v>44044</v>
      </c>
      <c r="AX24" s="2681"/>
      <c r="AY24" s="2682"/>
      <c r="AZ24" s="2680">
        <f>EDATE(AW24,-1)</f>
        <v>44013</v>
      </c>
      <c r="BA24" s="2681"/>
      <c r="BB24" s="2682"/>
      <c r="BC24" s="2683" t="s">
        <v>1829</v>
      </c>
      <c r="BD24" s="637"/>
    </row>
    <row r="25" spans="1:62" s="638" customFormat="1" ht="45" x14ac:dyDescent="0.2">
      <c r="A25" s="637"/>
      <c r="B25" s="2700"/>
      <c r="C25" s="2685"/>
      <c r="D25" s="2685"/>
      <c r="E25" s="2687"/>
      <c r="F25" s="2702"/>
      <c r="G25" s="2702"/>
      <c r="H25" s="2685"/>
      <c r="I25" s="2704"/>
      <c r="J25" s="2685"/>
      <c r="K25" s="2687"/>
      <c r="L25" s="2688"/>
      <c r="M25" s="2689"/>
      <c r="N25" s="2691"/>
      <c r="O25" s="642" t="s">
        <v>1830</v>
      </c>
      <c r="P25" s="642" t="s">
        <v>1831</v>
      </c>
      <c r="Q25" s="643" t="s">
        <v>1832</v>
      </c>
      <c r="R25" s="644" t="s">
        <v>1833</v>
      </c>
      <c r="S25" s="645" t="s">
        <v>505</v>
      </c>
      <c r="T25" s="646" t="s">
        <v>1822</v>
      </c>
      <c r="U25" s="644" t="s">
        <v>1834</v>
      </c>
      <c r="V25" s="647" t="s">
        <v>505</v>
      </c>
      <c r="W25" s="646" t="s">
        <v>1822</v>
      </c>
      <c r="X25" s="644" t="s">
        <v>1834</v>
      </c>
      <c r="Y25" s="647" t="s">
        <v>505</v>
      </c>
      <c r="Z25" s="646" t="s">
        <v>1822</v>
      </c>
      <c r="AA25" s="644" t="s">
        <v>1834</v>
      </c>
      <c r="AB25" s="647" t="s">
        <v>505</v>
      </c>
      <c r="AC25" s="646" t="s">
        <v>1822</v>
      </c>
      <c r="AD25" s="644" t="s">
        <v>1834</v>
      </c>
      <c r="AE25" s="647" t="s">
        <v>505</v>
      </c>
      <c r="AF25" s="646" t="s">
        <v>1822</v>
      </c>
      <c r="AG25" s="648" t="s">
        <v>1835</v>
      </c>
      <c r="AH25" s="647" t="s">
        <v>505</v>
      </c>
      <c r="AI25" s="646" t="s">
        <v>1822</v>
      </c>
      <c r="AJ25" s="644" t="s">
        <v>1834</v>
      </c>
      <c r="AK25" s="647" t="s">
        <v>505</v>
      </c>
      <c r="AL25" s="646" t="s">
        <v>1822</v>
      </c>
      <c r="AM25" s="644" t="s">
        <v>1834</v>
      </c>
      <c r="AN25" s="647" t="s">
        <v>505</v>
      </c>
      <c r="AO25" s="646" t="s">
        <v>1822</v>
      </c>
      <c r="AP25" s="644" t="s">
        <v>1834</v>
      </c>
      <c r="AQ25" s="647" t="s">
        <v>505</v>
      </c>
      <c r="AR25" s="646" t="s">
        <v>1822</v>
      </c>
      <c r="AS25" s="644" t="s">
        <v>1834</v>
      </c>
      <c r="AT25" s="647" t="s">
        <v>505</v>
      </c>
      <c r="AU25" s="646" t="s">
        <v>1822</v>
      </c>
      <c r="AV25" s="644" t="s">
        <v>1834</v>
      </c>
      <c r="AW25" s="647" t="s">
        <v>505</v>
      </c>
      <c r="AX25" s="646" t="s">
        <v>1822</v>
      </c>
      <c r="AY25" s="644" t="s">
        <v>1834</v>
      </c>
      <c r="AZ25" s="647" t="s">
        <v>505</v>
      </c>
      <c r="BA25" s="646" t="s">
        <v>1822</v>
      </c>
      <c r="BB25" s="644" t="s">
        <v>1834</v>
      </c>
      <c r="BC25" s="2683"/>
      <c r="BD25" s="637"/>
    </row>
    <row r="26" spans="1:62" ht="15" customHeight="1" x14ac:dyDescent="0.2">
      <c r="A26" s="633" t="s">
        <v>3458</v>
      </c>
      <c r="B26" s="1507">
        <v>1</v>
      </c>
      <c r="C26" s="1508" t="s">
        <v>3461</v>
      </c>
      <c r="D26" s="1524" t="s">
        <v>3518</v>
      </c>
      <c r="E26" s="1510">
        <v>558673</v>
      </c>
      <c r="F26" s="1511"/>
      <c r="G26" s="1512">
        <v>11513</v>
      </c>
      <c r="H26" s="1513">
        <v>43099</v>
      </c>
      <c r="I26" s="1514">
        <v>213645</v>
      </c>
      <c r="J26" s="1507">
        <v>60</v>
      </c>
      <c r="K26" s="1515">
        <f t="shared" ref="K26:K30" ca="1" si="0">IFERROR(IF(J26&lt;(TODAY()-H26)/30,"",J26-((TODAY()-H26)/30)+1),"")</f>
        <v>13.766666666666666</v>
      </c>
      <c r="L26" s="1516" t="s">
        <v>1545</v>
      </c>
      <c r="M26" s="1517">
        <f t="shared" ref="M26:M30" ca="1" si="1">IF(OR(L26="Yes",AND(K26&gt;1,K26&lt;&gt;"")),G26,"")</f>
        <v>11513</v>
      </c>
      <c r="N26" s="1518"/>
      <c r="O26" s="1519">
        <f t="shared" ref="O26:O30" si="2">IF($G26&lt;&gt;"",COUNT($S26,$V26,$Y26,$AB26,$AE26,$AH26,$AK26,$AN26,$AQ26,$AT26,$AW26,$AZ26),"")</f>
        <v>0</v>
      </c>
      <c r="P26" s="1519"/>
      <c r="Q26" s="1520">
        <f t="shared" ref="Q26:Q30" si="3">IF($G26&lt;&gt;"",SUM($T26,$W26,$Z26,$AC26,$AF26,$AI26,$AL26,$AO26,$AR26,$AU26,$AX26,$BA26),"")</f>
        <v>0</v>
      </c>
      <c r="R26" s="1520" t="str">
        <f t="shared" ref="R26:R30" si="4">IF($G26&lt;&gt;"",IFERROR(AVERAGE($U26,$X26,$AA26,$AD26,$AG26,$AJ26,$AM26,$AP26,$AS26,$AV26,$AY26,$BB26),""),"")</f>
        <v/>
      </c>
      <c r="S26" s="1521"/>
      <c r="T26" s="1522"/>
      <c r="U26" s="1523"/>
      <c r="V26" s="1521"/>
      <c r="W26" s="1522"/>
      <c r="X26" s="1520"/>
      <c r="Y26" s="1521"/>
      <c r="Z26" s="1522"/>
      <c r="AA26" s="1520"/>
      <c r="AB26" s="1521"/>
      <c r="AC26" s="1522"/>
      <c r="AD26" s="1520"/>
      <c r="AE26" s="1521"/>
      <c r="AF26" s="1522"/>
      <c r="AG26" s="1520"/>
      <c r="AH26" s="1521"/>
      <c r="AI26" s="1522"/>
      <c r="AJ26" s="1520"/>
      <c r="AK26" s="1521"/>
      <c r="AL26" s="1522"/>
      <c r="AM26" s="1520"/>
      <c r="AN26" s="1521"/>
      <c r="AO26" s="1522"/>
      <c r="AP26" s="1520"/>
      <c r="AQ26" s="1521"/>
      <c r="AR26" s="1522"/>
      <c r="AS26" s="1520"/>
      <c r="AT26" s="1521"/>
      <c r="AU26" s="1522"/>
      <c r="AV26" s="1520"/>
      <c r="AW26" s="1521"/>
      <c r="AX26" s="1522"/>
      <c r="AY26" s="1520"/>
      <c r="AZ26" s="1521"/>
      <c r="BA26" s="1522"/>
      <c r="BB26" s="1520"/>
      <c r="BC26" s="660" t="s">
        <v>3516</v>
      </c>
      <c r="BI26" s="635" t="s">
        <v>3458</v>
      </c>
      <c r="BJ26" s="635" t="s">
        <v>3460</v>
      </c>
    </row>
    <row r="27" spans="1:62" ht="15" customHeight="1" x14ac:dyDescent="0.2">
      <c r="A27" s="633" t="s">
        <v>3458</v>
      </c>
      <c r="B27" s="1507">
        <v>2</v>
      </c>
      <c r="C27" s="1508" t="s">
        <v>3462</v>
      </c>
      <c r="D27" s="1509" t="s">
        <v>3459</v>
      </c>
      <c r="E27" s="1510">
        <v>577000</v>
      </c>
      <c r="F27" s="1511"/>
      <c r="G27" s="1512">
        <v>12183</v>
      </c>
      <c r="H27" s="1513">
        <v>42808</v>
      </c>
      <c r="I27" s="1514">
        <v>116568</v>
      </c>
      <c r="J27" s="1507">
        <v>60</v>
      </c>
      <c r="K27" s="1515">
        <f t="shared" ca="1" si="0"/>
        <v>4.06666666666667</v>
      </c>
      <c r="L27" s="1516" t="s">
        <v>1545</v>
      </c>
      <c r="M27" s="1517">
        <f t="shared" ca="1" si="1"/>
        <v>12183</v>
      </c>
      <c r="N27" s="1518"/>
      <c r="O27" s="1519">
        <f t="shared" si="2"/>
        <v>0</v>
      </c>
      <c r="P27" s="1519"/>
      <c r="Q27" s="1520">
        <f t="shared" si="3"/>
        <v>0</v>
      </c>
      <c r="R27" s="1520" t="str">
        <f t="shared" si="4"/>
        <v/>
      </c>
      <c r="S27" s="1521"/>
      <c r="T27" s="1522"/>
      <c r="U27" s="1523"/>
      <c r="V27" s="1521"/>
      <c r="W27" s="1522"/>
      <c r="X27" s="1520"/>
      <c r="Y27" s="1521"/>
      <c r="Z27" s="1522"/>
      <c r="AA27" s="1520"/>
      <c r="AB27" s="1521"/>
      <c r="AC27" s="1522"/>
      <c r="AD27" s="1520"/>
      <c r="AE27" s="1521"/>
      <c r="AF27" s="1522"/>
      <c r="AG27" s="1520"/>
      <c r="AH27" s="1521"/>
      <c r="AI27" s="1522"/>
      <c r="AJ27" s="1520"/>
      <c r="AK27" s="1521"/>
      <c r="AL27" s="1522"/>
      <c r="AM27" s="1520"/>
      <c r="AN27" s="1521"/>
      <c r="AO27" s="1522"/>
      <c r="AP27" s="1520"/>
      <c r="AQ27" s="1521"/>
      <c r="AR27" s="1522"/>
      <c r="AS27" s="1520"/>
      <c r="AT27" s="1521"/>
      <c r="AU27" s="1522"/>
      <c r="AV27" s="1520"/>
      <c r="AW27" s="1521"/>
      <c r="AX27" s="1522"/>
      <c r="AY27" s="1520"/>
      <c r="AZ27" s="1521"/>
      <c r="BA27" s="1522"/>
      <c r="BB27" s="1520"/>
      <c r="BC27" s="660" t="s">
        <v>3516</v>
      </c>
      <c r="BI27" s="635" t="s">
        <v>3458</v>
      </c>
      <c r="BJ27" s="635" t="s">
        <v>3460</v>
      </c>
    </row>
    <row r="28" spans="1:62" ht="15" customHeight="1" x14ac:dyDescent="0.2">
      <c r="A28" s="633" t="s">
        <v>3458</v>
      </c>
      <c r="B28" s="1507">
        <v>3</v>
      </c>
      <c r="C28" s="1508" t="s">
        <v>3463</v>
      </c>
      <c r="D28" s="1524" t="s">
        <v>3518</v>
      </c>
      <c r="E28" s="1510">
        <v>640521</v>
      </c>
      <c r="F28" s="1511"/>
      <c r="G28" s="1512">
        <v>13688</v>
      </c>
      <c r="H28" s="1513">
        <v>43034</v>
      </c>
      <c r="I28" s="1514">
        <v>227479</v>
      </c>
      <c r="J28" s="1507">
        <v>60</v>
      </c>
      <c r="K28" s="1515">
        <f t="shared" ca="1" si="0"/>
        <v>11.600000000000001</v>
      </c>
      <c r="L28" s="1516" t="s">
        <v>1545</v>
      </c>
      <c r="M28" s="1517">
        <f t="shared" ca="1" si="1"/>
        <v>13688</v>
      </c>
      <c r="N28" s="1518"/>
      <c r="O28" s="1519">
        <f t="shared" si="2"/>
        <v>0</v>
      </c>
      <c r="P28" s="1519"/>
      <c r="Q28" s="1520">
        <f t="shared" si="3"/>
        <v>0</v>
      </c>
      <c r="R28" s="1520" t="str">
        <f t="shared" si="4"/>
        <v/>
      </c>
      <c r="S28" s="1521"/>
      <c r="T28" s="1522"/>
      <c r="U28" s="1523"/>
      <c r="V28" s="1521"/>
      <c r="W28" s="1522"/>
      <c r="X28" s="1520"/>
      <c r="Y28" s="1521"/>
      <c r="Z28" s="1522"/>
      <c r="AA28" s="1520"/>
      <c r="AB28" s="1521"/>
      <c r="AC28" s="1522"/>
      <c r="AD28" s="1520"/>
      <c r="AE28" s="1521"/>
      <c r="AF28" s="1522"/>
      <c r="AG28" s="1520"/>
      <c r="AH28" s="1521"/>
      <c r="AI28" s="1522"/>
      <c r="AJ28" s="1520"/>
      <c r="AK28" s="1521"/>
      <c r="AL28" s="1522"/>
      <c r="AM28" s="1520"/>
      <c r="AN28" s="1521"/>
      <c r="AO28" s="1522"/>
      <c r="AP28" s="1520"/>
      <c r="AQ28" s="1521"/>
      <c r="AR28" s="1522"/>
      <c r="AS28" s="1520"/>
      <c r="AT28" s="1521"/>
      <c r="AU28" s="1522"/>
      <c r="AV28" s="1520"/>
      <c r="AW28" s="1521"/>
      <c r="AX28" s="1522"/>
      <c r="AY28" s="1520"/>
      <c r="AZ28" s="1521"/>
      <c r="BA28" s="1522"/>
      <c r="BB28" s="1520"/>
      <c r="BC28" s="660" t="s">
        <v>3516</v>
      </c>
      <c r="BI28" s="635" t="s">
        <v>3458</v>
      </c>
      <c r="BJ28" s="635" t="s">
        <v>3460</v>
      </c>
    </row>
    <row r="29" spans="1:62" ht="15" customHeight="1" x14ac:dyDescent="0.2">
      <c r="A29" s="633" t="s">
        <v>3458</v>
      </c>
      <c r="B29" s="1507">
        <v>4</v>
      </c>
      <c r="C29" s="1508" t="s">
        <v>3464</v>
      </c>
      <c r="D29" s="1524" t="s">
        <v>3518</v>
      </c>
      <c r="E29" s="1510">
        <v>2000000</v>
      </c>
      <c r="F29" s="1511"/>
      <c r="G29" s="1512"/>
      <c r="H29" s="1513">
        <v>42671</v>
      </c>
      <c r="I29" s="1514">
        <v>243931</v>
      </c>
      <c r="J29" s="1507"/>
      <c r="K29" s="1515" t="str">
        <f t="shared" ca="1" si="0"/>
        <v/>
      </c>
      <c r="L29" s="1516"/>
      <c r="M29" s="1517" t="str">
        <f t="shared" ca="1" si="1"/>
        <v/>
      </c>
      <c r="N29" s="1518"/>
      <c r="O29" s="1519" t="str">
        <f t="shared" si="2"/>
        <v/>
      </c>
      <c r="P29" s="1519"/>
      <c r="Q29" s="1520" t="str">
        <f t="shared" si="3"/>
        <v/>
      </c>
      <c r="R29" s="1520" t="str">
        <f t="shared" si="4"/>
        <v/>
      </c>
      <c r="S29" s="1521"/>
      <c r="T29" s="1522"/>
      <c r="U29" s="1523"/>
      <c r="V29" s="1521"/>
      <c r="W29" s="1522"/>
      <c r="X29" s="1520"/>
      <c r="Y29" s="1521"/>
      <c r="Z29" s="1522"/>
      <c r="AA29" s="1520"/>
      <c r="AB29" s="1521"/>
      <c r="AC29" s="1522"/>
      <c r="AD29" s="1520"/>
      <c r="AE29" s="1521"/>
      <c r="AF29" s="1522"/>
      <c r="AG29" s="1520"/>
      <c r="AH29" s="1521"/>
      <c r="AI29" s="1522"/>
      <c r="AJ29" s="1520"/>
      <c r="AK29" s="1521"/>
      <c r="AL29" s="1522"/>
      <c r="AM29" s="1520"/>
      <c r="AN29" s="1521"/>
      <c r="AO29" s="1522"/>
      <c r="AP29" s="1520"/>
      <c r="AQ29" s="1521"/>
      <c r="AR29" s="1522"/>
      <c r="AS29" s="1520"/>
      <c r="AT29" s="1521"/>
      <c r="AU29" s="1522"/>
      <c r="AV29" s="1520"/>
      <c r="AW29" s="1521"/>
      <c r="AX29" s="1522"/>
      <c r="AY29" s="1520"/>
      <c r="AZ29" s="1521"/>
      <c r="BA29" s="1522"/>
      <c r="BB29" s="1520"/>
      <c r="BC29" s="660" t="s">
        <v>3516</v>
      </c>
      <c r="BI29" s="635" t="s">
        <v>3458</v>
      </c>
      <c r="BJ29" s="635" t="s">
        <v>3460</v>
      </c>
    </row>
    <row r="30" spans="1:62" ht="15" customHeight="1" x14ac:dyDescent="0.2">
      <c r="A30" s="633" t="s">
        <v>3458</v>
      </c>
      <c r="B30" s="1507">
        <v>5</v>
      </c>
      <c r="C30" s="1525" t="s">
        <v>3511</v>
      </c>
      <c r="D30" s="1524" t="s">
        <v>3517</v>
      </c>
      <c r="E30" s="1510">
        <v>9990000</v>
      </c>
      <c r="F30" s="1511"/>
      <c r="G30" s="1512"/>
      <c r="H30" s="1513"/>
      <c r="I30" s="1514">
        <v>3580574</v>
      </c>
      <c r="J30" s="1507"/>
      <c r="K30" s="1515" t="str">
        <f t="shared" ca="1" si="0"/>
        <v/>
      </c>
      <c r="L30" s="1516"/>
      <c r="M30" s="1517" t="str">
        <f t="shared" ca="1" si="1"/>
        <v/>
      </c>
      <c r="N30" s="654"/>
      <c r="O30" s="1519" t="str">
        <f t="shared" si="2"/>
        <v/>
      </c>
      <c r="P30" s="1519"/>
      <c r="Q30" s="1520" t="str">
        <f t="shared" si="3"/>
        <v/>
      </c>
      <c r="R30" s="1520" t="str">
        <f t="shared" si="4"/>
        <v/>
      </c>
      <c r="S30" s="1521"/>
      <c r="T30" s="1522"/>
      <c r="U30" s="1523"/>
      <c r="V30" s="1521"/>
      <c r="W30" s="1522"/>
      <c r="X30" s="1520"/>
      <c r="Y30" s="1521"/>
      <c r="Z30" s="1522"/>
      <c r="AA30" s="1520"/>
      <c r="AB30" s="1521"/>
      <c r="AC30" s="1522"/>
      <c r="AD30" s="1520"/>
      <c r="AE30" s="1521"/>
      <c r="AF30" s="1522"/>
      <c r="AG30" s="1520"/>
      <c r="AH30" s="1521"/>
      <c r="AI30" s="1522"/>
      <c r="AJ30" s="1520"/>
      <c r="AK30" s="1521"/>
      <c r="AL30" s="1522"/>
      <c r="AM30" s="1520"/>
      <c r="AN30" s="1521"/>
      <c r="AO30" s="1522"/>
      <c r="AP30" s="1520"/>
      <c r="AQ30" s="1521"/>
      <c r="AR30" s="1522"/>
      <c r="AS30" s="1520"/>
      <c r="AT30" s="1521"/>
      <c r="AU30" s="1522"/>
      <c r="AV30" s="1520"/>
      <c r="AW30" s="1521"/>
      <c r="AX30" s="1522"/>
      <c r="AY30" s="1520"/>
      <c r="AZ30" s="1521"/>
      <c r="BA30" s="1522"/>
      <c r="BB30" s="1520"/>
      <c r="BC30" s="1518" t="s">
        <v>3576</v>
      </c>
      <c r="BI30" s="635" t="s">
        <v>3458</v>
      </c>
      <c r="BJ30" s="635" t="s">
        <v>3460</v>
      </c>
    </row>
    <row r="31" spans="1:62" ht="15" customHeight="1" x14ac:dyDescent="0.2">
      <c r="A31" s="633" t="s">
        <v>3458</v>
      </c>
      <c r="B31" s="1507">
        <v>6</v>
      </c>
      <c r="C31" s="654" t="s">
        <v>3512</v>
      </c>
      <c r="D31" s="1524" t="s">
        <v>3510</v>
      </c>
      <c r="E31" s="658">
        <v>73000</v>
      </c>
      <c r="F31" s="651"/>
      <c r="G31" s="657"/>
      <c r="H31" s="661"/>
      <c r="I31" s="658">
        <v>8104</v>
      </c>
      <c r="J31" s="654"/>
      <c r="K31" s="652" t="str">
        <f t="shared" ref="K31:K48" ca="1" si="5">IFERROR(IF(J31&lt;(TODAY()-H31)/30,"",J31-((TODAY()-H31)/30)+1),"")</f>
        <v/>
      </c>
      <c r="L31" s="659"/>
      <c r="M31" s="653" t="str">
        <f t="shared" ref="M31:M48" ca="1" si="6">IF(OR(L31="Yes",AND(K31&gt;1,K31&lt;&gt;"")),G31,"")</f>
        <v/>
      </c>
      <c r="N31" s="654"/>
      <c r="O31" s="655" t="str">
        <f t="shared" ref="O31:O48" si="7">IF($G31&lt;&gt;"",COUNT($S31,$V31,$Y31,$AB31,$AE31,$AH31,$AK31,$AN31,$AQ31,$AT31,$AW31,$AZ31),"")</f>
        <v/>
      </c>
      <c r="P31" s="655"/>
      <c r="Q31" s="656" t="str">
        <f t="shared" ref="Q31:Q48" si="8">IF($G31&lt;&gt;"",SUM($T31,$W31,$Z31,$AC31,$AF31,$AI31,$AL31,$AO31,$AR31,$AU31,$AX31,$BA31),"")</f>
        <v/>
      </c>
      <c r="R31" s="656" t="str">
        <f t="shared" ref="R31:R48" si="9">IF($G31&lt;&gt;"",IFERROR(AVERAGE($U31,$X31,$AA31,$AD31,$AG31,$AJ31,$AM31,$AP31,$AS31,$AV31,$AY31,$BB31),""),"")</f>
        <v/>
      </c>
      <c r="S31" s="650"/>
      <c r="T31" s="651"/>
      <c r="U31" s="656" t="s">
        <v>2038</v>
      </c>
      <c r="V31" s="650"/>
      <c r="W31" s="651"/>
      <c r="X31" s="656" t="s">
        <v>2038</v>
      </c>
      <c r="Y31" s="650"/>
      <c r="Z31" s="651"/>
      <c r="AA31" s="656" t="s">
        <v>2038</v>
      </c>
      <c r="AB31" s="650"/>
      <c r="AC31" s="651"/>
      <c r="AD31" s="656" t="s">
        <v>2038</v>
      </c>
      <c r="AE31" s="650"/>
      <c r="AF31" s="651"/>
      <c r="AG31" s="656" t="s">
        <v>2038</v>
      </c>
      <c r="AH31" s="650"/>
      <c r="AI31" s="651"/>
      <c r="AJ31" s="656" t="s">
        <v>2038</v>
      </c>
      <c r="AK31" s="650"/>
      <c r="AL31" s="651"/>
      <c r="AM31" s="656" t="s">
        <v>2038</v>
      </c>
      <c r="AN31" s="650"/>
      <c r="AO31" s="651"/>
      <c r="AP31" s="656" t="s">
        <v>2038</v>
      </c>
      <c r="AQ31" s="650"/>
      <c r="AR31" s="651"/>
      <c r="AS31" s="656" t="s">
        <v>2038</v>
      </c>
      <c r="AT31" s="650"/>
      <c r="AU31" s="651"/>
      <c r="AV31" s="656" t="s">
        <v>2038</v>
      </c>
      <c r="AW31" s="650"/>
      <c r="AX31" s="651"/>
      <c r="AY31" s="656" t="s">
        <v>2038</v>
      </c>
      <c r="AZ31" s="650"/>
      <c r="BA31" s="651"/>
      <c r="BB31" s="656" t="s">
        <v>2038</v>
      </c>
      <c r="BC31" s="654" t="s">
        <v>3576</v>
      </c>
      <c r="BI31" s="635" t="s">
        <v>3458</v>
      </c>
      <c r="BJ31" s="635" t="s">
        <v>3460</v>
      </c>
    </row>
    <row r="32" spans="1:62" ht="15" customHeight="1" x14ac:dyDescent="0.2">
      <c r="B32" s="1507">
        <v>7</v>
      </c>
      <c r="C32" s="654" t="s">
        <v>3514</v>
      </c>
      <c r="D32" s="650" t="s">
        <v>3513</v>
      </c>
      <c r="E32" s="658">
        <v>50000</v>
      </c>
      <c r="F32" s="651"/>
      <c r="G32" s="657">
        <v>1160</v>
      </c>
      <c r="H32" s="661"/>
      <c r="I32" s="658">
        <v>27419</v>
      </c>
      <c r="J32" s="654">
        <v>60</v>
      </c>
      <c r="K32" s="652" t="str">
        <f ca="1">IFERROR(IF(J32&lt;(TODAY()-H32)/30,"",J32-((TODAY()-H32)/30)+1),"")</f>
        <v/>
      </c>
      <c r="L32" s="659" t="s">
        <v>1545</v>
      </c>
      <c r="M32" s="653" t="str">
        <f ca="1">IF(OR(L32="Yes",AND(K32&gt;1,K32&lt;&gt;"")),G32,"")</f>
        <v/>
      </c>
      <c r="N32" s="654"/>
      <c r="O32" s="655">
        <f>IF($G32&lt;&gt;"",COUNT($S32,$V32,$Y32,$AB32,$AE32,$AH32,$AK32,$AN32,$AQ32,$AT32,$AW32,$AZ32),"")</f>
        <v>0</v>
      </c>
      <c r="P32" s="655"/>
      <c r="Q32" s="656">
        <f>IF($G32&lt;&gt;"",SUM($T32,$W32,$Z32,$AC32,$AF32,$AI32,$AL32,$AO32,$AR32,$AU32,$AX32,$BA32),"")</f>
        <v>0</v>
      </c>
      <c r="R32" s="656" t="str">
        <f>IF($G32&lt;&gt;"",IFERROR(AVERAGE($U32,$X32,$AA32,$AD32,$AG32,$AJ32,$AM32,$AP32,$AS32,$AV32,$AY32,$BB32),""),"")</f>
        <v/>
      </c>
      <c r="S32" s="650"/>
      <c r="T32" s="651"/>
      <c r="U32" s="656"/>
      <c r="V32" s="650"/>
      <c r="W32" s="651"/>
      <c r="X32" s="656"/>
      <c r="Y32" s="650"/>
      <c r="Z32" s="651"/>
      <c r="AA32" s="656"/>
      <c r="AB32" s="650"/>
      <c r="AC32" s="651"/>
      <c r="AD32" s="656"/>
      <c r="AE32" s="650"/>
      <c r="AF32" s="651"/>
      <c r="AG32" s="656"/>
      <c r="AH32" s="650"/>
      <c r="AI32" s="651"/>
      <c r="AJ32" s="656"/>
      <c r="AK32" s="650"/>
      <c r="AL32" s="651"/>
      <c r="AM32" s="656"/>
      <c r="AN32" s="650"/>
      <c r="AO32" s="651"/>
      <c r="AP32" s="656"/>
      <c r="AQ32" s="650"/>
      <c r="AR32" s="651"/>
      <c r="AS32" s="656"/>
      <c r="AT32" s="650"/>
      <c r="AU32" s="651"/>
      <c r="AV32" s="656"/>
      <c r="AW32" s="650"/>
      <c r="AX32" s="651"/>
      <c r="AY32" s="656"/>
      <c r="AZ32" s="650"/>
      <c r="BA32" s="651"/>
      <c r="BB32" s="656"/>
      <c r="BC32" s="654" t="s">
        <v>3577</v>
      </c>
    </row>
    <row r="33" spans="1:55" ht="15" customHeight="1" x14ac:dyDescent="0.2">
      <c r="B33" s="1507">
        <v>8</v>
      </c>
      <c r="C33" s="654" t="s">
        <v>3515</v>
      </c>
      <c r="D33" s="650" t="s">
        <v>3513</v>
      </c>
      <c r="E33" s="658">
        <v>100000</v>
      </c>
      <c r="F33" s="651"/>
      <c r="G33" s="657">
        <v>2310</v>
      </c>
      <c r="H33" s="661"/>
      <c r="I33" s="658">
        <v>55707</v>
      </c>
      <c r="J33" s="654">
        <v>60</v>
      </c>
      <c r="K33" s="652" t="str">
        <f ca="1">IFERROR(IF(J33&lt;(TODAY()-H33)/30,"",J33-((TODAY()-H33)/30)+1),"")</f>
        <v/>
      </c>
      <c r="L33" s="659" t="s">
        <v>1545</v>
      </c>
      <c r="M33" s="653" t="str">
        <f ca="1">IF(OR(L33="Yes",AND(K33&gt;1,K33&lt;&gt;"")),G33,"")</f>
        <v/>
      </c>
      <c r="N33" s="654"/>
      <c r="O33" s="655">
        <f>IF($G33&lt;&gt;"",COUNT($S33,$V33,$Y33,$AB33,$AE33,$AH33,$AK33,$AN33,$AQ33,$AT33,$AW33,$AZ33),"")</f>
        <v>0</v>
      </c>
      <c r="P33" s="655"/>
      <c r="Q33" s="656">
        <f>IF($G33&lt;&gt;"",SUM($T33,$W33,$Z33,$AC33,$AF33,$AI33,$AL33,$AO33,$AR33,$AU33,$AX33,$BA33),"")</f>
        <v>0</v>
      </c>
      <c r="R33" s="656" t="str">
        <f>IF($G33&lt;&gt;"",IFERROR(AVERAGE($U33,$X33,$AA33,$AD33,$AG33,$AJ33,$AM33,$AP33,$AS33,$AV33,$AY33,$BB33),""),"")</f>
        <v/>
      </c>
      <c r="S33" s="650"/>
      <c r="T33" s="651"/>
      <c r="U33" s="656"/>
      <c r="V33" s="650"/>
      <c r="W33" s="651"/>
      <c r="X33" s="656"/>
      <c r="Y33" s="650"/>
      <c r="Z33" s="651"/>
      <c r="AA33" s="656"/>
      <c r="AB33" s="650"/>
      <c r="AC33" s="651"/>
      <c r="AD33" s="656"/>
      <c r="AE33" s="650"/>
      <c r="AF33" s="651"/>
      <c r="AG33" s="656"/>
      <c r="AH33" s="650"/>
      <c r="AI33" s="651"/>
      <c r="AJ33" s="656"/>
      <c r="AK33" s="650"/>
      <c r="AL33" s="651"/>
      <c r="AM33" s="656"/>
      <c r="AN33" s="650"/>
      <c r="AO33" s="651"/>
      <c r="AP33" s="656"/>
      <c r="AQ33" s="650"/>
      <c r="AR33" s="651"/>
      <c r="AS33" s="656"/>
      <c r="AT33" s="650"/>
      <c r="AU33" s="651"/>
      <c r="AV33" s="656"/>
      <c r="AW33" s="650"/>
      <c r="AX33" s="651"/>
      <c r="AY33" s="656"/>
      <c r="AZ33" s="650"/>
      <c r="BA33" s="651"/>
      <c r="BB33" s="656"/>
      <c r="BC33" s="654" t="s">
        <v>3577</v>
      </c>
    </row>
    <row r="34" spans="1:55" ht="15" customHeight="1" x14ac:dyDescent="0.2">
      <c r="B34" s="1507">
        <v>9</v>
      </c>
      <c r="C34" s="654" t="s">
        <v>3514</v>
      </c>
      <c r="D34" s="650" t="s">
        <v>3513</v>
      </c>
      <c r="E34" s="658">
        <v>50000</v>
      </c>
      <c r="F34" s="651"/>
      <c r="G34" s="657">
        <v>1160</v>
      </c>
      <c r="H34" s="661"/>
      <c r="I34" s="658">
        <v>428</v>
      </c>
      <c r="J34" s="654">
        <v>60</v>
      </c>
      <c r="K34" s="652" t="str">
        <f t="shared" ca="1" si="5"/>
        <v/>
      </c>
      <c r="L34" s="659" t="s">
        <v>1545</v>
      </c>
      <c r="M34" s="653" t="str">
        <f t="shared" ca="1" si="6"/>
        <v/>
      </c>
      <c r="N34" s="654"/>
      <c r="O34" s="655">
        <f t="shared" si="7"/>
        <v>0</v>
      </c>
      <c r="P34" s="655"/>
      <c r="Q34" s="656">
        <f t="shared" si="8"/>
        <v>0</v>
      </c>
      <c r="R34" s="656" t="str">
        <f t="shared" si="9"/>
        <v/>
      </c>
      <c r="S34" s="650"/>
      <c r="T34" s="651"/>
      <c r="U34" s="656" t="s">
        <v>2038</v>
      </c>
      <c r="V34" s="650"/>
      <c r="W34" s="651"/>
      <c r="X34" s="656" t="s">
        <v>2038</v>
      </c>
      <c r="Y34" s="650"/>
      <c r="Z34" s="651"/>
      <c r="AA34" s="656" t="s">
        <v>2038</v>
      </c>
      <c r="AB34" s="650"/>
      <c r="AC34" s="651"/>
      <c r="AD34" s="656" t="s">
        <v>2038</v>
      </c>
      <c r="AE34" s="650"/>
      <c r="AF34" s="651"/>
      <c r="AG34" s="656" t="s">
        <v>2038</v>
      </c>
      <c r="AH34" s="650"/>
      <c r="AI34" s="651"/>
      <c r="AJ34" s="656" t="s">
        <v>2038</v>
      </c>
      <c r="AK34" s="650"/>
      <c r="AL34" s="651"/>
      <c r="AM34" s="656" t="s">
        <v>2038</v>
      </c>
      <c r="AN34" s="650"/>
      <c r="AO34" s="651"/>
      <c r="AP34" s="656" t="s">
        <v>2038</v>
      </c>
      <c r="AQ34" s="650"/>
      <c r="AR34" s="651"/>
      <c r="AS34" s="656" t="s">
        <v>2038</v>
      </c>
      <c r="AT34" s="650"/>
      <c r="AU34" s="651"/>
      <c r="AV34" s="656" t="s">
        <v>2038</v>
      </c>
      <c r="AW34" s="650"/>
      <c r="AX34" s="651"/>
      <c r="AY34" s="656" t="s">
        <v>2038</v>
      </c>
      <c r="AZ34" s="650"/>
      <c r="BA34" s="651"/>
      <c r="BB34" s="656" t="s">
        <v>2038</v>
      </c>
      <c r="BC34" s="654" t="s">
        <v>3577</v>
      </c>
    </row>
    <row r="35" spans="1:55" ht="15" customHeight="1" x14ac:dyDescent="0.2">
      <c r="B35" s="1507">
        <v>10</v>
      </c>
      <c r="C35" s="654" t="s">
        <v>3515</v>
      </c>
      <c r="D35" s="650" t="s">
        <v>3513</v>
      </c>
      <c r="E35" s="658">
        <v>200000</v>
      </c>
      <c r="F35" s="651"/>
      <c r="G35" s="657">
        <v>4670</v>
      </c>
      <c r="H35" s="661"/>
      <c r="I35" s="658">
        <v>85787</v>
      </c>
      <c r="J35" s="654">
        <v>60</v>
      </c>
      <c r="K35" s="652" t="str">
        <f t="shared" ref="K35:K47" ca="1" si="10">IFERROR(IF(J35&lt;(TODAY()-H35)/30,"",J35-((TODAY()-H35)/30)+1),"")</f>
        <v/>
      </c>
      <c r="L35" s="659" t="s">
        <v>1545</v>
      </c>
      <c r="M35" s="653" t="str">
        <f t="shared" ref="M35:M47" ca="1" si="11">IF(OR(L35="Yes",AND(K35&gt;1,K35&lt;&gt;"")),G35,"")</f>
        <v/>
      </c>
      <c r="N35" s="654"/>
      <c r="O35" s="655">
        <f t="shared" ref="O35:O47" si="12">IF($G35&lt;&gt;"",COUNT($S35,$V35,$Y35,$AB35,$AE35,$AH35,$AK35,$AN35,$AQ35,$AT35,$AW35,$AZ35),"")</f>
        <v>0</v>
      </c>
      <c r="P35" s="655"/>
      <c r="Q35" s="656">
        <f t="shared" ref="Q35:Q47" si="13">IF($G35&lt;&gt;"",SUM($T35,$W35,$Z35,$AC35,$AF35,$AI35,$AL35,$AO35,$AR35,$AU35,$AX35,$BA35),"")</f>
        <v>0</v>
      </c>
      <c r="R35" s="656" t="str">
        <f t="shared" ref="R35:R47" si="14">IF($G35&lt;&gt;"",IFERROR(AVERAGE($U35,$X35,$AA35,$AD35,$AG35,$AJ35,$AM35,$AP35,$AS35,$AV35,$AY35,$BB35),""),"")</f>
        <v/>
      </c>
      <c r="S35" s="650"/>
      <c r="T35" s="651"/>
      <c r="U35" s="656"/>
      <c r="V35" s="650"/>
      <c r="W35" s="651"/>
      <c r="X35" s="656"/>
      <c r="Y35" s="650"/>
      <c r="Z35" s="651"/>
      <c r="AA35" s="656"/>
      <c r="AB35" s="650"/>
      <c r="AC35" s="651"/>
      <c r="AD35" s="656"/>
      <c r="AE35" s="650"/>
      <c r="AF35" s="651"/>
      <c r="AG35" s="656"/>
      <c r="AH35" s="650"/>
      <c r="AI35" s="651"/>
      <c r="AJ35" s="656"/>
      <c r="AK35" s="650"/>
      <c r="AL35" s="651"/>
      <c r="AM35" s="656"/>
      <c r="AN35" s="650"/>
      <c r="AO35" s="651"/>
      <c r="AP35" s="656"/>
      <c r="AQ35" s="650"/>
      <c r="AR35" s="651"/>
      <c r="AS35" s="656"/>
      <c r="AT35" s="650"/>
      <c r="AU35" s="651"/>
      <c r="AV35" s="656"/>
      <c r="AW35" s="650"/>
      <c r="AX35" s="651"/>
      <c r="AY35" s="656"/>
      <c r="AZ35" s="650"/>
      <c r="BA35" s="651"/>
      <c r="BB35" s="656"/>
      <c r="BC35" s="654" t="s">
        <v>3577</v>
      </c>
    </row>
    <row r="36" spans="1:55" ht="15" customHeight="1" x14ac:dyDescent="0.2">
      <c r="B36" s="649">
        <v>11</v>
      </c>
      <c r="C36" s="654" t="s">
        <v>3515</v>
      </c>
      <c r="D36" s="1524" t="s">
        <v>3510</v>
      </c>
      <c r="E36" s="658">
        <v>100000</v>
      </c>
      <c r="F36" s="651"/>
      <c r="G36" s="657">
        <v>2320</v>
      </c>
      <c r="H36" s="661"/>
      <c r="I36" s="658">
        <v>977</v>
      </c>
      <c r="J36" s="654">
        <v>60</v>
      </c>
      <c r="K36" s="652" t="str">
        <f t="shared" ca="1" si="10"/>
        <v/>
      </c>
      <c r="L36" s="659" t="s">
        <v>1545</v>
      </c>
      <c r="M36" s="653" t="str">
        <f t="shared" ca="1" si="11"/>
        <v/>
      </c>
      <c r="N36" s="654"/>
      <c r="O36" s="655">
        <f t="shared" si="12"/>
        <v>0</v>
      </c>
      <c r="P36" s="655"/>
      <c r="Q36" s="656">
        <f t="shared" si="13"/>
        <v>0</v>
      </c>
      <c r="R36" s="656" t="str">
        <f t="shared" si="14"/>
        <v/>
      </c>
      <c r="S36" s="650"/>
      <c r="T36" s="651"/>
      <c r="U36" s="656"/>
      <c r="V36" s="650"/>
      <c r="W36" s="651"/>
      <c r="X36" s="656"/>
      <c r="Y36" s="650"/>
      <c r="Z36" s="651"/>
      <c r="AA36" s="656"/>
      <c r="AB36" s="650"/>
      <c r="AC36" s="651"/>
      <c r="AD36" s="656"/>
      <c r="AE36" s="650"/>
      <c r="AF36" s="651"/>
      <c r="AG36" s="656"/>
      <c r="AH36" s="650"/>
      <c r="AI36" s="651"/>
      <c r="AJ36" s="656"/>
      <c r="AK36" s="650"/>
      <c r="AL36" s="651"/>
      <c r="AM36" s="656"/>
      <c r="AN36" s="650"/>
      <c r="AO36" s="651"/>
      <c r="AP36" s="656"/>
      <c r="AQ36" s="650"/>
      <c r="AR36" s="651"/>
      <c r="AS36" s="656"/>
      <c r="AT36" s="650"/>
      <c r="AU36" s="651"/>
      <c r="AV36" s="656"/>
      <c r="AW36" s="650"/>
      <c r="AX36" s="651"/>
      <c r="AY36" s="656"/>
      <c r="AZ36" s="650"/>
      <c r="BA36" s="651"/>
      <c r="BB36" s="656"/>
      <c r="BC36" s="660"/>
    </row>
    <row r="37" spans="1:55" ht="15" customHeight="1" x14ac:dyDescent="0.2">
      <c r="B37" s="649">
        <v>12</v>
      </c>
      <c r="C37" s="654" t="s">
        <v>3515</v>
      </c>
      <c r="D37" s="1524" t="s">
        <v>3510</v>
      </c>
      <c r="E37" s="658">
        <v>100000</v>
      </c>
      <c r="F37" s="651"/>
      <c r="G37" s="657">
        <v>2320</v>
      </c>
      <c r="H37" s="661"/>
      <c r="I37" s="658">
        <v>979</v>
      </c>
      <c r="J37" s="654">
        <v>60</v>
      </c>
      <c r="K37" s="652" t="str">
        <f t="shared" ca="1" si="10"/>
        <v/>
      </c>
      <c r="L37" s="659" t="s">
        <v>1545</v>
      </c>
      <c r="M37" s="653" t="str">
        <f t="shared" ca="1" si="11"/>
        <v/>
      </c>
      <c r="N37" s="654"/>
      <c r="O37" s="655">
        <f t="shared" si="12"/>
        <v>0</v>
      </c>
      <c r="P37" s="655"/>
      <c r="Q37" s="656">
        <f t="shared" si="13"/>
        <v>0</v>
      </c>
      <c r="R37" s="656" t="str">
        <f t="shared" si="14"/>
        <v/>
      </c>
      <c r="S37" s="650"/>
      <c r="T37" s="651"/>
      <c r="U37" s="656"/>
      <c r="V37" s="650"/>
      <c r="W37" s="651"/>
      <c r="X37" s="656"/>
      <c r="Y37" s="650"/>
      <c r="Z37" s="651"/>
      <c r="AA37" s="656"/>
      <c r="AB37" s="650"/>
      <c r="AC37" s="651"/>
      <c r="AD37" s="656"/>
      <c r="AE37" s="650"/>
      <c r="AF37" s="651"/>
      <c r="AG37" s="656"/>
      <c r="AH37" s="650"/>
      <c r="AI37" s="651"/>
      <c r="AJ37" s="656"/>
      <c r="AK37" s="650"/>
      <c r="AL37" s="651"/>
      <c r="AM37" s="656"/>
      <c r="AN37" s="650"/>
      <c r="AO37" s="651"/>
      <c r="AP37" s="656"/>
      <c r="AQ37" s="650"/>
      <c r="AR37" s="651"/>
      <c r="AS37" s="656"/>
      <c r="AT37" s="650"/>
      <c r="AU37" s="651"/>
      <c r="AV37" s="656"/>
      <c r="AW37" s="650"/>
      <c r="AX37" s="651"/>
      <c r="AY37" s="656"/>
      <c r="AZ37" s="650"/>
      <c r="BA37" s="651"/>
      <c r="BB37" s="656"/>
      <c r="BC37" s="660"/>
    </row>
    <row r="38" spans="1:55" ht="15" customHeight="1" x14ac:dyDescent="0.2">
      <c r="B38" s="649"/>
      <c r="C38" s="654"/>
      <c r="D38" s="1524"/>
      <c r="E38" s="658"/>
      <c r="F38" s="651"/>
      <c r="G38" s="657"/>
      <c r="H38" s="661"/>
      <c r="I38" s="658"/>
      <c r="J38" s="654"/>
      <c r="K38" s="652" t="str">
        <f t="shared" ca="1" si="10"/>
        <v/>
      </c>
      <c r="L38" s="659"/>
      <c r="M38" s="653" t="str">
        <f t="shared" ca="1" si="11"/>
        <v/>
      </c>
      <c r="N38" s="654"/>
      <c r="O38" s="655" t="str">
        <f t="shared" si="12"/>
        <v/>
      </c>
      <c r="P38" s="655"/>
      <c r="Q38" s="656" t="str">
        <f t="shared" si="13"/>
        <v/>
      </c>
      <c r="R38" s="656" t="str">
        <f t="shared" si="14"/>
        <v/>
      </c>
      <c r="S38" s="650"/>
      <c r="T38" s="651"/>
      <c r="U38" s="656"/>
      <c r="V38" s="650"/>
      <c r="W38" s="651"/>
      <c r="X38" s="656"/>
      <c r="Y38" s="650"/>
      <c r="Z38" s="651"/>
      <c r="AA38" s="656"/>
      <c r="AB38" s="650"/>
      <c r="AC38" s="651"/>
      <c r="AD38" s="656"/>
      <c r="AE38" s="650"/>
      <c r="AF38" s="651"/>
      <c r="AG38" s="656"/>
      <c r="AH38" s="650"/>
      <c r="AI38" s="651"/>
      <c r="AJ38" s="656"/>
      <c r="AK38" s="650"/>
      <c r="AL38" s="651"/>
      <c r="AM38" s="656"/>
      <c r="AN38" s="650"/>
      <c r="AO38" s="651"/>
      <c r="AP38" s="656"/>
      <c r="AQ38" s="650"/>
      <c r="AR38" s="651"/>
      <c r="AS38" s="656"/>
      <c r="AT38" s="650"/>
      <c r="AU38" s="651"/>
      <c r="AV38" s="656"/>
      <c r="AW38" s="650"/>
      <c r="AX38" s="651"/>
      <c r="AY38" s="656"/>
      <c r="AZ38" s="650"/>
      <c r="BA38" s="651"/>
      <c r="BB38" s="656"/>
      <c r="BC38" s="660"/>
    </row>
    <row r="39" spans="1:55" ht="15" customHeight="1" x14ac:dyDescent="0.2">
      <c r="B39" s="649"/>
      <c r="C39" s="654"/>
      <c r="D39" s="1524"/>
      <c r="E39" s="658"/>
      <c r="F39" s="651"/>
      <c r="G39" s="657"/>
      <c r="H39" s="661"/>
      <c r="I39" s="658"/>
      <c r="J39" s="654"/>
      <c r="K39" s="652" t="str">
        <f t="shared" ca="1" si="10"/>
        <v/>
      </c>
      <c r="L39" s="659"/>
      <c r="M39" s="653" t="str">
        <f t="shared" ca="1" si="11"/>
        <v/>
      </c>
      <c r="N39" s="654"/>
      <c r="O39" s="655" t="str">
        <f t="shared" si="12"/>
        <v/>
      </c>
      <c r="P39" s="655"/>
      <c r="Q39" s="656" t="str">
        <f t="shared" si="13"/>
        <v/>
      </c>
      <c r="R39" s="656" t="str">
        <f t="shared" si="14"/>
        <v/>
      </c>
      <c r="S39" s="650"/>
      <c r="T39" s="651"/>
      <c r="U39" s="656"/>
      <c r="V39" s="650"/>
      <c r="W39" s="651"/>
      <c r="X39" s="656"/>
      <c r="Y39" s="650"/>
      <c r="Z39" s="651"/>
      <c r="AA39" s="656"/>
      <c r="AB39" s="650"/>
      <c r="AC39" s="651"/>
      <c r="AD39" s="656"/>
      <c r="AE39" s="650"/>
      <c r="AF39" s="651"/>
      <c r="AG39" s="656"/>
      <c r="AH39" s="650"/>
      <c r="AI39" s="651"/>
      <c r="AJ39" s="656"/>
      <c r="AK39" s="650"/>
      <c r="AL39" s="651"/>
      <c r="AM39" s="656"/>
      <c r="AN39" s="650"/>
      <c r="AO39" s="651"/>
      <c r="AP39" s="656"/>
      <c r="AQ39" s="650"/>
      <c r="AR39" s="651"/>
      <c r="AS39" s="656"/>
      <c r="AT39" s="650"/>
      <c r="AU39" s="651"/>
      <c r="AV39" s="656"/>
      <c r="AW39" s="650"/>
      <c r="AX39" s="651"/>
      <c r="AY39" s="656"/>
      <c r="AZ39" s="650"/>
      <c r="BA39" s="651"/>
      <c r="BB39" s="656"/>
      <c r="BC39" s="660"/>
    </row>
    <row r="40" spans="1:55" ht="15" customHeight="1" x14ac:dyDescent="0.2">
      <c r="B40" s="649"/>
      <c r="C40" s="654"/>
      <c r="D40" s="1524"/>
      <c r="E40" s="658"/>
      <c r="F40" s="651"/>
      <c r="G40" s="657"/>
      <c r="H40" s="661"/>
      <c r="I40" s="658"/>
      <c r="J40" s="654"/>
      <c r="K40" s="652" t="str">
        <f t="shared" ca="1" si="10"/>
        <v/>
      </c>
      <c r="L40" s="659"/>
      <c r="M40" s="653" t="str">
        <f t="shared" ca="1" si="11"/>
        <v/>
      </c>
      <c r="N40" s="654"/>
      <c r="O40" s="655" t="str">
        <f t="shared" si="12"/>
        <v/>
      </c>
      <c r="P40" s="655"/>
      <c r="Q40" s="656" t="str">
        <f t="shared" si="13"/>
        <v/>
      </c>
      <c r="R40" s="656" t="str">
        <f t="shared" si="14"/>
        <v/>
      </c>
      <c r="S40" s="650"/>
      <c r="T40" s="651"/>
      <c r="U40" s="656"/>
      <c r="V40" s="650"/>
      <c r="W40" s="651"/>
      <c r="X40" s="656"/>
      <c r="Y40" s="650"/>
      <c r="Z40" s="651"/>
      <c r="AA40" s="656"/>
      <c r="AB40" s="650"/>
      <c r="AC40" s="651"/>
      <c r="AD40" s="656"/>
      <c r="AE40" s="650"/>
      <c r="AF40" s="651"/>
      <c r="AG40" s="656"/>
      <c r="AH40" s="650"/>
      <c r="AI40" s="651"/>
      <c r="AJ40" s="656"/>
      <c r="AK40" s="650"/>
      <c r="AL40" s="651"/>
      <c r="AM40" s="656"/>
      <c r="AN40" s="650"/>
      <c r="AO40" s="651"/>
      <c r="AP40" s="656"/>
      <c r="AQ40" s="650"/>
      <c r="AR40" s="651"/>
      <c r="AS40" s="656"/>
      <c r="AT40" s="650"/>
      <c r="AU40" s="651"/>
      <c r="AV40" s="656"/>
      <c r="AW40" s="650"/>
      <c r="AX40" s="651"/>
      <c r="AY40" s="656"/>
      <c r="AZ40" s="650"/>
      <c r="BA40" s="651"/>
      <c r="BB40" s="656"/>
      <c r="BC40" s="660"/>
    </row>
    <row r="41" spans="1:55" ht="15" customHeight="1" x14ac:dyDescent="0.2">
      <c r="A41" s="633" t="s">
        <v>3477</v>
      </c>
      <c r="B41" s="649"/>
      <c r="C41" s="654"/>
      <c r="D41" s="1524" t="s">
        <v>3594</v>
      </c>
      <c r="E41" s="658"/>
      <c r="F41" s="651"/>
      <c r="G41" s="657">
        <v>54850</v>
      </c>
      <c r="H41" s="661"/>
      <c r="I41" s="658"/>
      <c r="J41" s="654"/>
      <c r="K41" s="652" t="str">
        <f t="shared" ca="1" si="10"/>
        <v/>
      </c>
      <c r="L41" s="659" t="s">
        <v>1340</v>
      </c>
      <c r="M41" s="653">
        <f t="shared" ca="1" si="11"/>
        <v>54850</v>
      </c>
      <c r="N41" s="654" t="s">
        <v>3585</v>
      </c>
      <c r="O41" s="655">
        <f t="shared" si="12"/>
        <v>2</v>
      </c>
      <c r="P41" s="655"/>
      <c r="Q41" s="656">
        <f t="shared" si="13"/>
        <v>109700</v>
      </c>
      <c r="R41" s="656" t="str">
        <f t="shared" si="14"/>
        <v/>
      </c>
      <c r="S41" s="650"/>
      <c r="T41" s="651"/>
      <c r="U41" s="656"/>
      <c r="V41" s="650">
        <v>31</v>
      </c>
      <c r="W41" s="651">
        <v>54850</v>
      </c>
      <c r="X41" s="656"/>
      <c r="Y41" s="650"/>
      <c r="Z41" s="651"/>
      <c r="AA41" s="656"/>
      <c r="AB41" s="650"/>
      <c r="AC41" s="651"/>
      <c r="AD41" s="656"/>
      <c r="AE41" s="650">
        <v>1</v>
      </c>
      <c r="AF41" s="651">
        <v>54850</v>
      </c>
      <c r="AG41" s="656"/>
      <c r="AH41" s="650"/>
      <c r="AI41" s="651"/>
      <c r="AJ41" s="656"/>
      <c r="AK41" s="650"/>
      <c r="AL41" s="651"/>
      <c r="AM41" s="656"/>
      <c r="AN41" s="650"/>
      <c r="AO41" s="651"/>
      <c r="AP41" s="656"/>
      <c r="AQ41" s="650"/>
      <c r="AR41" s="651"/>
      <c r="AS41" s="656"/>
      <c r="AT41" s="650"/>
      <c r="AU41" s="651"/>
      <c r="AV41" s="656"/>
      <c r="AW41" s="650"/>
      <c r="AX41" s="651"/>
      <c r="AY41" s="656"/>
      <c r="AZ41" s="650"/>
      <c r="BA41" s="651"/>
      <c r="BB41" s="656"/>
      <c r="BC41" s="660"/>
    </row>
    <row r="42" spans="1:55" ht="15" customHeight="1" x14ac:dyDescent="0.2">
      <c r="A42" s="633" t="s">
        <v>3477</v>
      </c>
      <c r="B42" s="649">
        <v>1</v>
      </c>
      <c r="C42" s="654"/>
      <c r="D42" s="1524" t="s">
        <v>3594</v>
      </c>
      <c r="E42" s="658"/>
      <c r="F42" s="651"/>
      <c r="G42" s="657">
        <v>49554</v>
      </c>
      <c r="H42" s="661"/>
      <c r="I42" s="658"/>
      <c r="J42" s="654"/>
      <c r="K42" s="652" t="str">
        <f t="shared" ca="1" si="10"/>
        <v/>
      </c>
      <c r="L42" s="659" t="s">
        <v>1545</v>
      </c>
      <c r="M42" s="653" t="str">
        <f t="shared" ca="1" si="11"/>
        <v/>
      </c>
      <c r="N42" s="654" t="s">
        <v>3585</v>
      </c>
      <c r="O42" s="655">
        <f t="shared" si="12"/>
        <v>1</v>
      </c>
      <c r="P42" s="655"/>
      <c r="Q42" s="656">
        <f t="shared" si="13"/>
        <v>49554</v>
      </c>
      <c r="R42" s="656" t="str">
        <f t="shared" si="14"/>
        <v/>
      </c>
      <c r="S42" s="650"/>
      <c r="T42" s="651"/>
      <c r="U42" s="656"/>
      <c r="V42" s="650"/>
      <c r="W42" s="651"/>
      <c r="X42" s="656"/>
      <c r="Y42" s="650"/>
      <c r="Z42" s="651"/>
      <c r="AA42" s="656"/>
      <c r="AB42" s="650"/>
      <c r="AC42" s="651"/>
      <c r="AD42" s="656"/>
      <c r="AE42" s="650">
        <v>26</v>
      </c>
      <c r="AF42" s="651">
        <v>49554</v>
      </c>
      <c r="AG42" s="656"/>
      <c r="AH42" s="650"/>
      <c r="AI42" s="651"/>
      <c r="AJ42" s="656"/>
      <c r="AK42" s="650"/>
      <c r="AL42" s="651"/>
      <c r="AM42" s="656"/>
      <c r="AN42" s="650"/>
      <c r="AO42" s="651"/>
      <c r="AP42" s="656"/>
      <c r="AQ42" s="650"/>
      <c r="AR42" s="651"/>
      <c r="AS42" s="656"/>
      <c r="AT42" s="650"/>
      <c r="AU42" s="651"/>
      <c r="AV42" s="656"/>
      <c r="AW42" s="650"/>
      <c r="AX42" s="651"/>
      <c r="AY42" s="656"/>
      <c r="AZ42" s="650"/>
      <c r="BA42" s="651"/>
      <c r="BB42" s="656"/>
      <c r="BC42" s="660"/>
    </row>
    <row r="43" spans="1:55" ht="15" customHeight="1" x14ac:dyDescent="0.2">
      <c r="A43" s="633" t="s">
        <v>3477</v>
      </c>
      <c r="B43" s="1507">
        <v>2</v>
      </c>
      <c r="C43" s="1508"/>
      <c r="D43" s="650" t="s">
        <v>3594</v>
      </c>
      <c r="E43" s="1510"/>
      <c r="F43" s="1511"/>
      <c r="G43" s="1512">
        <v>54827</v>
      </c>
      <c r="H43" s="1513"/>
      <c r="I43" s="1514"/>
      <c r="J43" s="1507"/>
      <c r="K43" s="1515" t="str">
        <f t="shared" ca="1" si="10"/>
        <v/>
      </c>
      <c r="L43" s="1516" t="s">
        <v>1545</v>
      </c>
      <c r="M43" s="1517" t="str">
        <f t="shared" ca="1" si="11"/>
        <v/>
      </c>
      <c r="N43" s="654" t="s">
        <v>3585</v>
      </c>
      <c r="O43" s="1519">
        <f t="shared" si="12"/>
        <v>1</v>
      </c>
      <c r="P43" s="1519"/>
      <c r="Q43" s="1520">
        <f t="shared" si="13"/>
        <v>54827</v>
      </c>
      <c r="R43" s="1520" t="str">
        <f t="shared" si="14"/>
        <v/>
      </c>
      <c r="S43" s="1521"/>
      <c r="T43" s="1522"/>
      <c r="U43" s="1523"/>
      <c r="V43" s="1521"/>
      <c r="W43" s="1522"/>
      <c r="X43" s="1520"/>
      <c r="Y43" s="1521"/>
      <c r="Z43" s="1522"/>
      <c r="AA43" s="1520"/>
      <c r="AB43" s="1521">
        <v>31</v>
      </c>
      <c r="AC43" s="1522">
        <v>54827</v>
      </c>
      <c r="AD43" s="1520"/>
      <c r="AE43" s="1521"/>
      <c r="AF43" s="1522"/>
      <c r="AG43" s="1520"/>
      <c r="AH43" s="1521"/>
      <c r="AI43" s="1522"/>
      <c r="AJ43" s="1520"/>
      <c r="AK43" s="1521"/>
      <c r="AL43" s="1522"/>
      <c r="AM43" s="1520"/>
      <c r="AN43" s="1521"/>
      <c r="AO43" s="1522"/>
      <c r="AP43" s="1520"/>
      <c r="AQ43" s="1521"/>
      <c r="AR43" s="1522"/>
      <c r="AS43" s="1520"/>
      <c r="AT43" s="1521"/>
      <c r="AU43" s="1522"/>
      <c r="AV43" s="1520"/>
      <c r="AW43" s="1521"/>
      <c r="AX43" s="1522"/>
      <c r="AY43" s="1520"/>
      <c r="AZ43" s="1521"/>
      <c r="BA43" s="1522"/>
      <c r="BB43" s="1520"/>
      <c r="BC43" s="660"/>
    </row>
    <row r="44" spans="1:55" ht="15" customHeight="1" x14ac:dyDescent="0.2">
      <c r="A44" s="633" t="s">
        <v>3477</v>
      </c>
      <c r="B44" s="1507">
        <v>3</v>
      </c>
      <c r="C44" s="1508"/>
      <c r="D44" s="650" t="s">
        <v>3594</v>
      </c>
      <c r="E44" s="1510"/>
      <c r="F44" s="1511"/>
      <c r="G44" s="1512">
        <v>53080</v>
      </c>
      <c r="H44" s="1513"/>
      <c r="I44" s="1514"/>
      <c r="J44" s="1507"/>
      <c r="K44" s="1515" t="str">
        <f t="shared" ca="1" si="10"/>
        <v/>
      </c>
      <c r="L44" s="1516" t="s">
        <v>1340</v>
      </c>
      <c r="M44" s="1517">
        <f t="shared" ca="1" si="11"/>
        <v>53080</v>
      </c>
      <c r="N44" s="654" t="s">
        <v>3585</v>
      </c>
      <c r="O44" s="1519">
        <f t="shared" si="12"/>
        <v>2</v>
      </c>
      <c r="P44" s="1519"/>
      <c r="Q44" s="1520">
        <f t="shared" si="13"/>
        <v>106160</v>
      </c>
      <c r="R44" s="1520" t="str">
        <f t="shared" si="14"/>
        <v/>
      </c>
      <c r="S44" s="1521">
        <v>30</v>
      </c>
      <c r="T44" s="1522">
        <v>53080</v>
      </c>
      <c r="U44" s="1523"/>
      <c r="V44" s="1521"/>
      <c r="W44" s="1522"/>
      <c r="X44" s="1520"/>
      <c r="Y44" s="1521">
        <v>30</v>
      </c>
      <c r="Z44" s="1522">
        <v>53080</v>
      </c>
      <c r="AA44" s="1520"/>
      <c r="AB44" s="1521"/>
      <c r="AC44" s="1522"/>
      <c r="AD44" s="1520"/>
      <c r="AE44" s="1521"/>
      <c r="AF44" s="1522"/>
      <c r="AG44" s="1520"/>
      <c r="AH44" s="1521"/>
      <c r="AI44" s="1522"/>
      <c r="AJ44" s="1520"/>
      <c r="AK44" s="1521"/>
      <c r="AL44" s="1522"/>
      <c r="AM44" s="1520"/>
      <c r="AN44" s="1521"/>
      <c r="AO44" s="1522"/>
      <c r="AP44" s="1520"/>
      <c r="AQ44" s="1521"/>
      <c r="AR44" s="1522"/>
      <c r="AS44" s="1520"/>
      <c r="AT44" s="1521"/>
      <c r="AU44" s="1522"/>
      <c r="AV44" s="1520"/>
      <c r="AW44" s="1521"/>
      <c r="AX44" s="1522"/>
      <c r="AY44" s="1520"/>
      <c r="AZ44" s="1521"/>
      <c r="BA44" s="1522"/>
      <c r="BB44" s="1520"/>
      <c r="BC44" s="660"/>
    </row>
    <row r="45" spans="1:55" ht="15" customHeight="1" x14ac:dyDescent="0.2">
      <c r="B45" s="1507">
        <v>4</v>
      </c>
      <c r="C45" s="1508"/>
      <c r="D45" s="650"/>
      <c r="E45" s="1510"/>
      <c r="F45" s="1511"/>
      <c r="G45" s="1512"/>
      <c r="H45" s="1513"/>
      <c r="I45" s="1514"/>
      <c r="J45" s="1507"/>
      <c r="K45" s="1515" t="str">
        <f t="shared" ca="1" si="10"/>
        <v/>
      </c>
      <c r="L45" s="1516"/>
      <c r="M45" s="1517" t="str">
        <f t="shared" ca="1" si="11"/>
        <v/>
      </c>
      <c r="N45" s="654"/>
      <c r="O45" s="1519" t="str">
        <f t="shared" si="12"/>
        <v/>
      </c>
      <c r="P45" s="1519"/>
      <c r="Q45" s="1520" t="str">
        <f t="shared" si="13"/>
        <v/>
      </c>
      <c r="R45" s="1520" t="str">
        <f t="shared" si="14"/>
        <v/>
      </c>
      <c r="S45" s="1521"/>
      <c r="T45" s="1522"/>
      <c r="U45" s="1523"/>
      <c r="V45" s="1521"/>
      <c r="W45" s="1522"/>
      <c r="X45" s="1520"/>
      <c r="Y45" s="1521"/>
      <c r="Z45" s="1522"/>
      <c r="AA45" s="1520"/>
      <c r="AB45" s="1521"/>
      <c r="AC45" s="1522"/>
      <c r="AD45" s="1520"/>
      <c r="AE45" s="1521"/>
      <c r="AF45" s="1522"/>
      <c r="AG45" s="1520"/>
      <c r="AH45" s="1521"/>
      <c r="AI45" s="1522"/>
      <c r="AJ45" s="1520"/>
      <c r="AK45" s="1521"/>
      <c r="AL45" s="1522"/>
      <c r="AM45" s="1520"/>
      <c r="AN45" s="1521"/>
      <c r="AO45" s="1522"/>
      <c r="AP45" s="1520"/>
      <c r="AQ45" s="1521"/>
      <c r="AR45" s="1522"/>
      <c r="AS45" s="1520"/>
      <c r="AT45" s="1521"/>
      <c r="AU45" s="1522"/>
      <c r="AV45" s="1520"/>
      <c r="AW45" s="1521"/>
      <c r="AX45" s="1522"/>
      <c r="AY45" s="1520"/>
      <c r="AZ45" s="1521"/>
      <c r="BA45" s="1522"/>
      <c r="BB45" s="1520"/>
      <c r="BC45" s="660"/>
    </row>
    <row r="46" spans="1:55" ht="15" customHeight="1" x14ac:dyDescent="0.2">
      <c r="B46" s="1507"/>
      <c r="C46" s="1508"/>
      <c r="D46" s="650"/>
      <c r="E46" s="1510"/>
      <c r="F46" s="1511"/>
      <c r="G46" s="1512"/>
      <c r="H46" s="1513"/>
      <c r="I46" s="1514"/>
      <c r="J46" s="1507"/>
      <c r="K46" s="1515" t="str">
        <f t="shared" ca="1" si="10"/>
        <v/>
      </c>
      <c r="L46" s="1516"/>
      <c r="M46" s="1517" t="str">
        <f t="shared" ca="1" si="11"/>
        <v/>
      </c>
      <c r="N46" s="654"/>
      <c r="O46" s="1519" t="str">
        <f t="shared" si="12"/>
        <v/>
      </c>
      <c r="P46" s="1519"/>
      <c r="Q46" s="1520" t="str">
        <f t="shared" si="13"/>
        <v/>
      </c>
      <c r="R46" s="1520" t="str">
        <f t="shared" si="14"/>
        <v/>
      </c>
      <c r="S46" s="1521"/>
      <c r="T46" s="1522"/>
      <c r="U46" s="1523"/>
      <c r="V46" s="1521"/>
      <c r="W46" s="1522"/>
      <c r="X46" s="1520"/>
      <c r="Y46" s="1521"/>
      <c r="Z46" s="1522"/>
      <c r="AA46" s="1520"/>
      <c r="AB46" s="1521"/>
      <c r="AC46" s="1522"/>
      <c r="AD46" s="1520"/>
      <c r="AE46" s="1521"/>
      <c r="AF46" s="1522"/>
      <c r="AG46" s="1520"/>
      <c r="AH46" s="1521"/>
      <c r="AI46" s="1522"/>
      <c r="AJ46" s="1520"/>
      <c r="AK46" s="1521"/>
      <c r="AL46" s="1522"/>
      <c r="AM46" s="1520"/>
      <c r="AN46" s="1521"/>
      <c r="AO46" s="1522"/>
      <c r="AP46" s="1520"/>
      <c r="AQ46" s="1521"/>
      <c r="AR46" s="1522"/>
      <c r="AS46" s="1520"/>
      <c r="AT46" s="1521"/>
      <c r="AU46" s="1522"/>
      <c r="AV46" s="1520"/>
      <c r="AW46" s="1521"/>
      <c r="AX46" s="1522"/>
      <c r="AY46" s="1520"/>
      <c r="AZ46" s="1521"/>
      <c r="BA46" s="1522"/>
      <c r="BB46" s="1520"/>
      <c r="BC46" s="660"/>
    </row>
    <row r="47" spans="1:55" ht="15" customHeight="1" x14ac:dyDescent="0.2">
      <c r="B47" s="649"/>
      <c r="C47" s="654"/>
      <c r="D47" s="1524"/>
      <c r="E47" s="658"/>
      <c r="F47" s="651"/>
      <c r="G47" s="657"/>
      <c r="H47" s="661"/>
      <c r="I47" s="658"/>
      <c r="J47" s="654"/>
      <c r="K47" s="652" t="str">
        <f t="shared" ca="1" si="10"/>
        <v/>
      </c>
      <c r="L47" s="659"/>
      <c r="M47" s="653" t="str">
        <f t="shared" ca="1" si="11"/>
        <v/>
      </c>
      <c r="N47" s="654"/>
      <c r="O47" s="655" t="str">
        <f t="shared" si="12"/>
        <v/>
      </c>
      <c r="P47" s="655"/>
      <c r="Q47" s="656" t="str">
        <f t="shared" si="13"/>
        <v/>
      </c>
      <c r="R47" s="656" t="str">
        <f t="shared" si="14"/>
        <v/>
      </c>
      <c r="S47" s="650"/>
      <c r="T47" s="651"/>
      <c r="U47" s="656"/>
      <c r="V47" s="650"/>
      <c r="W47" s="651"/>
      <c r="X47" s="656"/>
      <c r="Y47" s="650"/>
      <c r="Z47" s="651"/>
      <c r="AA47" s="656"/>
      <c r="AB47" s="650"/>
      <c r="AC47" s="651"/>
      <c r="AD47" s="656"/>
      <c r="AE47" s="650"/>
      <c r="AF47" s="651"/>
      <c r="AG47" s="656"/>
      <c r="AH47" s="650"/>
      <c r="AI47" s="651"/>
      <c r="AJ47" s="656"/>
      <c r="AK47" s="650"/>
      <c r="AL47" s="651"/>
      <c r="AM47" s="656"/>
      <c r="AN47" s="650"/>
      <c r="AO47" s="651"/>
      <c r="AP47" s="656"/>
      <c r="AQ47" s="650"/>
      <c r="AR47" s="651"/>
      <c r="AS47" s="656"/>
      <c r="AT47" s="650"/>
      <c r="AU47" s="651"/>
      <c r="AV47" s="656"/>
      <c r="AW47" s="650"/>
      <c r="AX47" s="651"/>
      <c r="AY47" s="656"/>
      <c r="AZ47" s="650"/>
      <c r="BA47" s="651"/>
      <c r="BB47" s="656"/>
      <c r="BC47" s="660"/>
    </row>
    <row r="48" spans="1:55" ht="15" customHeight="1" thickBot="1" x14ac:dyDescent="0.25">
      <c r="B48" s="649"/>
      <c r="C48" s="654"/>
      <c r="D48" s="650"/>
      <c r="E48" s="658"/>
      <c r="F48" s="651"/>
      <c r="G48" s="657"/>
      <c r="H48" s="661"/>
      <c r="I48" s="658"/>
      <c r="J48" s="654"/>
      <c r="K48" s="652" t="str">
        <f t="shared" ca="1" si="5"/>
        <v/>
      </c>
      <c r="L48" s="659"/>
      <c r="M48" s="653" t="str">
        <f t="shared" ca="1" si="6"/>
        <v/>
      </c>
      <c r="N48" s="654"/>
      <c r="O48" s="655" t="str">
        <f t="shared" si="7"/>
        <v/>
      </c>
      <c r="P48" s="655"/>
      <c r="Q48" s="656" t="str">
        <f t="shared" si="8"/>
        <v/>
      </c>
      <c r="R48" s="656" t="str">
        <f t="shared" si="9"/>
        <v/>
      </c>
      <c r="S48" s="650"/>
      <c r="T48" s="651"/>
      <c r="U48" s="656" t="s">
        <v>2038</v>
      </c>
      <c r="V48" s="650"/>
      <c r="W48" s="651"/>
      <c r="X48" s="656" t="s">
        <v>2038</v>
      </c>
      <c r="Y48" s="650"/>
      <c r="Z48" s="651"/>
      <c r="AA48" s="656" t="s">
        <v>2038</v>
      </c>
      <c r="AB48" s="650"/>
      <c r="AC48" s="651"/>
      <c r="AD48" s="656" t="s">
        <v>2038</v>
      </c>
      <c r="AE48" s="650"/>
      <c r="AF48" s="651"/>
      <c r="AG48" s="656" t="s">
        <v>2038</v>
      </c>
      <c r="AH48" s="650"/>
      <c r="AI48" s="651"/>
      <c r="AJ48" s="656" t="s">
        <v>2038</v>
      </c>
      <c r="AK48" s="650"/>
      <c r="AL48" s="651"/>
      <c r="AM48" s="656" t="s">
        <v>2038</v>
      </c>
      <c r="AN48" s="650"/>
      <c r="AO48" s="651"/>
      <c r="AP48" s="656" t="s">
        <v>2038</v>
      </c>
      <c r="AQ48" s="650"/>
      <c r="AR48" s="651"/>
      <c r="AS48" s="656" t="s">
        <v>2038</v>
      </c>
      <c r="AT48" s="650"/>
      <c r="AU48" s="651"/>
      <c r="AV48" s="656" t="s">
        <v>2038</v>
      </c>
      <c r="AW48" s="650"/>
      <c r="AX48" s="651"/>
      <c r="AY48" s="656" t="s">
        <v>2038</v>
      </c>
      <c r="AZ48" s="650"/>
      <c r="BA48" s="651"/>
      <c r="BB48" s="656" t="s">
        <v>2038</v>
      </c>
      <c r="BC48" s="660"/>
    </row>
    <row r="49" spans="2:55" ht="15" customHeight="1" thickBot="1" x14ac:dyDescent="0.25">
      <c r="B49" s="1526" t="s">
        <v>26</v>
      </c>
      <c r="C49" s="1527"/>
      <c r="D49" s="1528">
        <f>SUBTOTAL(103,LoanTrack[Column3])</f>
        <v>16</v>
      </c>
      <c r="E49" s="1529">
        <f>SUBTOTAL(109,LoanTrack[Column4])</f>
        <v>14439194</v>
      </c>
      <c r="F49" s="1529">
        <f>SUBTOTAL(109,LoanTrack[Column52])</f>
        <v>0</v>
      </c>
      <c r="G49" s="1530">
        <f>SUBTOTAL(109,LoanTrack[Column5])</f>
        <v>263635</v>
      </c>
      <c r="H49" s="1527"/>
      <c r="I49" s="1529">
        <f>SUBTOTAL(109,LoanTrack[Column54])</f>
        <v>4561598</v>
      </c>
      <c r="J49" s="1527"/>
      <c r="K49" s="1527"/>
      <c r="L49" s="1527">
        <f>COUNTIF(L26:L48,"Yes")</f>
        <v>2</v>
      </c>
      <c r="M49" s="1529">
        <f ca="1">SUBTOTAL(109,LoanTrack[Column10])</f>
        <v>145314</v>
      </c>
      <c r="N49" s="1528">
        <f>SUMPRODUCT((N26:N48&lt;&gt;"")/COUNTIF(N26:N48,N26:N48&amp;""))</f>
        <v>1</v>
      </c>
      <c r="O49" s="1529">
        <f>SUBTOTAL(109,LoanTrack[Column51])</f>
        <v>6</v>
      </c>
      <c r="P49" s="1529">
        <f>SUBTOTAL(109,LoanTrack[Column53])</f>
        <v>0</v>
      </c>
      <c r="Q49" s="1529">
        <f>SUBTOTAL(109,LoanTrack[Column50])</f>
        <v>320241</v>
      </c>
      <c r="R49" s="1529" t="str">
        <f>IFERROR(SUBTOTAL(101,R26:R48),"")</f>
        <v/>
      </c>
      <c r="S49" s="1529">
        <f>SUBTOTAL(103,LoanTrack[Column12])</f>
        <v>1</v>
      </c>
      <c r="T49" s="1529">
        <f>SUBTOTAL(109,LoanTrack[Column13])</f>
        <v>53080</v>
      </c>
      <c r="U49" s="1529" t="str">
        <f>IFERROR(SUBTOTAL(101,U26:U48),"")</f>
        <v/>
      </c>
      <c r="V49" s="1529">
        <f>SUBTOTAL(103,LoanTrack[Column15])</f>
        <v>1</v>
      </c>
      <c r="W49" s="1529">
        <f>SUBTOTAL(109,LoanTrack[Column16])</f>
        <v>54850</v>
      </c>
      <c r="X49" s="1529" t="str">
        <f>IFERROR(SUBTOTAL(101,X26:X48),"")</f>
        <v/>
      </c>
      <c r="Y49" s="1529">
        <f>SUBTOTAL(103,LoanTrack[Column18])</f>
        <v>1</v>
      </c>
      <c r="Z49" s="1529">
        <f>SUBTOTAL(109,LoanTrack[Column19])</f>
        <v>53080</v>
      </c>
      <c r="AA49" s="1529" t="str">
        <f>IFERROR(SUBTOTAL(101,AA26:AA48),"")</f>
        <v/>
      </c>
      <c r="AB49" s="1529">
        <f>SUBTOTAL(103,LoanTrack[Column21])</f>
        <v>1</v>
      </c>
      <c r="AC49" s="1529">
        <f>SUBTOTAL(109,LoanTrack[Column22])</f>
        <v>54827</v>
      </c>
      <c r="AD49" s="1529" t="str">
        <f>IFERROR(SUBTOTAL(101,AD26:AD48),"")</f>
        <v/>
      </c>
      <c r="AE49" s="1529">
        <f>SUBTOTAL(103,LoanTrack[Column24])</f>
        <v>2</v>
      </c>
      <c r="AF49" s="1529">
        <f>SUBTOTAL(109,LoanTrack[Column25])</f>
        <v>104404</v>
      </c>
      <c r="AG49" s="1529" t="str">
        <f>IFERROR(SUBTOTAL(101,AG26:AG48),"")</f>
        <v/>
      </c>
      <c r="AH49" s="1529">
        <f>SUBTOTAL(103,LoanTrack[Column27])</f>
        <v>0</v>
      </c>
      <c r="AI49" s="1529">
        <f>SUBTOTAL(109,LoanTrack[Column28])</f>
        <v>0</v>
      </c>
      <c r="AJ49" s="1529" t="str">
        <f>IFERROR(SUBTOTAL(101,AJ26:AJ48),"")</f>
        <v/>
      </c>
      <c r="AK49" s="1529">
        <f>SUBTOTAL(103,LoanTrack[Column30])</f>
        <v>0</v>
      </c>
      <c r="AL49" s="1529">
        <f>SUBTOTAL(109,LoanTrack[Column31])</f>
        <v>0</v>
      </c>
      <c r="AM49" s="1529" t="str">
        <f>IFERROR(SUBTOTAL(101,AM26:AM48),"")</f>
        <v/>
      </c>
      <c r="AN49" s="1529">
        <f>SUBTOTAL(103,LoanTrack[Column33])</f>
        <v>0</v>
      </c>
      <c r="AO49" s="1529">
        <f>SUBTOTAL(109,LoanTrack[Column34])</f>
        <v>0</v>
      </c>
      <c r="AP49" s="1529" t="str">
        <f>IFERROR(SUBTOTAL(101,AP26:AP48),"")</f>
        <v/>
      </c>
      <c r="AQ49" s="1529">
        <f>SUBTOTAL(103,LoanTrack[Column36])</f>
        <v>0</v>
      </c>
      <c r="AR49" s="1529">
        <f>SUBTOTAL(109,LoanTrack[Column37])</f>
        <v>0</v>
      </c>
      <c r="AS49" s="1529" t="str">
        <f>IFERROR(SUBTOTAL(101,AS26:AS48),"")</f>
        <v/>
      </c>
      <c r="AT49" s="1529">
        <f>SUBTOTAL(103,LoanTrack[Column39])</f>
        <v>0</v>
      </c>
      <c r="AU49" s="1529">
        <f>SUBTOTAL(109,LoanTrack[Column40])</f>
        <v>0</v>
      </c>
      <c r="AV49" s="1529" t="str">
        <f>IFERROR(SUBTOTAL(101,AV26:AV48),"")</f>
        <v/>
      </c>
      <c r="AW49" s="1529">
        <f>SUBTOTAL(103,LoanTrack[Column42])</f>
        <v>0</v>
      </c>
      <c r="AX49" s="1529">
        <f>SUBTOTAL(109,LoanTrack[Column43])</f>
        <v>0</v>
      </c>
      <c r="AY49" s="1529" t="str">
        <f>IFERROR(SUBTOTAL(101,AY26:AY48),"")</f>
        <v/>
      </c>
      <c r="AZ49" s="1529">
        <f>SUBTOTAL(103,LoanTrack[Column45])</f>
        <v>0</v>
      </c>
      <c r="BA49" s="1529">
        <f>SUBTOTAL(109,LoanTrack[Column46])</f>
        <v>0</v>
      </c>
      <c r="BB49" s="1529" t="str">
        <f>IFERROR(SUBTOTAL(101,BB26:BB48),"")</f>
        <v/>
      </c>
      <c r="BC49" s="1531">
        <f>SUBTOTAL(103,LoanTrack[Column48])</f>
        <v>10</v>
      </c>
    </row>
  </sheetData>
  <mergeCells count="162">
    <mergeCell ref="B2:Z2"/>
    <mergeCell ref="B3:D3"/>
    <mergeCell ref="E3:G3"/>
    <mergeCell ref="H3:J3"/>
    <mergeCell ref="K3:N3"/>
    <mergeCell ref="O3:R3"/>
    <mergeCell ref="S3:V3"/>
    <mergeCell ref="W3:Z3"/>
    <mergeCell ref="W4:Z4"/>
    <mergeCell ref="B5:D5"/>
    <mergeCell ref="E5:G5"/>
    <mergeCell ref="H5:J5"/>
    <mergeCell ref="K5:N5"/>
    <mergeCell ref="O5:R5"/>
    <mergeCell ref="S5:V5"/>
    <mergeCell ref="W5:Z5"/>
    <mergeCell ref="B4:D4"/>
    <mergeCell ref="E4:G4"/>
    <mergeCell ref="H4:J4"/>
    <mergeCell ref="K4:N4"/>
    <mergeCell ref="O4:R4"/>
    <mergeCell ref="S4:V4"/>
    <mergeCell ref="W6:Z6"/>
    <mergeCell ref="B7:D7"/>
    <mergeCell ref="E7:G7"/>
    <mergeCell ref="H7:J7"/>
    <mergeCell ref="K7:N7"/>
    <mergeCell ref="O7:R7"/>
    <mergeCell ref="S7:V7"/>
    <mergeCell ref="W7:Z7"/>
    <mergeCell ref="B6:D6"/>
    <mergeCell ref="E6:G6"/>
    <mergeCell ref="H6:J6"/>
    <mergeCell ref="K6:N6"/>
    <mergeCell ref="O6:R6"/>
    <mergeCell ref="S6:V6"/>
    <mergeCell ref="W8:Z8"/>
    <mergeCell ref="B9:D9"/>
    <mergeCell ref="E9:G9"/>
    <mergeCell ref="H9:J9"/>
    <mergeCell ref="K9:N9"/>
    <mergeCell ref="O9:R9"/>
    <mergeCell ref="S9:V9"/>
    <mergeCell ref="W9:Z9"/>
    <mergeCell ref="B8:D8"/>
    <mergeCell ref="E8:G8"/>
    <mergeCell ref="H8:J8"/>
    <mergeCell ref="K8:N8"/>
    <mergeCell ref="O8:R8"/>
    <mergeCell ref="S8:V8"/>
    <mergeCell ref="W10:Z10"/>
    <mergeCell ref="B11:D11"/>
    <mergeCell ref="E11:G11"/>
    <mergeCell ref="H11:J11"/>
    <mergeCell ref="K11:N11"/>
    <mergeCell ref="O11:R11"/>
    <mergeCell ref="S11:V11"/>
    <mergeCell ref="W11:Z11"/>
    <mergeCell ref="B10:D10"/>
    <mergeCell ref="E10:G10"/>
    <mergeCell ref="H10:J10"/>
    <mergeCell ref="K10:N10"/>
    <mergeCell ref="O10:R10"/>
    <mergeCell ref="S10:V10"/>
    <mergeCell ref="W12:Z12"/>
    <mergeCell ref="B13:D13"/>
    <mergeCell ref="E13:G13"/>
    <mergeCell ref="H13:J13"/>
    <mergeCell ref="K13:N13"/>
    <mergeCell ref="O13:R13"/>
    <mergeCell ref="S13:V13"/>
    <mergeCell ref="W13:Z13"/>
    <mergeCell ref="B12:D12"/>
    <mergeCell ref="E12:G12"/>
    <mergeCell ref="H12:J12"/>
    <mergeCell ref="K12:N12"/>
    <mergeCell ref="O12:R12"/>
    <mergeCell ref="S12:V12"/>
    <mergeCell ref="W14:Z14"/>
    <mergeCell ref="B15:D15"/>
    <mergeCell ref="E15:G15"/>
    <mergeCell ref="H15:J15"/>
    <mergeCell ref="K15:N15"/>
    <mergeCell ref="O15:R15"/>
    <mergeCell ref="S15:V15"/>
    <mergeCell ref="W15:Z15"/>
    <mergeCell ref="B14:D14"/>
    <mergeCell ref="E14:G14"/>
    <mergeCell ref="H14:J14"/>
    <mergeCell ref="K14:N14"/>
    <mergeCell ref="O14:R14"/>
    <mergeCell ref="S14:V14"/>
    <mergeCell ref="E21:G21"/>
    <mergeCell ref="H21:J21"/>
    <mergeCell ref="K21:N21"/>
    <mergeCell ref="O21:R21"/>
    <mergeCell ref="S21:V21"/>
    <mergeCell ref="W21:Z21"/>
    <mergeCell ref="W16:Z16"/>
    <mergeCell ref="B17:D17"/>
    <mergeCell ref="E17:G17"/>
    <mergeCell ref="H17:J17"/>
    <mergeCell ref="K17:N17"/>
    <mergeCell ref="O17:R17"/>
    <mergeCell ref="S17:V17"/>
    <mergeCell ref="W17:Z17"/>
    <mergeCell ref="B16:D16"/>
    <mergeCell ref="E16:G16"/>
    <mergeCell ref="H16:J16"/>
    <mergeCell ref="K16:N16"/>
    <mergeCell ref="O16:R16"/>
    <mergeCell ref="S16:V16"/>
    <mergeCell ref="W18:Z18"/>
    <mergeCell ref="B19:D19"/>
    <mergeCell ref="E19:G19"/>
    <mergeCell ref="H19:J19"/>
    <mergeCell ref="K19:N19"/>
    <mergeCell ref="O19:R19"/>
    <mergeCell ref="S19:V19"/>
    <mergeCell ref="W19:Z19"/>
    <mergeCell ref="B18:D18"/>
    <mergeCell ref="E18:G18"/>
    <mergeCell ref="H18:J18"/>
    <mergeCell ref="K18:N18"/>
    <mergeCell ref="O18:R18"/>
    <mergeCell ref="S18:V18"/>
    <mergeCell ref="J24:J25"/>
    <mergeCell ref="K24:K25"/>
    <mergeCell ref="L24:M25"/>
    <mergeCell ref="N24:N25"/>
    <mergeCell ref="O24:R24"/>
    <mergeCell ref="S24:U24"/>
    <mergeCell ref="B20:D20"/>
    <mergeCell ref="E20:G20"/>
    <mergeCell ref="H20:J20"/>
    <mergeCell ref="K20:N20"/>
    <mergeCell ref="O20:R20"/>
    <mergeCell ref="S20:V20"/>
    <mergeCell ref="B24:B25"/>
    <mergeCell ref="C24:C25"/>
    <mergeCell ref="D24:D25"/>
    <mergeCell ref="E24:E25"/>
    <mergeCell ref="F24:F25"/>
    <mergeCell ref="G24:G25"/>
    <mergeCell ref="H24:H25"/>
    <mergeCell ref="I24:I25"/>
    <mergeCell ref="B23:N23"/>
    <mergeCell ref="O23:BC23"/>
    <mergeCell ref="W20:Z20"/>
    <mergeCell ref="B21:D21"/>
    <mergeCell ref="AQ24:AS24"/>
    <mergeCell ref="AT24:AV24"/>
    <mergeCell ref="AW24:AY24"/>
    <mergeCell ref="AZ24:BB24"/>
    <mergeCell ref="BC24:BC25"/>
    <mergeCell ref="V24:X24"/>
    <mergeCell ref="Y24:AA24"/>
    <mergeCell ref="AB24:AD24"/>
    <mergeCell ref="AE24:AG24"/>
    <mergeCell ref="AN24:AP24"/>
    <mergeCell ref="AH24:AJ24"/>
    <mergeCell ref="AK24:AM24"/>
  </mergeCells>
  <dataValidations count="2">
    <dataValidation type="whole" allowBlank="1" showInputMessage="1" showErrorMessage="1" errorTitle="Error" error="Not a valid Date" promptTitle="Date" prompt="Insert a date (DD)" sqref="S65523:S65528 S131059:S131064 S196595:S196600 S262131:S262136 S327667:S327672 S393203:S393208 S458739:S458744 S524275:S524280 S589811:S589816 S655347:S655352 S720883:S720888 S786419:S786424 S851955:S851960 S917491:S917496 S983027:S983032 V65523:V65528 V131059:V131064 V196595:V196600 V262131:V262136 V327667:V327672 V393203:V393208 V458739:V458744 V524275:V524280 V589811:V589816 V655347:V655352 V720883:V720888 V786419:V786424 V851955:V851960 V917491:V917496 V983027:V983032 Y65523:Y65528 Y131059:Y131064 Y196595:Y196600 Y262131:Y262136 Y327667:Y327672 Y393203:Y393208 Y458739:Y458744 Y524275:Y524280 Y589811:Y589816 Y655347:Y655352 Y720883:Y720888 Y786419:Y786424 Y851955:Y851960 Y917491:Y917496 Y983027:Y983032 AB65523:AB65528 AB131059:AB131064 AB196595:AB196600 AB262131:AB262136 AB327667:AB327672 AB393203:AB393208 AB458739:AB458744 AB524275:AB524280 AB589811:AB589816 AB655347:AB655352 AB720883:AB720888 AB786419:AB786424 AB851955:AB851960 AB917491:AB917496 AB983027:AB983032 AE65523:AE65528 AE131059:AE131064 AE196595:AE196600 AE262131:AE262136 AE327667:AE327672 AE393203:AE393208 AE458739:AE458744 AE524275:AE524280 AE589811:AE589816 AE655347:AE655352 AE720883:AE720888 AE786419:AE786424 AE851955:AE851960 AE917491:AE917496 AE983027:AE983032 AH65523:AH65528 AH131059:AH131064 AH196595:AH196600 AH262131:AH262136 AH327667:AH327672 AH393203:AH393208 AH458739:AH458744 AH524275:AH524280 AH589811:AH589816 AH655347:AH655352 AH720883:AH720888 AH786419:AH786424 AH851955:AH851960 AH917491:AH917496 AH983027:AH983032 AK65523:AK65528 AK131059:AK131064 AK196595:AK196600 AK262131:AK262136 AK327667:AK327672 AK393203:AK393208 AK458739:AK458744 AK524275:AK524280 AK589811:AK589816 AK655347:AK655352 AK720883:AK720888 AK786419:AK786424 AK851955:AK851960 AK917491:AK917496 AK983027:AK983032 AN65523:AN65528 AN131059:AN131064 AN196595:AN196600 AN262131:AN262136 AN327667:AN327672 AN393203:AN393208 AN458739:AN458744 AN524275:AN524280 AN589811:AN589816 AN655347:AN655352 AN720883:AN720888 AN786419:AN786424 AN851955:AN851960 AN917491:AN917496 AN983027:AN983032 AQ65523:AQ65528 AQ131059:AQ131064 AQ196595:AQ196600 AQ262131:AQ262136 AQ327667:AQ327672 AQ393203:AQ393208 AQ458739:AQ458744 AQ524275:AQ524280 AQ589811:AQ589816 AQ655347:AQ655352 AQ720883:AQ720888 AQ786419:AQ786424 AQ851955:AQ851960 AQ917491:AQ917496 AQ983027:AQ983032 AT65523:AT65528 AT131059:AT131064 AT196595:AT196600 AT262131:AT262136 AT327667:AT327672 AT393203:AT393208 AT458739:AT458744 AT524275:AT524280 AT589811:AT589816 AT655347:AT655352 AT720883:AT720888 AT786419:AT786424 AT851955:AT851960 AT917491:AT917496 AT983027:AT983032 AW65523:AW65528 AW131059:AW131064 AW196595:AW196600 AW262131:AW262136 AW327667:AW327672 AW393203:AW393208 AW458739:AW458744 AW524275:AW524280 AW589811:AW589816 AW655347:AW655352 AW720883:AW720888 AW786419:AW786424 AW851955:AW851960 AW917491:AW917496 AW983027:AW983032 AZ65523:AZ65528 AZ131059:AZ131064 AZ196595:AZ196600 AZ262131:AZ262136 AZ327667:AZ327672 AZ393203:AZ393208 AZ458739:AZ458744 AZ524275:AZ524280 AZ589811:AZ589816 AZ655347:AZ655352 AZ720883:AZ720888 AZ786419:AZ786424 AZ851955:AZ851960 AZ917491:AZ917496 AZ983027:AZ983032 AH26:AH48 AE26:AE48 AB26:AB48 Y26:Y48 V26:V48 S26:S48 AK26:AK48 AN26:AN48 AQ26:AQ48 AT26:AT48 AW26:AW48 AZ26:AZ48" xr:uid="{00000000-0002-0000-2F00-000000000000}">
      <formula1>1</formula1>
      <formula2>31</formula2>
    </dataValidation>
    <dataValidation type="list" allowBlank="1" showInputMessage="1" showErrorMessage="1" sqref="C65523:C65528 C131059:C131064 C196595:C196600 C262131:C262136 C327667:C327672 C393203:C393208 C458739:C458744 C524275:C524280 C589811:C589816 C655347:C655352 C720883:C720888 C786419:C786424 C851955:C851960 C917491:C917496 C983027:C983032" xr:uid="{00000000-0002-0000-2F00-000001000000}">
      <formula1>"Home Loan, LAP,Vehicle Loan,CVL, Personal Loan,Business Loan, CC/OD,Term Loan,Machinery Loan,Education Loan"</formula1>
    </dataValidation>
  </dataValidations>
  <pageMargins left="0.7" right="0.7" top="0.75" bottom="0.75" header="0.3" footer="0.3"/>
  <pageSetup paperSize="9" scale="45" fitToWidth="0" fitToHeight="0" orientation="landscape" r:id="rId1"/>
  <rowBreaks count="1" manualBreakCount="1">
    <brk id="22" min="1" max="54" man="1"/>
  </rowBreaks>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0">
    <pageSetUpPr fitToPage="1"/>
  </sheetPr>
  <dimension ref="B1:Q57"/>
  <sheetViews>
    <sheetView topLeftCell="A14" workbookViewId="0">
      <selection sqref="A1:F2"/>
    </sheetView>
  </sheetViews>
  <sheetFormatPr defaultColWidth="9.140625" defaultRowHeight="12.75" zeroHeight="1" x14ac:dyDescent="0.2"/>
  <cols>
    <col min="1" max="1" width="1.28515625" style="188" customWidth="1"/>
    <col min="2" max="2" width="37.7109375" style="188" customWidth="1"/>
    <col min="3" max="3" width="26.7109375" style="188" customWidth="1"/>
    <col min="4" max="4" width="25.42578125" style="188" customWidth="1"/>
    <col min="5" max="5" width="28.140625" style="188" customWidth="1"/>
    <col min="6" max="6" width="22.42578125" style="188" customWidth="1"/>
    <col min="7" max="7" width="9.140625" style="189"/>
    <col min="8" max="8" width="11" style="189" customWidth="1"/>
    <col min="9" max="9" width="24.5703125" style="189" customWidth="1"/>
    <col min="10" max="10" width="14.140625" style="189" customWidth="1"/>
    <col min="11" max="11" width="19" style="189" customWidth="1"/>
    <col min="12" max="12" width="11.5703125" style="189" customWidth="1"/>
    <col min="13" max="17" width="9.140625" style="189"/>
    <col min="18" max="16384" width="9.140625" style="188"/>
  </cols>
  <sheetData>
    <row r="1" spans="2:14" ht="13.5" thickBot="1" x14ac:dyDescent="0.25"/>
    <row r="2" spans="2:14" ht="27" customHeight="1" thickBot="1" x14ac:dyDescent="0.25">
      <c r="B2" s="1238" t="str">
        <f>'Borrower Details'!A2</f>
        <v>Mortgage-Magnus-Unsecured</v>
      </c>
      <c r="C2" s="2775" t="s">
        <v>1394</v>
      </c>
      <c r="D2" s="2776"/>
      <c r="E2" s="2776"/>
      <c r="F2" s="1232" t="s">
        <v>3</v>
      </c>
    </row>
    <row r="3" spans="2:14" ht="13.5" thickBot="1" x14ac:dyDescent="0.25">
      <c r="B3" s="2777" t="s">
        <v>2505</v>
      </c>
      <c r="C3" s="2778"/>
      <c r="D3" s="2778"/>
      <c r="E3" s="2778"/>
      <c r="F3" s="2779"/>
    </row>
    <row r="4" spans="2:14" ht="15" customHeight="1" x14ac:dyDescent="0.2">
      <c r="B4" s="2783" t="s">
        <v>1339</v>
      </c>
      <c r="C4" s="2784"/>
      <c r="D4" s="2785" t="str">
        <f>'Borrower Details'!B8</f>
        <v>AARBUR</v>
      </c>
      <c r="E4" s="2786"/>
      <c r="F4" s="2787"/>
    </row>
    <row r="5" spans="2:14" ht="16.5" customHeight="1" x14ac:dyDescent="0.2">
      <c r="B5" s="1233" t="s">
        <v>1095</v>
      </c>
      <c r="C5" s="190"/>
      <c r="D5" s="2788" t="s">
        <v>1096</v>
      </c>
      <c r="E5" s="2788"/>
      <c r="F5" s="191">
        <v>36</v>
      </c>
      <c r="H5" s="189" t="s">
        <v>1340</v>
      </c>
      <c r="N5" s="189" t="s">
        <v>1341</v>
      </c>
    </row>
    <row r="6" spans="2:14" ht="9" customHeight="1" thickBot="1" x14ac:dyDescent="0.25">
      <c r="B6" s="2789"/>
      <c r="C6" s="2790"/>
      <c r="D6" s="2790"/>
      <c r="E6" s="2790"/>
      <c r="F6" s="2791"/>
    </row>
    <row r="7" spans="2:14" ht="20.25" customHeight="1" thickBot="1" x14ac:dyDescent="0.25">
      <c r="B7" s="2757" t="s">
        <v>1342</v>
      </c>
      <c r="C7" s="2792"/>
      <c r="D7" s="2792"/>
      <c r="E7" s="2792"/>
      <c r="F7" s="2793"/>
    </row>
    <row r="8" spans="2:14" x14ac:dyDescent="0.2">
      <c r="B8" s="192" t="s">
        <v>1343</v>
      </c>
      <c r="C8" s="193">
        <v>6</v>
      </c>
      <c r="D8" s="2794" t="s">
        <v>1344</v>
      </c>
      <c r="E8" s="1239">
        <f>Banking!G20*100000</f>
        <v>11943122.949999999</v>
      </c>
      <c r="F8" s="1241">
        <f>Banking!G23*100000</f>
        <v>30527766.159999993</v>
      </c>
    </row>
    <row r="9" spans="2:14" ht="12.75" customHeight="1" x14ac:dyDescent="0.2">
      <c r="B9" s="194" t="s">
        <v>1345</v>
      </c>
      <c r="C9" s="1244">
        <f>Banking!E26</f>
        <v>1270</v>
      </c>
      <c r="D9" s="2795"/>
      <c r="E9" s="1240">
        <f>Banking!G21*100000</f>
        <v>9275045.0299999993</v>
      </c>
      <c r="F9" s="1242">
        <f>Banking!G24*100000</f>
        <v>19349266</v>
      </c>
    </row>
    <row r="10" spans="2:14" x14ac:dyDescent="0.2">
      <c r="B10" s="194" t="s">
        <v>1346</v>
      </c>
      <c r="C10" s="1244">
        <f>Banking!D26</f>
        <v>0</v>
      </c>
      <c r="D10" s="2795"/>
      <c r="E10" s="1240">
        <f>Banking!G22*100000</f>
        <v>14195651.850000001</v>
      </c>
      <c r="F10" s="1242">
        <f>Banking!G25*100000</f>
        <v>5512450.9500000002</v>
      </c>
    </row>
    <row r="11" spans="2:14" ht="13.5" customHeight="1" x14ac:dyDescent="0.2">
      <c r="B11" s="194" t="s">
        <v>1347</v>
      </c>
      <c r="C11" s="1245">
        <f>C10/C9</f>
        <v>0</v>
      </c>
      <c r="D11" s="2796"/>
      <c r="E11" s="196" t="s">
        <v>1348</v>
      </c>
      <c r="F11" s="1243">
        <f>SUM(E8:F10)</f>
        <v>90803302.939999983</v>
      </c>
    </row>
    <row r="12" spans="2:14" ht="13.5" customHeight="1" x14ac:dyDescent="0.2">
      <c r="B12" s="194" t="s">
        <v>1349</v>
      </c>
      <c r="C12" s="1244">
        <f>Banking!F26</f>
        <v>236</v>
      </c>
      <c r="D12" s="2797"/>
      <c r="E12" s="2797"/>
      <c r="F12" s="2798"/>
    </row>
    <row r="13" spans="2:14" ht="13.5" customHeight="1" x14ac:dyDescent="0.2">
      <c r="B13" s="194" t="s">
        <v>1350</v>
      </c>
      <c r="C13" s="1244">
        <f>Banking!C26</f>
        <v>0</v>
      </c>
      <c r="D13" s="2799" t="s">
        <v>1351</v>
      </c>
      <c r="E13" s="2799"/>
      <c r="F13" s="1247">
        <f>F11*12/C8</f>
        <v>181606605.87999997</v>
      </c>
    </row>
    <row r="14" spans="2:14" ht="13.5" customHeight="1" x14ac:dyDescent="0.2">
      <c r="B14" s="194" t="s">
        <v>1352</v>
      </c>
      <c r="C14" s="195">
        <v>0</v>
      </c>
      <c r="D14" s="2799" t="s">
        <v>1353</v>
      </c>
      <c r="E14" s="2799"/>
      <c r="F14" s="1248">
        <f>F13/Financials_Consolidated!C11</f>
        <v>2.6744137001018395</v>
      </c>
    </row>
    <row r="15" spans="2:14" ht="13.5" customHeight="1" x14ac:dyDescent="0.2">
      <c r="B15" s="197" t="s">
        <v>1354</v>
      </c>
      <c r="C15" s="1246">
        <f>C13/C12</f>
        <v>0</v>
      </c>
      <c r="D15" s="2800" t="s">
        <v>1836</v>
      </c>
      <c r="E15" s="2801"/>
      <c r="F15" s="1249">
        <f>+SUM(F8:F10)*4/Financials_Consolidated!C11</f>
        <v>3.262753394969037</v>
      </c>
    </row>
    <row r="16" spans="2:14" ht="13.5" customHeight="1" x14ac:dyDescent="0.2">
      <c r="B16" s="926" t="s">
        <v>1355</v>
      </c>
      <c r="C16" s="1237">
        <f>C14/F11</f>
        <v>0</v>
      </c>
      <c r="D16" s="2800" t="s">
        <v>1837</v>
      </c>
      <c r="E16" s="2801"/>
      <c r="F16" s="1249" t="e">
        <f>F13/GST!G48</f>
        <v>#DIV/0!</v>
      </c>
    </row>
    <row r="17" spans="2:17" ht="33.75" customHeight="1" thickBot="1" x14ac:dyDescent="0.25">
      <c r="B17" s="198" t="s">
        <v>53</v>
      </c>
      <c r="C17" s="2780" t="s">
        <v>3602</v>
      </c>
      <c r="D17" s="2781"/>
      <c r="E17" s="2781"/>
      <c r="F17" s="2782"/>
    </row>
    <row r="18" spans="2:17" ht="18.75" customHeight="1" thickBot="1" x14ac:dyDescent="0.25">
      <c r="B18" s="2757" t="s">
        <v>1356</v>
      </c>
      <c r="C18" s="2758"/>
      <c r="D18" s="2758"/>
      <c r="E18" s="2758"/>
      <c r="F18" s="2759"/>
      <c r="I18" s="199" t="s">
        <v>1357</v>
      </c>
      <c r="J18" s="200"/>
    </row>
    <row r="19" spans="2:17" ht="18.75" customHeight="1" x14ac:dyDescent="0.2">
      <c r="B19" s="201" t="s">
        <v>1358</v>
      </c>
      <c r="C19" s="2760"/>
      <c r="D19" s="2760"/>
      <c r="E19" s="2760"/>
      <c r="F19" s="2760"/>
      <c r="I19" s="199"/>
      <c r="J19" s="200"/>
    </row>
    <row r="20" spans="2:17" ht="18.75" customHeight="1" x14ac:dyDescent="0.2">
      <c r="B20" s="202" t="s">
        <v>1359</v>
      </c>
      <c r="C20" s="2760"/>
      <c r="D20" s="2760"/>
      <c r="E20" s="2760"/>
      <c r="F20" s="2760"/>
      <c r="I20" s="199"/>
      <c r="J20" s="200"/>
    </row>
    <row r="21" spans="2:17" ht="18.75" customHeight="1" x14ac:dyDescent="0.2">
      <c r="B21" s="203" t="s">
        <v>1360</v>
      </c>
      <c r="C21" s="2761" t="s">
        <v>3575</v>
      </c>
      <c r="D21" s="2762"/>
      <c r="E21" s="2762"/>
      <c r="F21" s="2763"/>
      <c r="I21" s="199"/>
      <c r="J21" s="200"/>
    </row>
    <row r="22" spans="2:17" ht="39.75" customHeight="1" x14ac:dyDescent="0.2">
      <c r="B22" s="203" t="s">
        <v>1361</v>
      </c>
      <c r="C22" s="2764"/>
      <c r="D22" s="2765"/>
      <c r="E22" s="2765"/>
      <c r="F22" s="2766"/>
      <c r="I22" s="199" t="s">
        <v>1362</v>
      </c>
      <c r="J22" s="200"/>
    </row>
    <row r="23" spans="2:17" ht="18" customHeight="1" x14ac:dyDescent="0.2">
      <c r="B23" s="203" t="s">
        <v>1363</v>
      </c>
      <c r="C23" s="2767">
        <v>0</v>
      </c>
      <c r="D23" s="2768"/>
      <c r="E23" s="2768"/>
      <c r="F23" s="2769"/>
      <c r="I23" s="199" t="s">
        <v>1364</v>
      </c>
      <c r="J23" s="200"/>
    </row>
    <row r="24" spans="2:17" ht="19.5" customHeight="1" x14ac:dyDescent="0.2">
      <c r="B24" s="203" t="s">
        <v>498</v>
      </c>
      <c r="C24" s="2770">
        <f>'Borrower Details'!J12</f>
        <v>1227516</v>
      </c>
      <c r="D24" s="2771"/>
      <c r="E24" s="2771"/>
      <c r="F24" s="2772"/>
      <c r="I24" s="199" t="s">
        <v>1365</v>
      </c>
      <c r="J24" s="200"/>
    </row>
    <row r="25" spans="2:17" ht="18.75" customHeight="1" x14ac:dyDescent="0.2">
      <c r="B25" s="202" t="s">
        <v>1366</v>
      </c>
      <c r="C25" s="925"/>
      <c r="D25" s="204" t="s">
        <v>1367</v>
      </c>
      <c r="E25" s="2773"/>
      <c r="F25" s="2774"/>
      <c r="I25" s="199" t="s">
        <v>1368</v>
      </c>
      <c r="J25" s="200"/>
    </row>
    <row r="26" spans="2:17" ht="20.25" customHeight="1" x14ac:dyDescent="0.2">
      <c r="B26" s="202" t="s">
        <v>1369</v>
      </c>
      <c r="C26" s="2742"/>
      <c r="D26" s="2743"/>
      <c r="E26" s="2743"/>
      <c r="F26" s="2744"/>
      <c r="I26" s="199" t="s">
        <v>1370</v>
      </c>
      <c r="J26" s="200"/>
    </row>
    <row r="27" spans="2:17" ht="20.25" customHeight="1" x14ac:dyDescent="0.2">
      <c r="B27" s="202" t="s">
        <v>685</v>
      </c>
      <c r="C27" s="922" t="s">
        <v>3509</v>
      </c>
      <c r="D27" s="923"/>
      <c r="E27" s="923"/>
      <c r="F27" s="924"/>
      <c r="I27" s="199"/>
      <c r="J27" s="200"/>
    </row>
    <row r="28" spans="2:17" ht="19.5" customHeight="1" x14ac:dyDescent="0.2">
      <c r="B28" s="202" t="s">
        <v>1371</v>
      </c>
      <c r="C28" s="2742"/>
      <c r="D28" s="2743"/>
      <c r="E28" s="2743"/>
      <c r="F28" s="2744"/>
      <c r="I28" s="199" t="s">
        <v>1372</v>
      </c>
    </row>
    <row r="29" spans="2:17" ht="18" customHeight="1" x14ac:dyDescent="0.2">
      <c r="B29" s="202" t="s">
        <v>1373</v>
      </c>
      <c r="C29" s="2742"/>
      <c r="D29" s="2743"/>
      <c r="E29" s="2743"/>
      <c r="F29" s="2744"/>
      <c r="I29" s="189" t="s">
        <v>1374</v>
      </c>
    </row>
    <row r="30" spans="2:17" ht="18.75" customHeight="1" x14ac:dyDescent="0.2">
      <c r="B30" s="202" t="s">
        <v>1375</v>
      </c>
      <c r="C30" s="2742"/>
      <c r="D30" s="2743"/>
      <c r="E30" s="2743"/>
      <c r="F30" s="2744"/>
    </row>
    <row r="31" spans="2:17" ht="18.75" customHeight="1" x14ac:dyDescent="0.2">
      <c r="B31" s="202" t="s">
        <v>1376</v>
      </c>
      <c r="C31" s="2742"/>
      <c r="D31" s="2743"/>
      <c r="E31" s="2743"/>
      <c r="F31" s="2744"/>
    </row>
    <row r="32" spans="2:17" s="181" customFormat="1" ht="21" customHeight="1" x14ac:dyDescent="0.2">
      <c r="B32" s="205" t="s">
        <v>1377</v>
      </c>
      <c r="C32" s="2745"/>
      <c r="D32" s="2746"/>
      <c r="E32" s="204" t="s">
        <v>1378</v>
      </c>
      <c r="F32" s="206"/>
      <c r="G32" s="207"/>
      <c r="H32" s="207"/>
      <c r="I32" s="207"/>
      <c r="J32" s="207"/>
      <c r="K32" s="207"/>
      <c r="L32" s="207"/>
      <c r="M32" s="207"/>
      <c r="N32" s="207"/>
      <c r="O32" s="207"/>
      <c r="P32" s="207"/>
      <c r="Q32" s="207"/>
    </row>
    <row r="33" spans="2:6" ht="25.5" x14ac:dyDescent="0.2">
      <c r="B33" s="208" t="s">
        <v>1393</v>
      </c>
      <c r="C33" s="2742"/>
      <c r="D33" s="2743"/>
      <c r="E33" s="2743"/>
      <c r="F33" s="2744"/>
    </row>
    <row r="34" spans="2:6" x14ac:dyDescent="0.2">
      <c r="B34" s="2747" t="s">
        <v>1379</v>
      </c>
      <c r="C34" s="2750" t="s">
        <v>1380</v>
      </c>
      <c r="D34" s="2750"/>
      <c r="E34" s="2750"/>
      <c r="F34" s="1234" t="s">
        <v>1381</v>
      </c>
    </row>
    <row r="35" spans="2:6" x14ac:dyDescent="0.2">
      <c r="B35" s="2748"/>
      <c r="C35" s="2751" t="s">
        <v>1382</v>
      </c>
      <c r="D35" s="2752"/>
      <c r="E35" s="2753"/>
      <c r="F35" s="209"/>
    </row>
    <row r="36" spans="2:6" x14ac:dyDescent="0.2">
      <c r="B36" s="2748"/>
      <c r="C36" s="2754" t="s">
        <v>1383</v>
      </c>
      <c r="D36" s="2755"/>
      <c r="E36" s="2756"/>
      <c r="F36" s="209"/>
    </row>
    <row r="37" spans="2:6" x14ac:dyDescent="0.2">
      <c r="B37" s="2748"/>
      <c r="C37" s="2754" t="s">
        <v>1384</v>
      </c>
      <c r="D37" s="2755"/>
      <c r="E37" s="2756"/>
      <c r="F37" s="209"/>
    </row>
    <row r="38" spans="2:6" x14ac:dyDescent="0.2">
      <c r="B38" s="2748"/>
      <c r="C38" s="2733" t="s">
        <v>1385</v>
      </c>
      <c r="D38" s="2734"/>
      <c r="E38" s="2735"/>
      <c r="F38" s="209"/>
    </row>
    <row r="39" spans="2:6" x14ac:dyDescent="0.2">
      <c r="B39" s="2748"/>
      <c r="C39" s="2733" t="s">
        <v>1386</v>
      </c>
      <c r="D39" s="2734"/>
      <c r="E39" s="2735"/>
      <c r="F39" s="209"/>
    </row>
    <row r="40" spans="2:6" x14ac:dyDescent="0.2">
      <c r="B40" s="2748"/>
      <c r="C40" s="2733" t="s">
        <v>1387</v>
      </c>
      <c r="D40" s="2734"/>
      <c r="E40" s="2735"/>
      <c r="F40" s="209"/>
    </row>
    <row r="41" spans="2:6" x14ac:dyDescent="0.2">
      <c r="B41" s="2748"/>
      <c r="C41" s="2733" t="s">
        <v>1388</v>
      </c>
      <c r="D41" s="2734"/>
      <c r="E41" s="2735"/>
      <c r="F41" s="209"/>
    </row>
    <row r="42" spans="2:6" x14ac:dyDescent="0.2">
      <c r="B42" s="2749"/>
      <c r="C42" s="2733" t="s">
        <v>1389</v>
      </c>
      <c r="D42" s="2734"/>
      <c r="E42" s="2735"/>
      <c r="F42" s="209"/>
    </row>
    <row r="43" spans="2:6" ht="21.75" customHeight="1" x14ac:dyDescent="0.2">
      <c r="B43" s="2736"/>
      <c r="C43" s="2737"/>
      <c r="D43" s="2737"/>
      <c r="E43" s="2737"/>
      <c r="F43" s="2738"/>
    </row>
    <row r="44" spans="2:6" ht="27.75" customHeight="1" x14ac:dyDescent="0.2">
      <c r="B44" s="1235" t="s">
        <v>1390</v>
      </c>
      <c r="C44" s="2739" t="s">
        <v>1391</v>
      </c>
      <c r="D44" s="2739"/>
      <c r="E44" s="2740"/>
      <c r="F44" s="2741"/>
    </row>
    <row r="45" spans="2:6" ht="27.75" customHeight="1" thickBot="1" x14ac:dyDescent="0.25">
      <c r="B45" s="1236" t="s">
        <v>1392</v>
      </c>
      <c r="C45" s="2730"/>
      <c r="D45" s="2730"/>
      <c r="E45" s="2731"/>
      <c r="F45" s="2732"/>
    </row>
    <row r="46" spans="2:6" x14ac:dyDescent="0.2"/>
    <row r="47" spans="2:6" x14ac:dyDescent="0.2"/>
    <row r="48" spans="2:6" x14ac:dyDescent="0.2"/>
    <row r="49" x14ac:dyDescent="0.2"/>
    <row r="50" x14ac:dyDescent="0.2"/>
    <row r="51" x14ac:dyDescent="0.2"/>
    <row r="52" x14ac:dyDescent="0.2"/>
    <row r="53" x14ac:dyDescent="0.2"/>
    <row r="54" x14ac:dyDescent="0.2"/>
    <row r="55" x14ac:dyDescent="0.2"/>
    <row r="56" x14ac:dyDescent="0.2"/>
    <row r="57" x14ac:dyDescent="0.2"/>
  </sheetData>
  <sheetProtection algorithmName="SHA-512" hashValue="zIyAGScDNYYCAm1HDZJ+cKede0jl/LiSoSsiKNvBKj44ulVHA3uRIE6kRv4FBui0x0T+bQgNQDmIvWrBCqnX0Q==" saltValue="aNUeRkO/11Op4ObMhdalrA==" spinCount="100000" sheet="1" formatCells="0" formatColumns="0" formatRows="0" insertColumns="0" insertRows="0" insertHyperlinks="0" deleteColumns="0" deleteRows="0" autoFilter="0"/>
  <mergeCells count="44">
    <mergeCell ref="C2:E2"/>
    <mergeCell ref="B3:F3"/>
    <mergeCell ref="C17:F17"/>
    <mergeCell ref="B4:C4"/>
    <mergeCell ref="D4:F4"/>
    <mergeCell ref="D5:E5"/>
    <mergeCell ref="B6:F6"/>
    <mergeCell ref="B7:F7"/>
    <mergeCell ref="D8:D11"/>
    <mergeCell ref="D12:F12"/>
    <mergeCell ref="D13:E13"/>
    <mergeCell ref="D14:E14"/>
    <mergeCell ref="D15:E15"/>
    <mergeCell ref="D16:E16"/>
    <mergeCell ref="C30:F30"/>
    <mergeCell ref="B18:F18"/>
    <mergeCell ref="C19:F19"/>
    <mergeCell ref="C20:F20"/>
    <mergeCell ref="C21:F21"/>
    <mergeCell ref="C22:F22"/>
    <mergeCell ref="C23:F23"/>
    <mergeCell ref="C24:F24"/>
    <mergeCell ref="E25:F25"/>
    <mergeCell ref="C26:F26"/>
    <mergeCell ref="C28:F28"/>
    <mergeCell ref="C29:F29"/>
    <mergeCell ref="C31:F31"/>
    <mergeCell ref="C32:D32"/>
    <mergeCell ref="C33:F33"/>
    <mergeCell ref="B34:B42"/>
    <mergeCell ref="C34:E34"/>
    <mergeCell ref="C35:E35"/>
    <mergeCell ref="C36:E36"/>
    <mergeCell ref="C37:E37"/>
    <mergeCell ref="C38:E38"/>
    <mergeCell ref="C39:E39"/>
    <mergeCell ref="C45:D45"/>
    <mergeCell ref="E45:F45"/>
    <mergeCell ref="C40:E40"/>
    <mergeCell ref="C41:E41"/>
    <mergeCell ref="C42:E42"/>
    <mergeCell ref="B43:F43"/>
    <mergeCell ref="C44:D44"/>
    <mergeCell ref="E44:F44"/>
  </mergeCells>
  <pageMargins left="0.7" right="0.7" top="0.75" bottom="0.75" header="0.3" footer="0.3"/>
  <pageSetup paperSize="9" scale="63"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8">
    <pageSetUpPr fitToPage="1"/>
  </sheetPr>
  <dimension ref="B1:C23"/>
  <sheetViews>
    <sheetView zoomScale="90" zoomScaleNormal="90" workbookViewId="0">
      <selection sqref="A1:F2"/>
    </sheetView>
  </sheetViews>
  <sheetFormatPr defaultColWidth="9.140625" defaultRowHeight="12.75" x14ac:dyDescent="0.2"/>
  <cols>
    <col min="1" max="1" width="3" style="52" customWidth="1"/>
    <col min="2" max="2" width="47.28515625" style="52" customWidth="1"/>
    <col min="3" max="3" width="51" style="52" customWidth="1"/>
    <col min="4" max="16384" width="9.140625" style="52"/>
  </cols>
  <sheetData>
    <row r="1" spans="2:3" ht="16.5" x14ac:dyDescent="0.2">
      <c r="B1" s="2141" t="str">
        <f>'Borrower Details'!A2</f>
        <v>Mortgage-Magnus-Unsecured</v>
      </c>
      <c r="C1" s="978"/>
    </row>
    <row r="2" spans="2:3" ht="16.5" x14ac:dyDescent="0.2">
      <c r="B2" s="2142"/>
      <c r="C2" s="979" t="s">
        <v>3</v>
      </c>
    </row>
    <row r="3" spans="2:3" ht="16.5" x14ac:dyDescent="0.2">
      <c r="B3" s="2143"/>
      <c r="C3" s="980"/>
    </row>
    <row r="4" spans="2:3" x14ac:dyDescent="0.2">
      <c r="B4" s="2178" t="s">
        <v>2502</v>
      </c>
      <c r="C4" s="2179"/>
    </row>
    <row r="5" spans="2:3" ht="51" customHeight="1" x14ac:dyDescent="0.2">
      <c r="B5" s="2102" t="s">
        <v>713</v>
      </c>
      <c r="C5" s="2103"/>
    </row>
    <row r="6" spans="2:3" ht="20.100000000000001" customHeight="1" x14ac:dyDescent="0.2">
      <c r="B6" s="2802" t="s">
        <v>714</v>
      </c>
      <c r="C6" s="2803"/>
    </row>
    <row r="7" spans="2:3" ht="20.100000000000001" customHeight="1" x14ac:dyDescent="0.2">
      <c r="B7" s="90" t="s">
        <v>715</v>
      </c>
      <c r="C7" s="1254" t="str">
        <f>'Borrower Details'!B8</f>
        <v>AARBUR</v>
      </c>
    </row>
    <row r="8" spans="2:3" ht="20.100000000000001" customHeight="1" x14ac:dyDescent="0.2">
      <c r="B8" s="1250" t="s">
        <v>716</v>
      </c>
      <c r="C8" s="1019"/>
    </row>
    <row r="9" spans="2:3" ht="20.100000000000001" customHeight="1" x14ac:dyDescent="0.2">
      <c r="B9" s="1251" t="s">
        <v>717</v>
      </c>
      <c r="C9" s="916"/>
    </row>
    <row r="10" spans="2:3" ht="20.100000000000001" customHeight="1" x14ac:dyDescent="0.2">
      <c r="B10" s="1251" t="s">
        <v>718</v>
      </c>
      <c r="C10" s="916"/>
    </row>
    <row r="11" spans="2:3" ht="20.100000000000001" customHeight="1" x14ac:dyDescent="0.2">
      <c r="B11" s="1251" t="s">
        <v>719</v>
      </c>
      <c r="C11" s="916"/>
    </row>
    <row r="12" spans="2:3" ht="20.100000000000001" customHeight="1" x14ac:dyDescent="0.2">
      <c r="B12" s="1250" t="s">
        <v>720</v>
      </c>
      <c r="C12" s="916"/>
    </row>
    <row r="13" spans="2:3" ht="126.75" customHeight="1" x14ac:dyDescent="0.2">
      <c r="B13" s="1250" t="s">
        <v>721</v>
      </c>
      <c r="C13" s="916"/>
    </row>
    <row r="14" spans="2:3" ht="20.100000000000001" customHeight="1" x14ac:dyDescent="0.2">
      <c r="B14" s="1252" t="s">
        <v>722</v>
      </c>
      <c r="C14" s="127"/>
    </row>
    <row r="15" spans="2:3" ht="20.100000000000001" customHeight="1" x14ac:dyDescent="0.2">
      <c r="B15" s="1253"/>
      <c r="C15" s="1253"/>
    </row>
    <row r="16" spans="2:3" ht="20.100000000000001" customHeight="1" x14ac:dyDescent="0.2">
      <c r="B16" s="2805" t="s">
        <v>723</v>
      </c>
      <c r="C16" s="2806"/>
    </row>
    <row r="17" spans="2:3" ht="20.100000000000001" customHeight="1" x14ac:dyDescent="0.2">
      <c r="B17" s="1253"/>
      <c r="C17" s="1253"/>
    </row>
    <row r="18" spans="2:3" ht="20.100000000000001" customHeight="1" x14ac:dyDescent="0.2">
      <c r="B18" s="126" t="s">
        <v>724</v>
      </c>
      <c r="C18" s="126" t="s">
        <v>725</v>
      </c>
    </row>
    <row r="19" spans="2:3" ht="20.100000000000001" customHeight="1" x14ac:dyDescent="0.2">
      <c r="B19" s="927" t="s">
        <v>495</v>
      </c>
      <c r="C19" s="927" t="s">
        <v>2</v>
      </c>
    </row>
    <row r="20" spans="2:3" ht="20.100000000000001" customHeight="1" x14ac:dyDescent="0.2">
      <c r="B20" s="2804" t="s">
        <v>496</v>
      </c>
      <c r="C20" s="2804" t="s">
        <v>484</v>
      </c>
    </row>
    <row r="21" spans="2:3" ht="20.100000000000001" customHeight="1" x14ac:dyDescent="0.2">
      <c r="B21" s="2804"/>
      <c r="C21" s="2804"/>
    </row>
    <row r="22" spans="2:3" ht="20.100000000000001" customHeight="1" x14ac:dyDescent="0.2">
      <c r="B22" s="2804"/>
      <c r="C22" s="2804"/>
    </row>
    <row r="23" spans="2:3" x14ac:dyDescent="0.2">
      <c r="B23" s="2804"/>
      <c r="C23" s="2804"/>
    </row>
  </sheetData>
  <sheetProtection algorithmName="SHA-512" hashValue="YCtQND3W7NGKhumbKa9IWqg/wk41+7jAVpRL0iyNaGBCPydFxrOS7iTdVqbmT9PjhwdWOFhyUAppIUhMpG49jg==" saltValue="J/Hpu8ToTNGlhvorxIzz0A==" spinCount="100000" sheet="1" formatCells="0" formatColumns="0" formatRows="0" insertColumns="0" insertRows="0" insertHyperlinks="0" deleteColumns="0" deleteRows="0" autoFilter="0"/>
  <mergeCells count="7">
    <mergeCell ref="B6:C6"/>
    <mergeCell ref="B20:B23"/>
    <mergeCell ref="C20:C23"/>
    <mergeCell ref="B16:C16"/>
    <mergeCell ref="B1:B3"/>
    <mergeCell ref="B5:C5"/>
    <mergeCell ref="B4:C4"/>
  </mergeCells>
  <pageMargins left="0.34" right="0.28000000000000003" top="0.75" bottom="0.75" header="0.3" footer="0.3"/>
  <pageSetup paperSize="9" scale="98"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3">
    <pageSetUpPr fitToPage="1"/>
  </sheetPr>
  <dimension ref="B1:R30"/>
  <sheetViews>
    <sheetView workbookViewId="0">
      <selection sqref="A1:F2"/>
    </sheetView>
  </sheetViews>
  <sheetFormatPr defaultColWidth="9.140625" defaultRowHeight="11.25" x14ac:dyDescent="0.2"/>
  <cols>
    <col min="1" max="1" width="4.5703125" style="608" customWidth="1"/>
    <col min="2" max="2" width="22.5703125" style="608" customWidth="1"/>
    <col min="3" max="3" width="17.42578125" style="608" customWidth="1"/>
    <col min="4" max="4" width="18.5703125" style="608" customWidth="1"/>
    <col min="5" max="5" width="18.28515625" style="608" customWidth="1"/>
    <col min="6" max="6" width="18.140625" style="608" customWidth="1"/>
    <col min="7" max="7" width="11.28515625" style="608" hidden="1" customWidth="1"/>
    <col min="8" max="8" width="24" style="608" customWidth="1"/>
    <col min="9" max="9" width="9.140625" style="608" hidden="1" customWidth="1"/>
    <col min="10" max="12" width="9.140625" style="609" hidden="1" customWidth="1"/>
    <col min="13" max="13" width="9.140625" style="610" hidden="1" customWidth="1"/>
    <col min="14" max="18" width="9.140625" style="610"/>
    <col min="19" max="16384" width="9.140625" style="608"/>
  </cols>
  <sheetData>
    <row r="1" spans="2:18" ht="12" thickBot="1" x14ac:dyDescent="0.25">
      <c r="B1" s="1263"/>
      <c r="C1" s="1263"/>
      <c r="D1" s="1263"/>
      <c r="E1" s="1263"/>
      <c r="F1" s="1263"/>
      <c r="G1" s="1263"/>
      <c r="H1" s="1263"/>
      <c r="I1" s="1263"/>
      <c r="J1" s="1264"/>
      <c r="K1" s="1264"/>
      <c r="L1" s="1264"/>
      <c r="M1" s="1265"/>
      <c r="N1" s="1265"/>
      <c r="O1" s="1265"/>
      <c r="P1" s="1265"/>
      <c r="Q1" s="1265"/>
      <c r="R1" s="1265"/>
    </row>
    <row r="2" spans="2:18" ht="15.75" x14ac:dyDescent="0.2">
      <c r="B2" s="2807" t="str">
        <f>'Borrower Details'!A2 &amp; "  - Individual Credit Rating Tool for Individuals"</f>
        <v>Mortgage-Magnus-Unsecured  - Individual Credit Rating Tool for Individuals</v>
      </c>
      <c r="C2" s="2808"/>
      <c r="D2" s="2808"/>
      <c r="E2" s="2808"/>
      <c r="F2" s="2808"/>
      <c r="G2" s="2808"/>
      <c r="H2" s="2808"/>
      <c r="I2" s="2809"/>
      <c r="J2" s="1264"/>
      <c r="K2" s="1264"/>
      <c r="L2" s="1264"/>
      <c r="M2" s="1265"/>
      <c r="N2" s="1265"/>
      <c r="O2" s="1265"/>
      <c r="P2" s="1265"/>
      <c r="Q2" s="1265"/>
      <c r="R2" s="1265"/>
    </row>
    <row r="3" spans="2:18" x14ac:dyDescent="0.2">
      <c r="B3" s="2818" t="s">
        <v>2502</v>
      </c>
      <c r="C3" s="2819"/>
      <c r="D3" s="2819"/>
      <c r="E3" s="2819"/>
      <c r="F3" s="2819"/>
      <c r="G3" s="2819"/>
      <c r="H3" s="2819"/>
      <c r="I3" s="1266"/>
      <c r="J3" s="1264"/>
      <c r="K3" s="1264"/>
      <c r="L3" s="1264"/>
      <c r="M3" s="1265"/>
      <c r="N3" s="1265"/>
      <c r="O3" s="1265"/>
      <c r="P3" s="1265"/>
      <c r="Q3" s="1265"/>
      <c r="R3" s="1265"/>
    </row>
    <row r="4" spans="2:18" ht="12.75" x14ac:dyDescent="0.2">
      <c r="B4" s="1255" t="s">
        <v>840</v>
      </c>
      <c r="C4" s="2810" t="str">
        <f>'Borrower Details'!B8</f>
        <v>AARBUR</v>
      </c>
      <c r="D4" s="2810"/>
      <c r="E4" s="2810"/>
      <c r="F4" s="2810"/>
      <c r="G4" s="2810"/>
      <c r="H4" s="2810"/>
      <c r="I4" s="2811"/>
      <c r="J4" s="1264"/>
      <c r="K4" s="1264"/>
      <c r="L4" s="1264"/>
      <c r="M4" s="1265"/>
      <c r="N4" s="1265"/>
      <c r="O4" s="1265"/>
      <c r="P4" s="1265"/>
      <c r="Q4" s="1265"/>
      <c r="R4" s="1265"/>
    </row>
    <row r="5" spans="2:18" x14ac:dyDescent="0.2">
      <c r="B5" s="2812"/>
      <c r="C5" s="2813"/>
      <c r="D5" s="2813"/>
      <c r="E5" s="2813"/>
      <c r="F5" s="2813"/>
      <c r="G5" s="2813"/>
      <c r="H5" s="2813"/>
      <c r="I5" s="2814"/>
      <c r="J5" s="1264"/>
      <c r="K5" s="1264"/>
      <c r="L5" s="1264"/>
      <c r="M5" s="1265"/>
      <c r="N5" s="1265"/>
      <c r="O5" s="1265"/>
      <c r="P5" s="1265"/>
      <c r="Q5" s="1265"/>
      <c r="R5" s="1265"/>
    </row>
    <row r="6" spans="2:18" ht="33.75" x14ac:dyDescent="0.2">
      <c r="B6" s="1256" t="s">
        <v>841</v>
      </c>
      <c r="C6" s="1257" t="s">
        <v>843</v>
      </c>
      <c r="D6" s="1257" t="s">
        <v>844</v>
      </c>
      <c r="E6" s="1258" t="s">
        <v>845</v>
      </c>
      <c r="F6" s="1257" t="s">
        <v>846</v>
      </c>
      <c r="G6" s="1267" t="s">
        <v>847</v>
      </c>
      <c r="H6" s="1259" t="s">
        <v>999</v>
      </c>
      <c r="I6" s="1268" t="s">
        <v>26</v>
      </c>
      <c r="J6" s="1264"/>
      <c r="K6" s="1264"/>
      <c r="L6" s="1264"/>
      <c r="M6" s="1265"/>
      <c r="N6" s="1265"/>
      <c r="O6" s="1265"/>
      <c r="P6" s="1265"/>
      <c r="Q6" s="1265"/>
      <c r="R6" s="1265"/>
    </row>
    <row r="7" spans="2:18" x14ac:dyDescent="0.2">
      <c r="B7" s="1260" t="s">
        <v>1000</v>
      </c>
      <c r="C7" s="1261" t="s">
        <v>1001</v>
      </c>
      <c r="D7" s="1261" t="s">
        <v>1002</v>
      </c>
      <c r="E7" s="1261" t="s">
        <v>1003</v>
      </c>
      <c r="F7" s="1261" t="s">
        <v>1004</v>
      </c>
      <c r="G7" s="1269" t="s">
        <v>1005</v>
      </c>
      <c r="H7" s="1270" t="s">
        <v>1004</v>
      </c>
      <c r="I7" s="1279">
        <f t="shared" ref="I7:I13" si="0">IF(H7=C7,J7,(IF(H7=D7,K7,(IF(H7=E7,L7,M7)))))</f>
        <v>0</v>
      </c>
      <c r="J7" s="1271">
        <v>10</v>
      </c>
      <c r="K7" s="1271">
        <v>7</v>
      </c>
      <c r="L7" s="1271">
        <v>4</v>
      </c>
      <c r="M7" s="1271">
        <v>0</v>
      </c>
      <c r="N7" s="1265"/>
      <c r="O7" s="1265"/>
      <c r="P7" s="1265"/>
      <c r="Q7" s="1265"/>
      <c r="R7" s="1265"/>
    </row>
    <row r="8" spans="2:18" x14ac:dyDescent="0.2">
      <c r="B8" s="1260" t="s">
        <v>1006</v>
      </c>
      <c r="C8" s="1261" t="s">
        <v>858</v>
      </c>
      <c r="D8" s="1261" t="s">
        <v>859</v>
      </c>
      <c r="E8" s="1261" t="s">
        <v>860</v>
      </c>
      <c r="F8" s="1261" t="s">
        <v>861</v>
      </c>
      <c r="G8" s="1269" t="s">
        <v>1005</v>
      </c>
      <c r="H8" s="1270"/>
      <c r="I8" s="1279">
        <f t="shared" si="0"/>
        <v>0</v>
      </c>
      <c r="J8" s="1271">
        <v>10</v>
      </c>
      <c r="K8" s="1271">
        <v>7</v>
      </c>
      <c r="L8" s="1271">
        <v>4</v>
      </c>
      <c r="M8" s="1271">
        <v>0</v>
      </c>
      <c r="N8" s="1265"/>
      <c r="O8" s="1265"/>
      <c r="P8" s="1265"/>
      <c r="Q8" s="1265"/>
      <c r="R8" s="1265"/>
    </row>
    <row r="9" spans="2:18" x14ac:dyDescent="0.2">
      <c r="B9" s="1260" t="s">
        <v>1007</v>
      </c>
      <c r="C9" s="1261" t="s">
        <v>1008</v>
      </c>
      <c r="D9" s="1261" t="s">
        <v>1009</v>
      </c>
      <c r="E9" s="1261" t="s">
        <v>1010</v>
      </c>
      <c r="F9" s="1261" t="s">
        <v>1011</v>
      </c>
      <c r="G9" s="1269" t="s">
        <v>1005</v>
      </c>
      <c r="H9" s="1270"/>
      <c r="I9" s="1279">
        <f t="shared" si="0"/>
        <v>0</v>
      </c>
      <c r="J9" s="1271">
        <v>10</v>
      </c>
      <c r="K9" s="1271">
        <v>7</v>
      </c>
      <c r="L9" s="1271">
        <v>4</v>
      </c>
      <c r="M9" s="1271">
        <v>0</v>
      </c>
      <c r="N9" s="1265"/>
      <c r="O9" s="1265"/>
      <c r="P9" s="1265"/>
      <c r="Q9" s="1265"/>
      <c r="R9" s="1265"/>
    </row>
    <row r="10" spans="2:18" x14ac:dyDescent="0.2">
      <c r="B10" s="1260" t="s">
        <v>1012</v>
      </c>
      <c r="C10" s="1261" t="s">
        <v>858</v>
      </c>
      <c r="D10" s="1261" t="s">
        <v>859</v>
      </c>
      <c r="E10" s="1261" t="s">
        <v>860</v>
      </c>
      <c r="F10" s="1261" t="s">
        <v>861</v>
      </c>
      <c r="G10" s="1269" t="s">
        <v>1005</v>
      </c>
      <c r="H10" s="1270"/>
      <c r="I10" s="1279">
        <f t="shared" si="0"/>
        <v>0</v>
      </c>
      <c r="J10" s="1271">
        <v>10</v>
      </c>
      <c r="K10" s="1271">
        <v>7</v>
      </c>
      <c r="L10" s="1271">
        <v>4</v>
      </c>
      <c r="M10" s="1271">
        <v>0</v>
      </c>
      <c r="N10" s="1265"/>
      <c r="O10" s="1265"/>
      <c r="P10" s="1265"/>
      <c r="Q10" s="1265"/>
      <c r="R10" s="1265"/>
    </row>
    <row r="11" spans="2:18" ht="33.75" x14ac:dyDescent="0.2">
      <c r="B11" s="1260" t="s">
        <v>1013</v>
      </c>
      <c r="C11" s="1261" t="s">
        <v>1014</v>
      </c>
      <c r="D11" s="1261" t="s">
        <v>1015</v>
      </c>
      <c r="E11" s="1261" t="s">
        <v>1016</v>
      </c>
      <c r="F11" s="1261" t="s">
        <v>1017</v>
      </c>
      <c r="G11" s="1269" t="s">
        <v>1005</v>
      </c>
      <c r="H11" s="1270" t="s">
        <v>1017</v>
      </c>
      <c r="I11" s="1279">
        <f t="shared" si="0"/>
        <v>0</v>
      </c>
      <c r="J11" s="1271">
        <v>10</v>
      </c>
      <c r="K11" s="1271">
        <v>7</v>
      </c>
      <c r="L11" s="1271">
        <v>4</v>
      </c>
      <c r="M11" s="1271">
        <v>0</v>
      </c>
      <c r="N11" s="1265"/>
      <c r="O11" s="1265"/>
      <c r="P11" s="1265"/>
      <c r="Q11" s="1265"/>
      <c r="R11" s="1265"/>
    </row>
    <row r="12" spans="2:18" x14ac:dyDescent="0.2">
      <c r="B12" s="1260" t="s">
        <v>1018</v>
      </c>
      <c r="C12" s="1261" t="s">
        <v>1019</v>
      </c>
      <c r="D12" s="1261" t="s">
        <v>1020</v>
      </c>
      <c r="E12" s="1261" t="s">
        <v>1021</v>
      </c>
      <c r="F12" s="1261" t="s">
        <v>1022</v>
      </c>
      <c r="G12" s="1269" t="s">
        <v>2498</v>
      </c>
      <c r="H12" s="1270" t="s">
        <v>1021</v>
      </c>
      <c r="I12" s="1279">
        <f t="shared" si="0"/>
        <v>10</v>
      </c>
      <c r="J12" s="1271">
        <v>25</v>
      </c>
      <c r="K12" s="1271">
        <v>20</v>
      </c>
      <c r="L12" s="1271">
        <v>10</v>
      </c>
      <c r="M12" s="1271">
        <v>0</v>
      </c>
      <c r="N12" s="1265"/>
      <c r="O12" s="1265"/>
      <c r="P12" s="1265"/>
      <c r="Q12" s="1265"/>
      <c r="R12" s="1265"/>
    </row>
    <row r="13" spans="2:18" ht="22.5" x14ac:dyDescent="0.2">
      <c r="B13" s="1260" t="s">
        <v>1023</v>
      </c>
      <c r="C13" s="1261" t="s">
        <v>1024</v>
      </c>
      <c r="D13" s="1261" t="s">
        <v>1025</v>
      </c>
      <c r="E13" s="1261" t="s">
        <v>1026</v>
      </c>
      <c r="F13" s="1261" t="s">
        <v>1027</v>
      </c>
      <c r="G13" s="1269" t="s">
        <v>2498</v>
      </c>
      <c r="H13" s="1270"/>
      <c r="I13" s="1279">
        <f t="shared" si="0"/>
        <v>0</v>
      </c>
      <c r="J13" s="1271">
        <v>25</v>
      </c>
      <c r="K13" s="1271">
        <v>20</v>
      </c>
      <c r="L13" s="1271">
        <v>10</v>
      </c>
      <c r="M13" s="1271">
        <v>0</v>
      </c>
      <c r="N13" s="1264"/>
      <c r="O13" s="1265"/>
      <c r="P13" s="1265"/>
      <c r="Q13" s="1265"/>
      <c r="R13" s="1265"/>
    </row>
    <row r="14" spans="2:18" ht="12" thickBot="1" x14ac:dyDescent="0.25">
      <c r="B14" s="2815" t="s">
        <v>977</v>
      </c>
      <c r="C14" s="2816"/>
      <c r="D14" s="2816"/>
      <c r="E14" s="2816"/>
      <c r="F14" s="2816"/>
      <c r="G14" s="2816"/>
      <c r="H14" s="2816"/>
      <c r="I14" s="1280">
        <f>SUM(I7:I13)</f>
        <v>10</v>
      </c>
      <c r="J14" s="1264"/>
      <c r="K14" s="1264"/>
      <c r="L14" s="1264"/>
      <c r="M14" s="1265"/>
      <c r="N14" s="1265"/>
      <c r="O14" s="1265"/>
      <c r="P14" s="1265"/>
      <c r="Q14" s="1265"/>
      <c r="R14" s="1265"/>
    </row>
    <row r="15" spans="2:18" x14ac:dyDescent="0.2">
      <c r="B15" s="1272"/>
      <c r="C15" s="1273"/>
      <c r="D15" s="1273"/>
      <c r="E15" s="1273"/>
      <c r="F15" s="1273"/>
      <c r="G15" s="1273"/>
      <c r="H15" s="1274"/>
      <c r="I15" s="1266"/>
      <c r="J15" s="1264"/>
      <c r="K15" s="1264"/>
      <c r="L15" s="1264"/>
      <c r="M15" s="1265"/>
      <c r="N15" s="1265"/>
      <c r="O15" s="1265"/>
      <c r="P15" s="1265"/>
      <c r="Q15" s="1265"/>
      <c r="R15" s="1265"/>
    </row>
    <row r="16" spans="2:18" ht="12" thickBot="1" x14ac:dyDescent="0.25">
      <c r="B16" s="1275"/>
      <c r="C16" s="1276"/>
      <c r="D16" s="1276"/>
      <c r="E16" s="1276"/>
      <c r="F16" s="1262" t="s">
        <v>978</v>
      </c>
      <c r="G16" s="1276"/>
      <c r="H16" s="1281" t="str">
        <f>IF(I14&lt;=D30,"C3",IF(I14&lt;=D29,"C2",IF(I14&lt;=D28,"C1",IF(I14&lt;=D27,"B3",IF(I14&lt;=D26,"B2",IF(I14&lt;=D25,"B1",IF(I14&lt;=D24,"A3",IF(I14&lt;=D23,"A2","A1"))))))))</f>
        <v>C3</v>
      </c>
      <c r="I16" s="1277"/>
      <c r="J16" s="1264"/>
      <c r="K16" s="1264"/>
      <c r="L16" s="1264"/>
      <c r="M16" s="1265"/>
      <c r="N16" s="1265"/>
      <c r="O16" s="1265"/>
      <c r="P16" s="1265"/>
      <c r="Q16" s="1265"/>
      <c r="R16" s="1265"/>
    </row>
    <row r="17" spans="2:18" x14ac:dyDescent="0.2">
      <c r="B17" s="1263"/>
      <c r="C17" s="1263"/>
      <c r="D17" s="1263"/>
      <c r="E17" s="1263"/>
      <c r="F17" s="1263"/>
      <c r="G17" s="1263"/>
      <c r="H17" s="1263"/>
      <c r="I17" s="1263"/>
      <c r="J17" s="1264"/>
      <c r="K17" s="1264"/>
      <c r="L17" s="1264"/>
      <c r="M17" s="1265"/>
      <c r="N17" s="1265"/>
      <c r="O17" s="1265"/>
      <c r="P17" s="1265"/>
      <c r="Q17" s="1265"/>
      <c r="R17" s="1265"/>
    </row>
    <row r="18" spans="2:18" hidden="1" x14ac:dyDescent="0.2">
      <c r="B18" s="1263" t="s">
        <v>979</v>
      </c>
      <c r="C18" s="1263"/>
      <c r="D18" s="1263"/>
      <c r="E18" s="1263"/>
      <c r="F18" s="1263"/>
      <c r="G18" s="1263"/>
      <c r="H18" s="1263"/>
      <c r="I18" s="1263"/>
      <c r="J18" s="1264"/>
      <c r="K18" s="1264"/>
      <c r="L18" s="1264"/>
      <c r="M18" s="1265"/>
      <c r="N18" s="1265"/>
      <c r="O18" s="1265"/>
      <c r="P18" s="1265"/>
      <c r="Q18" s="1265"/>
      <c r="R18" s="1265"/>
    </row>
    <row r="19" spans="2:18" hidden="1" x14ac:dyDescent="0.2">
      <c r="B19" s="1263"/>
      <c r="C19" s="1263"/>
      <c r="D19" s="1263"/>
      <c r="E19" s="1263"/>
      <c r="F19" s="1263"/>
      <c r="G19" s="1263"/>
      <c r="H19" s="1263"/>
      <c r="I19" s="1263"/>
      <c r="J19" s="1264"/>
      <c r="K19" s="1264"/>
      <c r="L19" s="1264"/>
      <c r="M19" s="1265"/>
      <c r="N19" s="1265"/>
      <c r="O19" s="1265"/>
      <c r="P19" s="1265"/>
      <c r="Q19" s="1265"/>
      <c r="R19" s="1265"/>
    </row>
    <row r="20" spans="2:18" hidden="1" x14ac:dyDescent="0.2">
      <c r="B20" s="2817" t="s">
        <v>980</v>
      </c>
      <c r="C20" s="2817"/>
      <c r="D20" s="1263"/>
      <c r="E20" s="1263"/>
      <c r="F20" s="1263"/>
      <c r="G20" s="1263"/>
      <c r="H20" s="1263"/>
      <c r="I20" s="1263"/>
      <c r="J20" s="1264"/>
      <c r="K20" s="1264"/>
      <c r="L20" s="1264"/>
      <c r="M20" s="1265"/>
      <c r="N20" s="1265"/>
      <c r="O20" s="1265"/>
      <c r="P20" s="1265"/>
      <c r="Q20" s="1265"/>
      <c r="R20" s="1265"/>
    </row>
    <row r="21" spans="2:18" hidden="1" x14ac:dyDescent="0.2">
      <c r="B21" s="1278"/>
      <c r="C21" s="1278"/>
      <c r="D21" s="1263"/>
      <c r="E21" s="1263"/>
      <c r="F21" s="1263"/>
      <c r="G21" s="1263"/>
      <c r="H21" s="1263"/>
      <c r="I21" s="1263"/>
      <c r="J21" s="1264"/>
      <c r="K21" s="1264"/>
      <c r="L21" s="1264"/>
      <c r="M21" s="1265"/>
      <c r="N21" s="1265"/>
      <c r="O21" s="1265"/>
      <c r="P21" s="1265"/>
      <c r="Q21" s="1265"/>
      <c r="R21" s="1265"/>
    </row>
    <row r="22" spans="2:18" hidden="1" x14ac:dyDescent="0.2">
      <c r="B22" s="1278" t="s">
        <v>981</v>
      </c>
      <c r="C22" s="1278" t="s">
        <v>982</v>
      </c>
      <c r="D22" s="1263"/>
      <c r="E22" s="1263"/>
      <c r="F22" s="1263"/>
      <c r="G22" s="1263"/>
      <c r="H22" s="1263"/>
      <c r="I22" s="1263"/>
      <c r="J22" s="1264"/>
      <c r="K22" s="1264"/>
      <c r="L22" s="1264"/>
      <c r="M22" s="1265"/>
      <c r="N22" s="1265"/>
      <c r="O22" s="1265"/>
      <c r="P22" s="1265"/>
      <c r="Q22" s="1265"/>
      <c r="R22" s="1265"/>
    </row>
    <row r="23" spans="2:18" hidden="1" x14ac:dyDescent="0.2">
      <c r="B23" s="1278" t="s">
        <v>983</v>
      </c>
      <c r="C23" s="1278" t="s">
        <v>984</v>
      </c>
      <c r="D23" s="1263">
        <v>95</v>
      </c>
      <c r="E23" s="1263" t="s">
        <v>1028</v>
      </c>
      <c r="F23" s="1263"/>
      <c r="G23" s="1263"/>
      <c r="H23" s="1263"/>
      <c r="I23" s="1263"/>
      <c r="J23" s="1264"/>
      <c r="K23" s="1264"/>
      <c r="L23" s="1264"/>
      <c r="M23" s="1265"/>
      <c r="N23" s="1265"/>
      <c r="O23" s="1265"/>
      <c r="P23" s="1265"/>
      <c r="Q23" s="1265"/>
      <c r="R23" s="1265"/>
    </row>
    <row r="24" spans="2:18" hidden="1" x14ac:dyDescent="0.2">
      <c r="B24" s="1278" t="s">
        <v>985</v>
      </c>
      <c r="C24" s="1278" t="s">
        <v>986</v>
      </c>
      <c r="D24" s="1263">
        <v>90</v>
      </c>
      <c r="E24" s="1263" t="s">
        <v>1028</v>
      </c>
      <c r="F24" s="1263"/>
      <c r="G24" s="1263"/>
      <c r="H24" s="1263"/>
      <c r="I24" s="1263"/>
      <c r="J24" s="1264"/>
      <c r="K24" s="1264"/>
      <c r="L24" s="1264"/>
      <c r="M24" s="1265"/>
      <c r="N24" s="1265"/>
      <c r="O24" s="1265"/>
      <c r="P24" s="1265"/>
      <c r="Q24" s="1265"/>
      <c r="R24" s="1265"/>
    </row>
    <row r="25" spans="2:18" hidden="1" x14ac:dyDescent="0.2">
      <c r="B25" s="1278" t="s">
        <v>987</v>
      </c>
      <c r="C25" s="1278" t="s">
        <v>988</v>
      </c>
      <c r="D25" s="1263">
        <v>85</v>
      </c>
      <c r="E25" s="1263" t="s">
        <v>1028</v>
      </c>
      <c r="F25" s="1263"/>
      <c r="G25" s="1263"/>
      <c r="H25" s="1263"/>
      <c r="I25" s="1263"/>
      <c r="J25" s="1264"/>
      <c r="K25" s="1264"/>
      <c r="L25" s="1264"/>
      <c r="M25" s="1265"/>
      <c r="N25" s="1265"/>
      <c r="O25" s="1265"/>
      <c r="P25" s="1265"/>
      <c r="Q25" s="1265"/>
      <c r="R25" s="1265"/>
    </row>
    <row r="26" spans="2:18" hidden="1" x14ac:dyDescent="0.2">
      <c r="B26" s="1278" t="s">
        <v>989</v>
      </c>
      <c r="C26" s="1278" t="s">
        <v>990</v>
      </c>
      <c r="D26" s="1263">
        <v>75</v>
      </c>
      <c r="E26" s="1263" t="s">
        <v>1028</v>
      </c>
      <c r="F26" s="1263"/>
      <c r="G26" s="1263"/>
      <c r="H26" s="1263"/>
      <c r="I26" s="1263"/>
      <c r="J26" s="1264"/>
      <c r="K26" s="1264"/>
      <c r="L26" s="1264"/>
      <c r="M26" s="1265"/>
      <c r="N26" s="1265"/>
      <c r="O26" s="1265"/>
      <c r="P26" s="1265"/>
      <c r="Q26" s="1265"/>
      <c r="R26" s="1265"/>
    </row>
    <row r="27" spans="2:18" hidden="1" x14ac:dyDescent="0.2">
      <c r="B27" s="1278" t="s">
        <v>991</v>
      </c>
      <c r="C27" s="1278" t="s">
        <v>992</v>
      </c>
      <c r="D27" s="1263">
        <v>65</v>
      </c>
      <c r="E27" s="1263" t="s">
        <v>1029</v>
      </c>
      <c r="F27" s="1263"/>
      <c r="G27" s="1263"/>
      <c r="H27" s="1263"/>
      <c r="I27" s="1263"/>
      <c r="J27" s="1264"/>
      <c r="K27" s="1264"/>
      <c r="L27" s="1264"/>
      <c r="M27" s="1265"/>
      <c r="N27" s="1265"/>
      <c r="O27" s="1265"/>
      <c r="P27" s="1265"/>
      <c r="Q27" s="1265"/>
      <c r="R27" s="1265"/>
    </row>
    <row r="28" spans="2:18" hidden="1" x14ac:dyDescent="0.2">
      <c r="B28" s="1278" t="s">
        <v>993</v>
      </c>
      <c r="C28" s="1278" t="s">
        <v>994</v>
      </c>
      <c r="D28" s="1263">
        <v>55</v>
      </c>
      <c r="E28" s="1263" t="s">
        <v>1029</v>
      </c>
      <c r="F28" s="1263"/>
      <c r="G28" s="1263"/>
      <c r="H28" s="1263"/>
      <c r="I28" s="1263"/>
      <c r="J28" s="1264"/>
      <c r="K28" s="1264"/>
      <c r="L28" s="1264"/>
      <c r="M28" s="1265"/>
      <c r="N28" s="1265"/>
      <c r="O28" s="1265"/>
      <c r="P28" s="1265"/>
      <c r="Q28" s="1265"/>
      <c r="R28" s="1265"/>
    </row>
    <row r="29" spans="2:18" hidden="1" x14ac:dyDescent="0.2">
      <c r="B29" s="1278" t="s">
        <v>995</v>
      </c>
      <c r="C29" s="1278" t="s">
        <v>996</v>
      </c>
      <c r="D29" s="1263">
        <v>45</v>
      </c>
      <c r="E29" s="1263" t="s">
        <v>1030</v>
      </c>
      <c r="F29" s="1263"/>
      <c r="G29" s="1263"/>
      <c r="H29" s="1263"/>
      <c r="I29" s="1263"/>
      <c r="J29" s="1264"/>
      <c r="K29" s="1264"/>
      <c r="L29" s="1264"/>
      <c r="M29" s="1265"/>
      <c r="N29" s="1265"/>
      <c r="O29" s="1265"/>
      <c r="P29" s="1265"/>
      <c r="Q29" s="1265"/>
      <c r="R29" s="1265"/>
    </row>
    <row r="30" spans="2:18" hidden="1" x14ac:dyDescent="0.2">
      <c r="B30" s="1278" t="s">
        <v>997</v>
      </c>
      <c r="C30" s="1278" t="s">
        <v>998</v>
      </c>
      <c r="D30" s="1263">
        <v>35</v>
      </c>
      <c r="E30" s="1263" t="s">
        <v>1030</v>
      </c>
      <c r="F30" s="1263"/>
      <c r="G30" s="1263"/>
      <c r="H30" s="1263"/>
      <c r="I30" s="1263"/>
      <c r="J30" s="1264"/>
      <c r="K30" s="1264"/>
      <c r="L30" s="1264"/>
      <c r="M30" s="1265"/>
      <c r="N30" s="1265"/>
      <c r="O30" s="1265"/>
      <c r="P30" s="1265"/>
      <c r="Q30" s="1265"/>
      <c r="R30" s="1265"/>
    </row>
  </sheetData>
  <sheetProtection algorithmName="SHA-512" hashValue="mRQ5B6gb1sVg7b1kV2fBXQ7oKnyg6ZTyJIhXn8c6O3DkMikr8YwcnYv5PmTeJ22jkUwGGGD3KM+vHgfxCKZ3pg==" saltValue="XOr2GjOzku1CtqD7RYEpOA==" spinCount="100000" sheet="1" formatCells="0" formatColumns="0" formatRows="0" insertColumns="0" insertRows="0" insertHyperlinks="0" deleteColumns="0" deleteRows="0" autoFilter="0"/>
  <mergeCells count="6">
    <mergeCell ref="B2:I2"/>
    <mergeCell ref="C4:I4"/>
    <mergeCell ref="B5:I5"/>
    <mergeCell ref="B14:H14"/>
    <mergeCell ref="B20:C20"/>
    <mergeCell ref="B3:H3"/>
  </mergeCells>
  <dataValidations count="9">
    <dataValidation type="list" allowBlank="1" showInputMessage="1" showErrorMessage="1" sqref="IV11:IV13 SR11:SR13 ACN11:ACN13 AMJ11:AMJ13 AWF11:AWF13 BGB11:BGB13 BPX11:BPX13 BZT11:BZT13 CJP11:CJP13 CTL11:CTL13 DDH11:DDH13 DND11:DND13 DWZ11:DWZ13 EGV11:EGV13 EQR11:EQR13 FAN11:FAN13 FKJ11:FKJ13 FUF11:FUF13 GEB11:GEB13 GNX11:GNX13 GXT11:GXT13 HHP11:HHP13 HRL11:HRL13 IBH11:IBH13 ILD11:ILD13 IUZ11:IUZ13 JEV11:JEV13 JOR11:JOR13 JYN11:JYN13 KIJ11:KIJ13 KSF11:KSF13 LCB11:LCB13 LLX11:LLX13 LVT11:LVT13 MFP11:MFP13 MPL11:MPL13 MZH11:MZH13 NJD11:NJD13 NSZ11:NSZ13 OCV11:OCV13 OMR11:OMR13 OWN11:OWN13 PGJ11:PGJ13 PQF11:PQF13 QAB11:QAB13 QJX11:QJX13 QTT11:QTT13 RDP11:RDP13 RNL11:RNL13 RXH11:RXH13 SHD11:SHD13 SQZ11:SQZ13 TAV11:TAV13 TKR11:TKR13 TUN11:TUN13 UEJ11:UEJ13 UOF11:UOF13 UYB11:UYB13 VHX11:VHX13 VRT11:VRT13 WBP11:WBP13 WLL11:WLL13 WVH11:WVH13 IV65512:IV65524 H131048:H131060 H196584:H196596 H262120:H262132 H327656:H327668 H393192:H393204 H458728:H458740 H524264:H524276 H589800:H589812 H655336:H655348 H720872:H720884 H786408:H786420 H851944:H851956 H917480:H917492 H983016:H983028 H65512:H65524 SR65512:SR65524 ACN65512:ACN65524 AMJ65512:AMJ65524 AWF65512:AWF65524 BGB65512:BGB65524 BPX65512:BPX65524 BZT65512:BZT65524 CJP65512:CJP65524 CTL65512:CTL65524 DDH65512:DDH65524 DND65512:DND65524 DWZ65512:DWZ65524 EGV65512:EGV65524 EQR65512:EQR65524 FAN65512:FAN65524 FKJ65512:FKJ65524 FUF65512:FUF65524 GEB65512:GEB65524 GNX65512:GNX65524 GXT65512:GXT65524 HHP65512:HHP65524 HRL65512:HRL65524 IBH65512:IBH65524 ILD65512:ILD65524 IUZ65512:IUZ65524 JEV65512:JEV65524 JOR65512:JOR65524 JYN65512:JYN65524 KIJ65512:KIJ65524 KSF65512:KSF65524 LCB65512:LCB65524 LLX65512:LLX65524 LVT65512:LVT65524 MFP65512:MFP65524 MPL65512:MPL65524 MZH65512:MZH65524 NJD65512:NJD65524 NSZ65512:NSZ65524 OCV65512:OCV65524 OMR65512:OMR65524 OWN65512:OWN65524 PGJ65512:PGJ65524 PQF65512:PQF65524 QAB65512:QAB65524 QJX65512:QJX65524 QTT65512:QTT65524 RDP65512:RDP65524 RNL65512:RNL65524 RXH65512:RXH65524 SHD65512:SHD65524 SQZ65512:SQZ65524 TAV65512:TAV65524 TKR65512:TKR65524 TUN65512:TUN65524 UEJ65512:UEJ65524 UOF65512:UOF65524 UYB65512:UYB65524 VHX65512:VHX65524 VRT65512:VRT65524 WBP65512:WBP65524 WLL65512:WLL65524 WVH65512:WVH65524 IV131048:IV131060 SR131048:SR131060 ACN131048:ACN131060 AMJ131048:AMJ131060 AWF131048:AWF131060 BGB131048:BGB131060 BPX131048:BPX131060 BZT131048:BZT131060 CJP131048:CJP131060 CTL131048:CTL131060 DDH131048:DDH131060 DND131048:DND131060 DWZ131048:DWZ131060 EGV131048:EGV131060 EQR131048:EQR131060 FAN131048:FAN131060 FKJ131048:FKJ131060 FUF131048:FUF131060 GEB131048:GEB131060 GNX131048:GNX131060 GXT131048:GXT131060 HHP131048:HHP131060 HRL131048:HRL131060 IBH131048:IBH131060 ILD131048:ILD131060 IUZ131048:IUZ131060 JEV131048:JEV131060 JOR131048:JOR131060 JYN131048:JYN131060 KIJ131048:KIJ131060 KSF131048:KSF131060 LCB131048:LCB131060 LLX131048:LLX131060 LVT131048:LVT131060 MFP131048:MFP131060 MPL131048:MPL131060 MZH131048:MZH131060 NJD131048:NJD131060 NSZ131048:NSZ131060 OCV131048:OCV131060 OMR131048:OMR131060 OWN131048:OWN131060 PGJ131048:PGJ131060 PQF131048:PQF131060 QAB131048:QAB131060 QJX131048:QJX131060 QTT131048:QTT131060 RDP131048:RDP131060 RNL131048:RNL131060 RXH131048:RXH131060 SHD131048:SHD131060 SQZ131048:SQZ131060 TAV131048:TAV131060 TKR131048:TKR131060 TUN131048:TUN131060 UEJ131048:UEJ131060 UOF131048:UOF131060 UYB131048:UYB131060 VHX131048:VHX131060 VRT131048:VRT131060 WBP131048:WBP131060 WLL131048:WLL131060 WVH131048:WVH131060 IV196584:IV196596 SR196584:SR196596 ACN196584:ACN196596 AMJ196584:AMJ196596 AWF196584:AWF196596 BGB196584:BGB196596 BPX196584:BPX196596 BZT196584:BZT196596 CJP196584:CJP196596 CTL196584:CTL196596 DDH196584:DDH196596 DND196584:DND196596 DWZ196584:DWZ196596 EGV196584:EGV196596 EQR196584:EQR196596 FAN196584:FAN196596 FKJ196584:FKJ196596 FUF196584:FUF196596 GEB196584:GEB196596 GNX196584:GNX196596 GXT196584:GXT196596 HHP196584:HHP196596 HRL196584:HRL196596 IBH196584:IBH196596 ILD196584:ILD196596 IUZ196584:IUZ196596 JEV196584:JEV196596 JOR196584:JOR196596 JYN196584:JYN196596 KIJ196584:KIJ196596 KSF196584:KSF196596 LCB196584:LCB196596 LLX196584:LLX196596 LVT196584:LVT196596 MFP196584:MFP196596 MPL196584:MPL196596 MZH196584:MZH196596 NJD196584:NJD196596 NSZ196584:NSZ196596 OCV196584:OCV196596 OMR196584:OMR196596 OWN196584:OWN196596 PGJ196584:PGJ196596 PQF196584:PQF196596 QAB196584:QAB196596 QJX196584:QJX196596 QTT196584:QTT196596 RDP196584:RDP196596 RNL196584:RNL196596 RXH196584:RXH196596 SHD196584:SHD196596 SQZ196584:SQZ196596 TAV196584:TAV196596 TKR196584:TKR196596 TUN196584:TUN196596 UEJ196584:UEJ196596 UOF196584:UOF196596 UYB196584:UYB196596 VHX196584:VHX196596 VRT196584:VRT196596 WBP196584:WBP196596 WLL196584:WLL196596 WVH196584:WVH196596 IV262120:IV262132 SR262120:SR262132 ACN262120:ACN262132 AMJ262120:AMJ262132 AWF262120:AWF262132 BGB262120:BGB262132 BPX262120:BPX262132 BZT262120:BZT262132 CJP262120:CJP262132 CTL262120:CTL262132 DDH262120:DDH262132 DND262120:DND262132 DWZ262120:DWZ262132 EGV262120:EGV262132 EQR262120:EQR262132 FAN262120:FAN262132 FKJ262120:FKJ262132 FUF262120:FUF262132 GEB262120:GEB262132 GNX262120:GNX262132 GXT262120:GXT262132 HHP262120:HHP262132 HRL262120:HRL262132 IBH262120:IBH262132 ILD262120:ILD262132 IUZ262120:IUZ262132 JEV262120:JEV262132 JOR262120:JOR262132 JYN262120:JYN262132 KIJ262120:KIJ262132 KSF262120:KSF262132 LCB262120:LCB262132 LLX262120:LLX262132 LVT262120:LVT262132 MFP262120:MFP262132 MPL262120:MPL262132 MZH262120:MZH262132 NJD262120:NJD262132 NSZ262120:NSZ262132 OCV262120:OCV262132 OMR262120:OMR262132 OWN262120:OWN262132 PGJ262120:PGJ262132 PQF262120:PQF262132 QAB262120:QAB262132 QJX262120:QJX262132 QTT262120:QTT262132 RDP262120:RDP262132 RNL262120:RNL262132 RXH262120:RXH262132 SHD262120:SHD262132 SQZ262120:SQZ262132 TAV262120:TAV262132 TKR262120:TKR262132 TUN262120:TUN262132 UEJ262120:UEJ262132 UOF262120:UOF262132 UYB262120:UYB262132 VHX262120:VHX262132 VRT262120:VRT262132 WBP262120:WBP262132 WLL262120:WLL262132 WVH262120:WVH262132 IV327656:IV327668 SR327656:SR327668 ACN327656:ACN327668 AMJ327656:AMJ327668 AWF327656:AWF327668 BGB327656:BGB327668 BPX327656:BPX327668 BZT327656:BZT327668 CJP327656:CJP327668 CTL327656:CTL327668 DDH327656:DDH327668 DND327656:DND327668 DWZ327656:DWZ327668 EGV327656:EGV327668 EQR327656:EQR327668 FAN327656:FAN327668 FKJ327656:FKJ327668 FUF327656:FUF327668 GEB327656:GEB327668 GNX327656:GNX327668 GXT327656:GXT327668 HHP327656:HHP327668 HRL327656:HRL327668 IBH327656:IBH327668 ILD327656:ILD327668 IUZ327656:IUZ327668 JEV327656:JEV327668 JOR327656:JOR327668 JYN327656:JYN327668 KIJ327656:KIJ327668 KSF327656:KSF327668 LCB327656:LCB327668 LLX327656:LLX327668 LVT327656:LVT327668 MFP327656:MFP327668 MPL327656:MPL327668 MZH327656:MZH327668 NJD327656:NJD327668 NSZ327656:NSZ327668 OCV327656:OCV327668 OMR327656:OMR327668 OWN327656:OWN327668 PGJ327656:PGJ327668 PQF327656:PQF327668 QAB327656:QAB327668 QJX327656:QJX327668 QTT327656:QTT327668 RDP327656:RDP327668 RNL327656:RNL327668 RXH327656:RXH327668 SHD327656:SHD327668 SQZ327656:SQZ327668 TAV327656:TAV327668 TKR327656:TKR327668 TUN327656:TUN327668 UEJ327656:UEJ327668 UOF327656:UOF327668 UYB327656:UYB327668 VHX327656:VHX327668 VRT327656:VRT327668 WBP327656:WBP327668 WLL327656:WLL327668 WVH327656:WVH327668 IV393192:IV393204 SR393192:SR393204 ACN393192:ACN393204 AMJ393192:AMJ393204 AWF393192:AWF393204 BGB393192:BGB393204 BPX393192:BPX393204 BZT393192:BZT393204 CJP393192:CJP393204 CTL393192:CTL393204 DDH393192:DDH393204 DND393192:DND393204 DWZ393192:DWZ393204 EGV393192:EGV393204 EQR393192:EQR393204 FAN393192:FAN393204 FKJ393192:FKJ393204 FUF393192:FUF393204 GEB393192:GEB393204 GNX393192:GNX393204 GXT393192:GXT393204 HHP393192:HHP393204 HRL393192:HRL393204 IBH393192:IBH393204 ILD393192:ILD393204 IUZ393192:IUZ393204 JEV393192:JEV393204 JOR393192:JOR393204 JYN393192:JYN393204 KIJ393192:KIJ393204 KSF393192:KSF393204 LCB393192:LCB393204 LLX393192:LLX393204 LVT393192:LVT393204 MFP393192:MFP393204 MPL393192:MPL393204 MZH393192:MZH393204 NJD393192:NJD393204 NSZ393192:NSZ393204 OCV393192:OCV393204 OMR393192:OMR393204 OWN393192:OWN393204 PGJ393192:PGJ393204 PQF393192:PQF393204 QAB393192:QAB393204 QJX393192:QJX393204 QTT393192:QTT393204 RDP393192:RDP393204 RNL393192:RNL393204 RXH393192:RXH393204 SHD393192:SHD393204 SQZ393192:SQZ393204 TAV393192:TAV393204 TKR393192:TKR393204 TUN393192:TUN393204 UEJ393192:UEJ393204 UOF393192:UOF393204 UYB393192:UYB393204 VHX393192:VHX393204 VRT393192:VRT393204 WBP393192:WBP393204 WLL393192:WLL393204 WVH393192:WVH393204 IV458728:IV458740 SR458728:SR458740 ACN458728:ACN458740 AMJ458728:AMJ458740 AWF458728:AWF458740 BGB458728:BGB458740 BPX458728:BPX458740 BZT458728:BZT458740 CJP458728:CJP458740 CTL458728:CTL458740 DDH458728:DDH458740 DND458728:DND458740 DWZ458728:DWZ458740 EGV458728:EGV458740 EQR458728:EQR458740 FAN458728:FAN458740 FKJ458728:FKJ458740 FUF458728:FUF458740 GEB458728:GEB458740 GNX458728:GNX458740 GXT458728:GXT458740 HHP458728:HHP458740 HRL458728:HRL458740 IBH458728:IBH458740 ILD458728:ILD458740 IUZ458728:IUZ458740 JEV458728:JEV458740 JOR458728:JOR458740 JYN458728:JYN458740 KIJ458728:KIJ458740 KSF458728:KSF458740 LCB458728:LCB458740 LLX458728:LLX458740 LVT458728:LVT458740 MFP458728:MFP458740 MPL458728:MPL458740 MZH458728:MZH458740 NJD458728:NJD458740 NSZ458728:NSZ458740 OCV458728:OCV458740 OMR458728:OMR458740 OWN458728:OWN458740 PGJ458728:PGJ458740 PQF458728:PQF458740 QAB458728:QAB458740 QJX458728:QJX458740 QTT458728:QTT458740 RDP458728:RDP458740 RNL458728:RNL458740 RXH458728:RXH458740 SHD458728:SHD458740 SQZ458728:SQZ458740 TAV458728:TAV458740 TKR458728:TKR458740 TUN458728:TUN458740 UEJ458728:UEJ458740 UOF458728:UOF458740 UYB458728:UYB458740 VHX458728:VHX458740 VRT458728:VRT458740 WBP458728:WBP458740 WLL458728:WLL458740 WVH458728:WVH458740 IV524264:IV524276 SR524264:SR524276 ACN524264:ACN524276 AMJ524264:AMJ524276 AWF524264:AWF524276 BGB524264:BGB524276 BPX524264:BPX524276 BZT524264:BZT524276 CJP524264:CJP524276 CTL524264:CTL524276 DDH524264:DDH524276 DND524264:DND524276 DWZ524264:DWZ524276 EGV524264:EGV524276 EQR524264:EQR524276 FAN524264:FAN524276 FKJ524264:FKJ524276 FUF524264:FUF524276 GEB524264:GEB524276 GNX524264:GNX524276 GXT524264:GXT524276 HHP524264:HHP524276 HRL524264:HRL524276 IBH524264:IBH524276 ILD524264:ILD524276 IUZ524264:IUZ524276 JEV524264:JEV524276 JOR524264:JOR524276 JYN524264:JYN524276 KIJ524264:KIJ524276 KSF524264:KSF524276 LCB524264:LCB524276 LLX524264:LLX524276 LVT524264:LVT524276 MFP524264:MFP524276 MPL524264:MPL524276 MZH524264:MZH524276 NJD524264:NJD524276 NSZ524264:NSZ524276 OCV524264:OCV524276 OMR524264:OMR524276 OWN524264:OWN524276 PGJ524264:PGJ524276 PQF524264:PQF524276 QAB524264:QAB524276 QJX524264:QJX524276 QTT524264:QTT524276 RDP524264:RDP524276 RNL524264:RNL524276 RXH524264:RXH524276 SHD524264:SHD524276 SQZ524264:SQZ524276 TAV524264:TAV524276 TKR524264:TKR524276 TUN524264:TUN524276 UEJ524264:UEJ524276 UOF524264:UOF524276 UYB524264:UYB524276 VHX524264:VHX524276 VRT524264:VRT524276 WBP524264:WBP524276 WLL524264:WLL524276 WVH524264:WVH524276 IV589800:IV589812 SR589800:SR589812 ACN589800:ACN589812 AMJ589800:AMJ589812 AWF589800:AWF589812 BGB589800:BGB589812 BPX589800:BPX589812 BZT589800:BZT589812 CJP589800:CJP589812 CTL589800:CTL589812 DDH589800:DDH589812 DND589800:DND589812 DWZ589800:DWZ589812 EGV589800:EGV589812 EQR589800:EQR589812 FAN589800:FAN589812 FKJ589800:FKJ589812 FUF589800:FUF589812 GEB589800:GEB589812 GNX589800:GNX589812 GXT589800:GXT589812 HHP589800:HHP589812 HRL589800:HRL589812 IBH589800:IBH589812 ILD589800:ILD589812 IUZ589800:IUZ589812 JEV589800:JEV589812 JOR589800:JOR589812 JYN589800:JYN589812 KIJ589800:KIJ589812 KSF589800:KSF589812 LCB589800:LCB589812 LLX589800:LLX589812 LVT589800:LVT589812 MFP589800:MFP589812 MPL589800:MPL589812 MZH589800:MZH589812 NJD589800:NJD589812 NSZ589800:NSZ589812 OCV589800:OCV589812 OMR589800:OMR589812 OWN589800:OWN589812 PGJ589800:PGJ589812 PQF589800:PQF589812 QAB589800:QAB589812 QJX589800:QJX589812 QTT589800:QTT589812 RDP589800:RDP589812 RNL589800:RNL589812 RXH589800:RXH589812 SHD589800:SHD589812 SQZ589800:SQZ589812 TAV589800:TAV589812 TKR589800:TKR589812 TUN589800:TUN589812 UEJ589800:UEJ589812 UOF589800:UOF589812 UYB589800:UYB589812 VHX589800:VHX589812 VRT589800:VRT589812 WBP589800:WBP589812 WLL589800:WLL589812 WVH589800:WVH589812 IV655336:IV655348 SR655336:SR655348 ACN655336:ACN655348 AMJ655336:AMJ655348 AWF655336:AWF655348 BGB655336:BGB655348 BPX655336:BPX655348 BZT655336:BZT655348 CJP655336:CJP655348 CTL655336:CTL655348 DDH655336:DDH655348 DND655336:DND655348 DWZ655336:DWZ655348 EGV655336:EGV655348 EQR655336:EQR655348 FAN655336:FAN655348 FKJ655336:FKJ655348 FUF655336:FUF655348 GEB655336:GEB655348 GNX655336:GNX655348 GXT655336:GXT655348 HHP655336:HHP655348 HRL655336:HRL655348 IBH655336:IBH655348 ILD655336:ILD655348 IUZ655336:IUZ655348 JEV655336:JEV655348 JOR655336:JOR655348 JYN655336:JYN655348 KIJ655336:KIJ655348 KSF655336:KSF655348 LCB655336:LCB655348 LLX655336:LLX655348 LVT655336:LVT655348 MFP655336:MFP655348 MPL655336:MPL655348 MZH655336:MZH655348 NJD655336:NJD655348 NSZ655336:NSZ655348 OCV655336:OCV655348 OMR655336:OMR655348 OWN655336:OWN655348 PGJ655336:PGJ655348 PQF655336:PQF655348 QAB655336:QAB655348 QJX655336:QJX655348 QTT655336:QTT655348 RDP655336:RDP655348 RNL655336:RNL655348 RXH655336:RXH655348 SHD655336:SHD655348 SQZ655336:SQZ655348 TAV655336:TAV655348 TKR655336:TKR655348 TUN655336:TUN655348 UEJ655336:UEJ655348 UOF655336:UOF655348 UYB655336:UYB655348 VHX655336:VHX655348 VRT655336:VRT655348 WBP655336:WBP655348 WLL655336:WLL655348 WVH655336:WVH655348 IV720872:IV720884 SR720872:SR720884 ACN720872:ACN720884 AMJ720872:AMJ720884 AWF720872:AWF720884 BGB720872:BGB720884 BPX720872:BPX720884 BZT720872:BZT720884 CJP720872:CJP720884 CTL720872:CTL720884 DDH720872:DDH720884 DND720872:DND720884 DWZ720872:DWZ720884 EGV720872:EGV720884 EQR720872:EQR720884 FAN720872:FAN720884 FKJ720872:FKJ720884 FUF720872:FUF720884 GEB720872:GEB720884 GNX720872:GNX720884 GXT720872:GXT720884 HHP720872:HHP720884 HRL720872:HRL720884 IBH720872:IBH720884 ILD720872:ILD720884 IUZ720872:IUZ720884 JEV720872:JEV720884 JOR720872:JOR720884 JYN720872:JYN720884 KIJ720872:KIJ720884 KSF720872:KSF720884 LCB720872:LCB720884 LLX720872:LLX720884 LVT720872:LVT720884 MFP720872:MFP720884 MPL720872:MPL720884 MZH720872:MZH720884 NJD720872:NJD720884 NSZ720872:NSZ720884 OCV720872:OCV720884 OMR720872:OMR720884 OWN720872:OWN720884 PGJ720872:PGJ720884 PQF720872:PQF720884 QAB720872:QAB720884 QJX720872:QJX720884 QTT720872:QTT720884 RDP720872:RDP720884 RNL720872:RNL720884 RXH720872:RXH720884 SHD720872:SHD720884 SQZ720872:SQZ720884 TAV720872:TAV720884 TKR720872:TKR720884 TUN720872:TUN720884 UEJ720872:UEJ720884 UOF720872:UOF720884 UYB720872:UYB720884 VHX720872:VHX720884 VRT720872:VRT720884 WBP720872:WBP720884 WLL720872:WLL720884 WVH720872:WVH720884 IV786408:IV786420 SR786408:SR786420 ACN786408:ACN786420 AMJ786408:AMJ786420 AWF786408:AWF786420 BGB786408:BGB786420 BPX786408:BPX786420 BZT786408:BZT786420 CJP786408:CJP786420 CTL786408:CTL786420 DDH786408:DDH786420 DND786408:DND786420 DWZ786408:DWZ786420 EGV786408:EGV786420 EQR786408:EQR786420 FAN786408:FAN786420 FKJ786408:FKJ786420 FUF786408:FUF786420 GEB786408:GEB786420 GNX786408:GNX786420 GXT786408:GXT786420 HHP786408:HHP786420 HRL786408:HRL786420 IBH786408:IBH786420 ILD786408:ILD786420 IUZ786408:IUZ786420 JEV786408:JEV786420 JOR786408:JOR786420 JYN786408:JYN786420 KIJ786408:KIJ786420 KSF786408:KSF786420 LCB786408:LCB786420 LLX786408:LLX786420 LVT786408:LVT786420 MFP786408:MFP786420 MPL786408:MPL786420 MZH786408:MZH786420 NJD786408:NJD786420 NSZ786408:NSZ786420 OCV786408:OCV786420 OMR786408:OMR786420 OWN786408:OWN786420 PGJ786408:PGJ786420 PQF786408:PQF786420 QAB786408:QAB786420 QJX786408:QJX786420 QTT786408:QTT786420 RDP786408:RDP786420 RNL786408:RNL786420 RXH786408:RXH786420 SHD786408:SHD786420 SQZ786408:SQZ786420 TAV786408:TAV786420 TKR786408:TKR786420 TUN786408:TUN786420 UEJ786408:UEJ786420 UOF786408:UOF786420 UYB786408:UYB786420 VHX786408:VHX786420 VRT786408:VRT786420 WBP786408:WBP786420 WLL786408:WLL786420 WVH786408:WVH786420 IV851944:IV851956 SR851944:SR851956 ACN851944:ACN851956 AMJ851944:AMJ851956 AWF851944:AWF851956 BGB851944:BGB851956 BPX851944:BPX851956 BZT851944:BZT851956 CJP851944:CJP851956 CTL851944:CTL851956 DDH851944:DDH851956 DND851944:DND851956 DWZ851944:DWZ851956 EGV851944:EGV851956 EQR851944:EQR851956 FAN851944:FAN851956 FKJ851944:FKJ851956 FUF851944:FUF851956 GEB851944:GEB851956 GNX851944:GNX851956 GXT851944:GXT851956 HHP851944:HHP851956 HRL851944:HRL851956 IBH851944:IBH851956 ILD851944:ILD851956 IUZ851944:IUZ851956 JEV851944:JEV851956 JOR851944:JOR851956 JYN851944:JYN851956 KIJ851944:KIJ851956 KSF851944:KSF851956 LCB851944:LCB851956 LLX851944:LLX851956 LVT851944:LVT851956 MFP851944:MFP851956 MPL851944:MPL851956 MZH851944:MZH851956 NJD851944:NJD851956 NSZ851944:NSZ851956 OCV851944:OCV851956 OMR851944:OMR851956 OWN851944:OWN851956 PGJ851944:PGJ851956 PQF851944:PQF851956 QAB851944:QAB851956 QJX851944:QJX851956 QTT851944:QTT851956 RDP851944:RDP851956 RNL851944:RNL851956 RXH851944:RXH851956 SHD851944:SHD851956 SQZ851944:SQZ851956 TAV851944:TAV851956 TKR851944:TKR851956 TUN851944:TUN851956 UEJ851944:UEJ851956 UOF851944:UOF851956 UYB851944:UYB851956 VHX851944:VHX851956 VRT851944:VRT851956 WBP851944:WBP851956 WLL851944:WLL851956 WVH851944:WVH851956 IV917480:IV917492 SR917480:SR917492 ACN917480:ACN917492 AMJ917480:AMJ917492 AWF917480:AWF917492 BGB917480:BGB917492 BPX917480:BPX917492 BZT917480:BZT917492 CJP917480:CJP917492 CTL917480:CTL917492 DDH917480:DDH917492 DND917480:DND917492 DWZ917480:DWZ917492 EGV917480:EGV917492 EQR917480:EQR917492 FAN917480:FAN917492 FKJ917480:FKJ917492 FUF917480:FUF917492 GEB917480:GEB917492 GNX917480:GNX917492 GXT917480:GXT917492 HHP917480:HHP917492 HRL917480:HRL917492 IBH917480:IBH917492 ILD917480:ILD917492 IUZ917480:IUZ917492 JEV917480:JEV917492 JOR917480:JOR917492 JYN917480:JYN917492 KIJ917480:KIJ917492 KSF917480:KSF917492 LCB917480:LCB917492 LLX917480:LLX917492 LVT917480:LVT917492 MFP917480:MFP917492 MPL917480:MPL917492 MZH917480:MZH917492 NJD917480:NJD917492 NSZ917480:NSZ917492 OCV917480:OCV917492 OMR917480:OMR917492 OWN917480:OWN917492 PGJ917480:PGJ917492 PQF917480:PQF917492 QAB917480:QAB917492 QJX917480:QJX917492 QTT917480:QTT917492 RDP917480:RDP917492 RNL917480:RNL917492 RXH917480:RXH917492 SHD917480:SHD917492 SQZ917480:SQZ917492 TAV917480:TAV917492 TKR917480:TKR917492 TUN917480:TUN917492 UEJ917480:UEJ917492 UOF917480:UOF917492 UYB917480:UYB917492 VHX917480:VHX917492 VRT917480:VRT917492 WBP917480:WBP917492 WLL917480:WLL917492 WVH917480:WVH917492 IV983016:IV983028 SR983016:SR983028 ACN983016:ACN983028 AMJ983016:AMJ983028 AWF983016:AWF983028 BGB983016:BGB983028 BPX983016:BPX983028 BZT983016:BZT983028 CJP983016:CJP983028 CTL983016:CTL983028 DDH983016:DDH983028 DND983016:DND983028 DWZ983016:DWZ983028 EGV983016:EGV983028 EQR983016:EQR983028 FAN983016:FAN983028 FKJ983016:FKJ983028 FUF983016:FUF983028 GEB983016:GEB983028 GNX983016:GNX983028 GXT983016:GXT983028 HHP983016:HHP983028 HRL983016:HRL983028 IBH983016:IBH983028 ILD983016:ILD983028 IUZ983016:IUZ983028 JEV983016:JEV983028 JOR983016:JOR983028 JYN983016:JYN983028 KIJ983016:KIJ983028 KSF983016:KSF983028 LCB983016:LCB983028 LLX983016:LLX983028 LVT983016:LVT983028 MFP983016:MFP983028 MPL983016:MPL983028 MZH983016:MZH983028 NJD983016:NJD983028 NSZ983016:NSZ983028 OCV983016:OCV983028 OMR983016:OMR983028 OWN983016:OWN983028 PGJ983016:PGJ983028 PQF983016:PQF983028 QAB983016:QAB983028 QJX983016:QJX983028 QTT983016:QTT983028 RDP983016:RDP983028 RNL983016:RNL983028 RXH983016:RXH983028 SHD983016:SHD983028 SQZ983016:SQZ983028 TAV983016:TAV983028 TKR983016:TKR983028 TUN983016:TUN983028 UEJ983016:UEJ983028 UOF983016:UOF983028 UYB983016:UYB983028 VHX983016:VHX983028 VRT983016:VRT983028 WBP983016:WBP983028 WLL983016:WLL983028 WVH983016:WVH983028" xr:uid="{00000000-0002-0000-3200-000000000000}">
      <formula1>#REF!</formula1>
    </dataValidation>
    <dataValidation type="list" allowBlank="1" showInputMessage="1" showErrorMessage="1" sqref="IV7 H983013 H917477 H851941 H786405 H720869 H655333 H589797 H524261 H458725 H393189 H327653 H262117 H196581 H131045 H7 H65509 WVH983013 WLL983013 WBP983013 VRT983013 VHX983013 UYB983013 UOF983013 UEJ983013 TUN983013 TKR983013 TAV983013 SQZ983013 SHD983013 RXH983013 RNL983013 RDP983013 QTT983013 QJX983013 QAB983013 PQF983013 PGJ983013 OWN983013 OMR983013 OCV983013 NSZ983013 NJD983013 MZH983013 MPL983013 MFP983013 LVT983013 LLX983013 LCB983013 KSF983013 KIJ983013 JYN983013 JOR983013 JEV983013 IUZ983013 ILD983013 IBH983013 HRL983013 HHP983013 GXT983013 GNX983013 GEB983013 FUF983013 FKJ983013 FAN983013 EQR983013 EGV983013 DWZ983013 DND983013 DDH983013 CTL983013 CJP983013 BZT983013 BPX983013 BGB983013 AWF983013 AMJ983013 ACN983013 SR983013 IV983013 WVH917477 WLL917477 WBP917477 VRT917477 VHX917477 UYB917477 UOF917477 UEJ917477 TUN917477 TKR917477 TAV917477 SQZ917477 SHD917477 RXH917477 RNL917477 RDP917477 QTT917477 QJX917477 QAB917477 PQF917477 PGJ917477 OWN917477 OMR917477 OCV917477 NSZ917477 NJD917477 MZH917477 MPL917477 MFP917477 LVT917477 LLX917477 LCB917477 KSF917477 KIJ917477 JYN917477 JOR917477 JEV917477 IUZ917477 ILD917477 IBH917477 HRL917477 HHP917477 GXT917477 GNX917477 GEB917477 FUF917477 FKJ917477 FAN917477 EQR917477 EGV917477 DWZ917477 DND917477 DDH917477 CTL917477 CJP917477 BZT917477 BPX917477 BGB917477 AWF917477 AMJ917477 ACN917477 SR917477 IV917477 WVH851941 WLL851941 WBP851941 VRT851941 VHX851941 UYB851941 UOF851941 UEJ851941 TUN851941 TKR851941 TAV851941 SQZ851941 SHD851941 RXH851941 RNL851941 RDP851941 QTT851941 QJX851941 QAB851941 PQF851941 PGJ851941 OWN851941 OMR851941 OCV851941 NSZ851941 NJD851941 MZH851941 MPL851941 MFP851941 LVT851941 LLX851941 LCB851941 KSF851941 KIJ851941 JYN851941 JOR851941 JEV851941 IUZ851941 ILD851941 IBH851941 HRL851941 HHP851941 GXT851941 GNX851941 GEB851941 FUF851941 FKJ851941 FAN851941 EQR851941 EGV851941 DWZ851941 DND851941 DDH851941 CTL851941 CJP851941 BZT851941 BPX851941 BGB851941 AWF851941 AMJ851941 ACN851941 SR851941 IV851941 WVH786405 WLL786405 WBP786405 VRT786405 VHX786405 UYB786405 UOF786405 UEJ786405 TUN786405 TKR786405 TAV786405 SQZ786405 SHD786405 RXH786405 RNL786405 RDP786405 QTT786405 QJX786405 QAB786405 PQF786405 PGJ786405 OWN786405 OMR786405 OCV786405 NSZ786405 NJD786405 MZH786405 MPL786405 MFP786405 LVT786405 LLX786405 LCB786405 KSF786405 KIJ786405 JYN786405 JOR786405 JEV786405 IUZ786405 ILD786405 IBH786405 HRL786405 HHP786405 GXT786405 GNX786405 GEB786405 FUF786405 FKJ786405 FAN786405 EQR786405 EGV786405 DWZ786405 DND786405 DDH786405 CTL786405 CJP786405 BZT786405 BPX786405 BGB786405 AWF786405 AMJ786405 ACN786405 SR786405 IV786405 WVH720869 WLL720869 WBP720869 VRT720869 VHX720869 UYB720869 UOF720869 UEJ720869 TUN720869 TKR720869 TAV720869 SQZ720869 SHD720869 RXH720869 RNL720869 RDP720869 QTT720869 QJX720869 QAB720869 PQF720869 PGJ720869 OWN720869 OMR720869 OCV720869 NSZ720869 NJD720869 MZH720869 MPL720869 MFP720869 LVT720869 LLX720869 LCB720869 KSF720869 KIJ720869 JYN720869 JOR720869 JEV720869 IUZ720869 ILD720869 IBH720869 HRL720869 HHP720869 GXT720869 GNX720869 GEB720869 FUF720869 FKJ720869 FAN720869 EQR720869 EGV720869 DWZ720869 DND720869 DDH720869 CTL720869 CJP720869 BZT720869 BPX720869 BGB720869 AWF720869 AMJ720869 ACN720869 SR720869 IV720869 WVH655333 WLL655333 WBP655333 VRT655333 VHX655333 UYB655333 UOF655333 UEJ655333 TUN655333 TKR655333 TAV655333 SQZ655333 SHD655333 RXH655333 RNL655333 RDP655333 QTT655333 QJX655333 QAB655333 PQF655333 PGJ655333 OWN655333 OMR655333 OCV655333 NSZ655333 NJD655333 MZH655333 MPL655333 MFP655333 LVT655333 LLX655333 LCB655333 KSF655333 KIJ655333 JYN655333 JOR655333 JEV655333 IUZ655333 ILD655333 IBH655333 HRL655333 HHP655333 GXT655333 GNX655333 GEB655333 FUF655333 FKJ655333 FAN655333 EQR655333 EGV655333 DWZ655333 DND655333 DDH655333 CTL655333 CJP655333 BZT655333 BPX655333 BGB655333 AWF655333 AMJ655333 ACN655333 SR655333 IV655333 WVH589797 WLL589797 WBP589797 VRT589797 VHX589797 UYB589797 UOF589797 UEJ589797 TUN589797 TKR589797 TAV589797 SQZ589797 SHD589797 RXH589797 RNL589797 RDP589797 QTT589797 QJX589797 QAB589797 PQF589797 PGJ589797 OWN589797 OMR589797 OCV589797 NSZ589797 NJD589797 MZH589797 MPL589797 MFP589797 LVT589797 LLX589797 LCB589797 KSF589797 KIJ589797 JYN589797 JOR589797 JEV589797 IUZ589797 ILD589797 IBH589797 HRL589797 HHP589797 GXT589797 GNX589797 GEB589797 FUF589797 FKJ589797 FAN589797 EQR589797 EGV589797 DWZ589797 DND589797 DDH589797 CTL589797 CJP589797 BZT589797 BPX589797 BGB589797 AWF589797 AMJ589797 ACN589797 SR589797 IV589797 WVH524261 WLL524261 WBP524261 VRT524261 VHX524261 UYB524261 UOF524261 UEJ524261 TUN524261 TKR524261 TAV524261 SQZ524261 SHD524261 RXH524261 RNL524261 RDP524261 QTT524261 QJX524261 QAB524261 PQF524261 PGJ524261 OWN524261 OMR524261 OCV524261 NSZ524261 NJD524261 MZH524261 MPL524261 MFP524261 LVT524261 LLX524261 LCB524261 KSF524261 KIJ524261 JYN524261 JOR524261 JEV524261 IUZ524261 ILD524261 IBH524261 HRL524261 HHP524261 GXT524261 GNX524261 GEB524261 FUF524261 FKJ524261 FAN524261 EQR524261 EGV524261 DWZ524261 DND524261 DDH524261 CTL524261 CJP524261 BZT524261 BPX524261 BGB524261 AWF524261 AMJ524261 ACN524261 SR524261 IV524261 WVH458725 WLL458725 WBP458725 VRT458725 VHX458725 UYB458725 UOF458725 UEJ458725 TUN458725 TKR458725 TAV458725 SQZ458725 SHD458725 RXH458725 RNL458725 RDP458725 QTT458725 QJX458725 QAB458725 PQF458725 PGJ458725 OWN458725 OMR458725 OCV458725 NSZ458725 NJD458725 MZH458725 MPL458725 MFP458725 LVT458725 LLX458725 LCB458725 KSF458725 KIJ458725 JYN458725 JOR458725 JEV458725 IUZ458725 ILD458725 IBH458725 HRL458725 HHP458725 GXT458725 GNX458725 GEB458725 FUF458725 FKJ458725 FAN458725 EQR458725 EGV458725 DWZ458725 DND458725 DDH458725 CTL458725 CJP458725 BZT458725 BPX458725 BGB458725 AWF458725 AMJ458725 ACN458725 SR458725 IV458725 WVH393189 WLL393189 WBP393189 VRT393189 VHX393189 UYB393189 UOF393189 UEJ393189 TUN393189 TKR393189 TAV393189 SQZ393189 SHD393189 RXH393189 RNL393189 RDP393189 QTT393189 QJX393189 QAB393189 PQF393189 PGJ393189 OWN393189 OMR393189 OCV393189 NSZ393189 NJD393189 MZH393189 MPL393189 MFP393189 LVT393189 LLX393189 LCB393189 KSF393189 KIJ393189 JYN393189 JOR393189 JEV393189 IUZ393189 ILD393189 IBH393189 HRL393189 HHP393189 GXT393189 GNX393189 GEB393189 FUF393189 FKJ393189 FAN393189 EQR393189 EGV393189 DWZ393189 DND393189 DDH393189 CTL393189 CJP393189 BZT393189 BPX393189 BGB393189 AWF393189 AMJ393189 ACN393189 SR393189 IV393189 WVH327653 WLL327653 WBP327653 VRT327653 VHX327653 UYB327653 UOF327653 UEJ327653 TUN327653 TKR327653 TAV327653 SQZ327653 SHD327653 RXH327653 RNL327653 RDP327653 QTT327653 QJX327653 QAB327653 PQF327653 PGJ327653 OWN327653 OMR327653 OCV327653 NSZ327653 NJD327653 MZH327653 MPL327653 MFP327653 LVT327653 LLX327653 LCB327653 KSF327653 KIJ327653 JYN327653 JOR327653 JEV327653 IUZ327653 ILD327653 IBH327653 HRL327653 HHP327653 GXT327653 GNX327653 GEB327653 FUF327653 FKJ327653 FAN327653 EQR327653 EGV327653 DWZ327653 DND327653 DDH327653 CTL327653 CJP327653 BZT327653 BPX327653 BGB327653 AWF327653 AMJ327653 ACN327653 SR327653 IV327653 WVH262117 WLL262117 WBP262117 VRT262117 VHX262117 UYB262117 UOF262117 UEJ262117 TUN262117 TKR262117 TAV262117 SQZ262117 SHD262117 RXH262117 RNL262117 RDP262117 QTT262117 QJX262117 QAB262117 PQF262117 PGJ262117 OWN262117 OMR262117 OCV262117 NSZ262117 NJD262117 MZH262117 MPL262117 MFP262117 LVT262117 LLX262117 LCB262117 KSF262117 KIJ262117 JYN262117 JOR262117 JEV262117 IUZ262117 ILD262117 IBH262117 HRL262117 HHP262117 GXT262117 GNX262117 GEB262117 FUF262117 FKJ262117 FAN262117 EQR262117 EGV262117 DWZ262117 DND262117 DDH262117 CTL262117 CJP262117 BZT262117 BPX262117 BGB262117 AWF262117 AMJ262117 ACN262117 SR262117 IV262117 WVH196581 WLL196581 WBP196581 VRT196581 VHX196581 UYB196581 UOF196581 UEJ196581 TUN196581 TKR196581 TAV196581 SQZ196581 SHD196581 RXH196581 RNL196581 RDP196581 QTT196581 QJX196581 QAB196581 PQF196581 PGJ196581 OWN196581 OMR196581 OCV196581 NSZ196581 NJD196581 MZH196581 MPL196581 MFP196581 LVT196581 LLX196581 LCB196581 KSF196581 KIJ196581 JYN196581 JOR196581 JEV196581 IUZ196581 ILD196581 IBH196581 HRL196581 HHP196581 GXT196581 GNX196581 GEB196581 FUF196581 FKJ196581 FAN196581 EQR196581 EGV196581 DWZ196581 DND196581 DDH196581 CTL196581 CJP196581 BZT196581 BPX196581 BGB196581 AWF196581 AMJ196581 ACN196581 SR196581 IV196581 WVH131045 WLL131045 WBP131045 VRT131045 VHX131045 UYB131045 UOF131045 UEJ131045 TUN131045 TKR131045 TAV131045 SQZ131045 SHD131045 RXH131045 RNL131045 RDP131045 QTT131045 QJX131045 QAB131045 PQF131045 PGJ131045 OWN131045 OMR131045 OCV131045 NSZ131045 NJD131045 MZH131045 MPL131045 MFP131045 LVT131045 LLX131045 LCB131045 KSF131045 KIJ131045 JYN131045 JOR131045 JEV131045 IUZ131045 ILD131045 IBH131045 HRL131045 HHP131045 GXT131045 GNX131045 GEB131045 FUF131045 FKJ131045 FAN131045 EQR131045 EGV131045 DWZ131045 DND131045 DDH131045 CTL131045 CJP131045 BZT131045 BPX131045 BGB131045 AWF131045 AMJ131045 ACN131045 SR131045 IV131045 WVH65509 WLL65509 WBP65509 VRT65509 VHX65509 UYB65509 UOF65509 UEJ65509 TUN65509 TKR65509 TAV65509 SQZ65509 SHD65509 RXH65509 RNL65509 RDP65509 QTT65509 QJX65509 QAB65509 PQF65509 PGJ65509 OWN65509 OMR65509 OCV65509 NSZ65509 NJD65509 MZH65509 MPL65509 MFP65509 LVT65509 LLX65509 LCB65509 KSF65509 KIJ65509 JYN65509 JOR65509 JEV65509 IUZ65509 ILD65509 IBH65509 HRL65509 HHP65509 GXT65509 GNX65509 GEB65509 FUF65509 FKJ65509 FAN65509 EQR65509 EGV65509 DWZ65509 DND65509 DDH65509 CTL65509 CJP65509 BZT65509 BPX65509 BGB65509 AWF65509 AMJ65509 ACN65509 SR65509 IV65509 WVH7 WLL7 WBP7 VRT7 VHX7 UYB7 UOF7 UEJ7 TUN7 TKR7 TAV7 SQZ7 SHD7 RXH7 RNL7 RDP7 QTT7 QJX7 QAB7 PQF7 PGJ7 OWN7 OMR7 OCV7 NSZ7 NJD7 MZH7 MPL7 MFP7 LVT7 LLX7 LCB7 KSF7 KIJ7 JYN7 JOR7 JEV7 IUZ7 ILD7 IBH7 HRL7 HHP7 GXT7 GNX7 GEB7 FUF7 FKJ7 FAN7 EQR7 EGV7 DWZ7 DND7 DDH7 CTL7 CJP7 BZT7 BPX7 BGB7 AWF7 AMJ7 ACN7 SR7" xr:uid="{00000000-0002-0000-3200-000001000000}">
      <formula1>$C$7:$F$7</formula1>
    </dataValidation>
    <dataValidation type="list" allowBlank="1" showInputMessage="1" showErrorMessage="1" sqref="WVH10 H10 SR10 ACN10 AMJ10 AWF10 BGB10 BPX10 BZT10 CJP10 CTL10 DDH10 DND10 DWZ10 EGV10 EQR10 FAN10 FKJ10 FUF10 GEB10 GNX10 GXT10 HHP10 HRL10 IBH10 ILD10 IUZ10 JEV10 JOR10 JYN10 KIJ10 KSF10 LCB10 LLX10 LVT10 MFP10 MPL10 MZH10 NJD10 NSZ10 OCV10 OMR10 OWN10 PGJ10 PQF10 QAB10 QJX10 QTT10 RDP10 RNL10 RXH10 SHD10 SQZ10 TAV10 TKR10 TUN10 UEJ10 UOF10 UYB10 VHX10 VRT10 WBP10 WLL10 IV65511 SR65511 ACN65511 AMJ65511 AWF65511 BGB65511 BPX65511 BZT65511 CJP65511 CTL65511 DDH65511 DND65511 DWZ65511 EGV65511 EQR65511 FAN65511 FKJ65511 FUF65511 GEB65511 GNX65511 GXT65511 HHP65511 HRL65511 IBH65511 ILD65511 IUZ65511 JEV65511 JOR65511 JYN65511 KIJ65511 KSF65511 LCB65511 LLX65511 LVT65511 MFP65511 MPL65511 MZH65511 NJD65511 NSZ65511 OCV65511 OMR65511 OWN65511 PGJ65511 PQF65511 QAB65511 QJX65511 QTT65511 RDP65511 RNL65511 RXH65511 SHD65511 SQZ65511 TAV65511 TKR65511 TUN65511 UEJ65511 UOF65511 UYB65511 VHX65511 VRT65511 WBP65511 WLL65511 WVH65511 IV131047 SR131047 ACN131047 AMJ131047 AWF131047 BGB131047 BPX131047 BZT131047 CJP131047 CTL131047 DDH131047 DND131047 DWZ131047 EGV131047 EQR131047 FAN131047 FKJ131047 FUF131047 GEB131047 GNX131047 GXT131047 HHP131047 HRL131047 IBH131047 ILD131047 IUZ131047 JEV131047 JOR131047 JYN131047 KIJ131047 KSF131047 LCB131047 LLX131047 LVT131047 MFP131047 MPL131047 MZH131047 NJD131047 NSZ131047 OCV131047 OMR131047 OWN131047 PGJ131047 PQF131047 QAB131047 QJX131047 QTT131047 RDP131047 RNL131047 RXH131047 SHD131047 SQZ131047 TAV131047 TKR131047 TUN131047 UEJ131047 UOF131047 UYB131047 VHX131047 VRT131047 WBP131047 WLL131047 WVH131047 IV196583 SR196583 ACN196583 AMJ196583 AWF196583 BGB196583 BPX196583 BZT196583 CJP196583 CTL196583 DDH196583 DND196583 DWZ196583 EGV196583 EQR196583 FAN196583 FKJ196583 FUF196583 GEB196583 GNX196583 GXT196583 HHP196583 HRL196583 IBH196583 ILD196583 IUZ196583 JEV196583 JOR196583 JYN196583 KIJ196583 KSF196583 LCB196583 LLX196583 LVT196583 MFP196583 MPL196583 MZH196583 NJD196583 NSZ196583 OCV196583 OMR196583 OWN196583 PGJ196583 PQF196583 QAB196583 QJX196583 QTT196583 RDP196583 RNL196583 RXH196583 SHD196583 SQZ196583 TAV196583 TKR196583 TUN196583 UEJ196583 UOF196583 UYB196583 VHX196583 VRT196583 WBP196583 WLL196583 WVH196583 IV262119 SR262119 ACN262119 AMJ262119 AWF262119 BGB262119 BPX262119 BZT262119 CJP262119 CTL262119 DDH262119 DND262119 DWZ262119 EGV262119 EQR262119 FAN262119 FKJ262119 FUF262119 GEB262119 GNX262119 GXT262119 HHP262119 HRL262119 IBH262119 ILD262119 IUZ262119 JEV262119 JOR262119 JYN262119 KIJ262119 KSF262119 LCB262119 LLX262119 LVT262119 MFP262119 MPL262119 MZH262119 NJD262119 NSZ262119 OCV262119 OMR262119 OWN262119 PGJ262119 PQF262119 QAB262119 QJX262119 QTT262119 RDP262119 RNL262119 RXH262119 SHD262119 SQZ262119 TAV262119 TKR262119 TUN262119 UEJ262119 UOF262119 UYB262119 VHX262119 VRT262119 WBP262119 WLL262119 WVH262119 IV327655 SR327655 ACN327655 AMJ327655 AWF327655 BGB327655 BPX327655 BZT327655 CJP327655 CTL327655 DDH327655 DND327655 DWZ327655 EGV327655 EQR327655 FAN327655 FKJ327655 FUF327655 GEB327655 GNX327655 GXT327655 HHP327655 HRL327655 IBH327655 ILD327655 IUZ327655 JEV327655 JOR327655 JYN327655 KIJ327655 KSF327655 LCB327655 LLX327655 LVT327655 MFP327655 MPL327655 MZH327655 NJD327655 NSZ327655 OCV327655 OMR327655 OWN327655 PGJ327655 PQF327655 QAB327655 QJX327655 QTT327655 RDP327655 RNL327655 RXH327655 SHD327655 SQZ327655 TAV327655 TKR327655 TUN327655 UEJ327655 UOF327655 UYB327655 VHX327655 VRT327655 WBP327655 WLL327655 WVH327655 IV393191 SR393191 ACN393191 AMJ393191 AWF393191 BGB393191 BPX393191 BZT393191 CJP393191 CTL393191 DDH393191 DND393191 DWZ393191 EGV393191 EQR393191 FAN393191 FKJ393191 FUF393191 GEB393191 GNX393191 GXT393191 HHP393191 HRL393191 IBH393191 ILD393191 IUZ393191 JEV393191 JOR393191 JYN393191 KIJ393191 KSF393191 LCB393191 LLX393191 LVT393191 MFP393191 MPL393191 MZH393191 NJD393191 NSZ393191 OCV393191 OMR393191 OWN393191 PGJ393191 PQF393191 QAB393191 QJX393191 QTT393191 RDP393191 RNL393191 RXH393191 SHD393191 SQZ393191 TAV393191 TKR393191 TUN393191 UEJ393191 UOF393191 UYB393191 VHX393191 VRT393191 WBP393191 WLL393191 WVH393191 IV458727 SR458727 ACN458727 AMJ458727 AWF458727 BGB458727 BPX458727 BZT458727 CJP458727 CTL458727 DDH458727 DND458727 DWZ458727 EGV458727 EQR458727 FAN458727 FKJ458727 FUF458727 GEB458727 GNX458727 GXT458727 HHP458727 HRL458727 IBH458727 ILD458727 IUZ458727 JEV458727 JOR458727 JYN458727 KIJ458727 KSF458727 LCB458727 LLX458727 LVT458727 MFP458727 MPL458727 MZH458727 NJD458727 NSZ458727 OCV458727 OMR458727 OWN458727 PGJ458727 PQF458727 QAB458727 QJX458727 QTT458727 RDP458727 RNL458727 RXH458727 SHD458727 SQZ458727 TAV458727 TKR458727 TUN458727 UEJ458727 UOF458727 UYB458727 VHX458727 VRT458727 WBP458727 WLL458727 WVH458727 IV524263 SR524263 ACN524263 AMJ524263 AWF524263 BGB524263 BPX524263 BZT524263 CJP524263 CTL524263 DDH524263 DND524263 DWZ524263 EGV524263 EQR524263 FAN524263 FKJ524263 FUF524263 GEB524263 GNX524263 GXT524263 HHP524263 HRL524263 IBH524263 ILD524263 IUZ524263 JEV524263 JOR524263 JYN524263 KIJ524263 KSF524263 LCB524263 LLX524263 LVT524263 MFP524263 MPL524263 MZH524263 NJD524263 NSZ524263 OCV524263 OMR524263 OWN524263 PGJ524263 PQF524263 QAB524263 QJX524263 QTT524263 RDP524263 RNL524263 RXH524263 SHD524263 SQZ524263 TAV524263 TKR524263 TUN524263 UEJ524263 UOF524263 UYB524263 VHX524263 VRT524263 WBP524263 WLL524263 WVH524263 IV589799 SR589799 ACN589799 AMJ589799 AWF589799 BGB589799 BPX589799 BZT589799 CJP589799 CTL589799 DDH589799 DND589799 DWZ589799 EGV589799 EQR589799 FAN589799 FKJ589799 FUF589799 GEB589799 GNX589799 GXT589799 HHP589799 HRL589799 IBH589799 ILD589799 IUZ589799 JEV589799 JOR589799 JYN589799 KIJ589799 KSF589799 LCB589799 LLX589799 LVT589799 MFP589799 MPL589799 MZH589799 NJD589799 NSZ589799 OCV589799 OMR589799 OWN589799 PGJ589799 PQF589799 QAB589799 QJX589799 QTT589799 RDP589799 RNL589799 RXH589799 SHD589799 SQZ589799 TAV589799 TKR589799 TUN589799 UEJ589799 UOF589799 UYB589799 VHX589799 VRT589799 WBP589799 WLL589799 WVH589799 IV655335 SR655335 ACN655335 AMJ655335 AWF655335 BGB655335 BPX655335 BZT655335 CJP655335 CTL655335 DDH655335 DND655335 DWZ655335 EGV655335 EQR655335 FAN655335 FKJ655335 FUF655335 GEB655335 GNX655335 GXT655335 HHP655335 HRL655335 IBH655335 ILD655335 IUZ655335 JEV655335 JOR655335 JYN655335 KIJ655335 KSF655335 LCB655335 LLX655335 LVT655335 MFP655335 MPL655335 MZH655335 NJD655335 NSZ655335 OCV655335 OMR655335 OWN655335 PGJ655335 PQF655335 QAB655335 QJX655335 QTT655335 RDP655335 RNL655335 RXH655335 SHD655335 SQZ655335 TAV655335 TKR655335 TUN655335 UEJ655335 UOF655335 UYB655335 VHX655335 VRT655335 WBP655335 WLL655335 WVH655335 IV720871 SR720871 ACN720871 AMJ720871 AWF720871 BGB720871 BPX720871 BZT720871 CJP720871 CTL720871 DDH720871 DND720871 DWZ720871 EGV720871 EQR720871 FAN720871 FKJ720871 FUF720871 GEB720871 GNX720871 GXT720871 HHP720871 HRL720871 IBH720871 ILD720871 IUZ720871 JEV720871 JOR720871 JYN720871 KIJ720871 KSF720871 LCB720871 LLX720871 LVT720871 MFP720871 MPL720871 MZH720871 NJD720871 NSZ720871 OCV720871 OMR720871 OWN720871 PGJ720871 PQF720871 QAB720871 QJX720871 QTT720871 RDP720871 RNL720871 RXH720871 SHD720871 SQZ720871 TAV720871 TKR720871 TUN720871 UEJ720871 UOF720871 UYB720871 VHX720871 VRT720871 WBP720871 WLL720871 WVH720871 IV786407 SR786407 ACN786407 AMJ786407 AWF786407 BGB786407 BPX786407 BZT786407 CJP786407 CTL786407 DDH786407 DND786407 DWZ786407 EGV786407 EQR786407 FAN786407 FKJ786407 FUF786407 GEB786407 GNX786407 GXT786407 HHP786407 HRL786407 IBH786407 ILD786407 IUZ786407 JEV786407 JOR786407 JYN786407 KIJ786407 KSF786407 LCB786407 LLX786407 LVT786407 MFP786407 MPL786407 MZH786407 NJD786407 NSZ786407 OCV786407 OMR786407 OWN786407 PGJ786407 PQF786407 QAB786407 QJX786407 QTT786407 RDP786407 RNL786407 RXH786407 SHD786407 SQZ786407 TAV786407 TKR786407 TUN786407 UEJ786407 UOF786407 UYB786407 VHX786407 VRT786407 WBP786407 WLL786407 WVH786407 IV851943 SR851943 ACN851943 AMJ851943 AWF851943 BGB851943 BPX851943 BZT851943 CJP851943 CTL851943 DDH851943 DND851943 DWZ851943 EGV851943 EQR851943 FAN851943 FKJ851943 FUF851943 GEB851943 GNX851943 GXT851943 HHP851943 HRL851943 IBH851943 ILD851943 IUZ851943 JEV851943 JOR851943 JYN851943 KIJ851943 KSF851943 LCB851943 LLX851943 LVT851943 MFP851943 MPL851943 MZH851943 NJD851943 NSZ851943 OCV851943 OMR851943 OWN851943 PGJ851943 PQF851943 QAB851943 QJX851943 QTT851943 RDP851943 RNL851943 RXH851943 SHD851943 SQZ851943 TAV851943 TKR851943 TUN851943 UEJ851943 UOF851943 UYB851943 VHX851943 VRT851943 WBP851943 WLL851943 WVH851943 IV917479 SR917479 ACN917479 AMJ917479 AWF917479 BGB917479 BPX917479 BZT917479 CJP917479 CTL917479 DDH917479 DND917479 DWZ917479 EGV917479 EQR917479 FAN917479 FKJ917479 FUF917479 GEB917479 GNX917479 GXT917479 HHP917479 HRL917479 IBH917479 ILD917479 IUZ917479 JEV917479 JOR917479 JYN917479 KIJ917479 KSF917479 LCB917479 LLX917479 LVT917479 MFP917479 MPL917479 MZH917479 NJD917479 NSZ917479 OCV917479 OMR917479 OWN917479 PGJ917479 PQF917479 QAB917479 QJX917479 QTT917479 RDP917479 RNL917479 RXH917479 SHD917479 SQZ917479 TAV917479 TKR917479 TUN917479 UEJ917479 UOF917479 UYB917479 VHX917479 VRT917479 WBP917479 WLL917479 WVH917479 IV983015 SR983015 ACN983015 AMJ983015 AWF983015 BGB983015 BPX983015 BZT983015 CJP983015 CTL983015 DDH983015 DND983015 DWZ983015 EGV983015 EQR983015 FAN983015 FKJ983015 FUF983015 GEB983015 GNX983015 GXT983015 HHP983015 HRL983015 IBH983015 ILD983015 IUZ983015 JEV983015 JOR983015 JYN983015 KIJ983015 KSF983015 LCB983015 LLX983015 LVT983015 MFP983015 MPL983015 MZH983015 NJD983015 NSZ983015 OCV983015 OMR983015 OWN983015 PGJ983015 PQF983015 QAB983015 QJX983015 QTT983015 RDP983015 RNL983015 RXH983015 SHD983015 SQZ983015 TAV983015 TKR983015 TUN983015 UEJ983015 UOF983015 UYB983015 VHX983015 VRT983015 WBP983015 WLL983015 WVH983015 H65511 IV10 H131047 H196583 H262119 H327655 H393191 H458727 H524263 H589799 H655335 H720871 H786407 H851943 H917479 H983015" xr:uid="{00000000-0002-0000-3200-000002000000}">
      <formula1>$C$10:$F$10</formula1>
    </dataValidation>
    <dataValidation type="list" allowBlank="1" showInputMessage="1" showErrorMessage="1" sqref="IV8:IV9 H983014 H917478 H851942 H786406 H720870 H655334 H589798 H524262 H458726 H393190 H327654 H262118 H196582 H131046 SR8:SR9 H65510 WVH983014 WLL983014 WBP983014 VRT983014 VHX983014 UYB983014 UOF983014 UEJ983014 TUN983014 TKR983014 TAV983014 SQZ983014 SHD983014 RXH983014 RNL983014 RDP983014 QTT983014 QJX983014 QAB983014 PQF983014 PGJ983014 OWN983014 OMR983014 OCV983014 NSZ983014 NJD983014 MZH983014 MPL983014 MFP983014 LVT983014 LLX983014 LCB983014 KSF983014 KIJ983014 JYN983014 JOR983014 JEV983014 IUZ983014 ILD983014 IBH983014 HRL983014 HHP983014 GXT983014 GNX983014 GEB983014 FUF983014 FKJ983014 FAN983014 EQR983014 EGV983014 DWZ983014 DND983014 DDH983014 CTL983014 CJP983014 BZT983014 BPX983014 BGB983014 AWF983014 AMJ983014 ACN983014 SR983014 IV983014 WVH917478 WLL917478 WBP917478 VRT917478 VHX917478 UYB917478 UOF917478 UEJ917478 TUN917478 TKR917478 TAV917478 SQZ917478 SHD917478 RXH917478 RNL917478 RDP917478 QTT917478 QJX917478 QAB917478 PQF917478 PGJ917478 OWN917478 OMR917478 OCV917478 NSZ917478 NJD917478 MZH917478 MPL917478 MFP917478 LVT917478 LLX917478 LCB917478 KSF917478 KIJ917478 JYN917478 JOR917478 JEV917478 IUZ917478 ILD917478 IBH917478 HRL917478 HHP917478 GXT917478 GNX917478 GEB917478 FUF917478 FKJ917478 FAN917478 EQR917478 EGV917478 DWZ917478 DND917478 DDH917478 CTL917478 CJP917478 BZT917478 BPX917478 BGB917478 AWF917478 AMJ917478 ACN917478 SR917478 IV917478 WVH851942 WLL851942 WBP851942 VRT851942 VHX851942 UYB851942 UOF851942 UEJ851942 TUN851942 TKR851942 TAV851942 SQZ851942 SHD851942 RXH851942 RNL851942 RDP851942 QTT851942 QJX851942 QAB851942 PQF851942 PGJ851942 OWN851942 OMR851942 OCV851942 NSZ851942 NJD851942 MZH851942 MPL851942 MFP851942 LVT851942 LLX851942 LCB851942 KSF851942 KIJ851942 JYN851942 JOR851942 JEV851942 IUZ851942 ILD851942 IBH851942 HRL851942 HHP851942 GXT851942 GNX851942 GEB851942 FUF851942 FKJ851942 FAN851942 EQR851942 EGV851942 DWZ851942 DND851942 DDH851942 CTL851942 CJP851942 BZT851942 BPX851942 BGB851942 AWF851942 AMJ851942 ACN851942 SR851942 IV851942 WVH786406 WLL786406 WBP786406 VRT786406 VHX786406 UYB786406 UOF786406 UEJ786406 TUN786406 TKR786406 TAV786406 SQZ786406 SHD786406 RXH786406 RNL786406 RDP786406 QTT786406 QJX786406 QAB786406 PQF786406 PGJ786406 OWN786406 OMR786406 OCV786406 NSZ786406 NJD786406 MZH786406 MPL786406 MFP786406 LVT786406 LLX786406 LCB786406 KSF786406 KIJ786406 JYN786406 JOR786406 JEV786406 IUZ786406 ILD786406 IBH786406 HRL786406 HHP786406 GXT786406 GNX786406 GEB786406 FUF786406 FKJ786406 FAN786406 EQR786406 EGV786406 DWZ786406 DND786406 DDH786406 CTL786406 CJP786406 BZT786406 BPX786406 BGB786406 AWF786406 AMJ786406 ACN786406 SR786406 IV786406 WVH720870 WLL720870 WBP720870 VRT720870 VHX720870 UYB720870 UOF720870 UEJ720870 TUN720870 TKR720870 TAV720870 SQZ720870 SHD720870 RXH720870 RNL720870 RDP720870 QTT720870 QJX720870 QAB720870 PQF720870 PGJ720870 OWN720870 OMR720870 OCV720870 NSZ720870 NJD720870 MZH720870 MPL720870 MFP720870 LVT720870 LLX720870 LCB720870 KSF720870 KIJ720870 JYN720870 JOR720870 JEV720870 IUZ720870 ILD720870 IBH720870 HRL720870 HHP720870 GXT720870 GNX720870 GEB720870 FUF720870 FKJ720870 FAN720870 EQR720870 EGV720870 DWZ720870 DND720870 DDH720870 CTL720870 CJP720870 BZT720870 BPX720870 BGB720870 AWF720870 AMJ720870 ACN720870 SR720870 IV720870 WVH655334 WLL655334 WBP655334 VRT655334 VHX655334 UYB655334 UOF655334 UEJ655334 TUN655334 TKR655334 TAV655334 SQZ655334 SHD655334 RXH655334 RNL655334 RDP655334 QTT655334 QJX655334 QAB655334 PQF655334 PGJ655334 OWN655334 OMR655334 OCV655334 NSZ655334 NJD655334 MZH655334 MPL655334 MFP655334 LVT655334 LLX655334 LCB655334 KSF655334 KIJ655334 JYN655334 JOR655334 JEV655334 IUZ655334 ILD655334 IBH655334 HRL655334 HHP655334 GXT655334 GNX655334 GEB655334 FUF655334 FKJ655334 FAN655334 EQR655334 EGV655334 DWZ655334 DND655334 DDH655334 CTL655334 CJP655334 BZT655334 BPX655334 BGB655334 AWF655334 AMJ655334 ACN655334 SR655334 IV655334 WVH589798 WLL589798 WBP589798 VRT589798 VHX589798 UYB589798 UOF589798 UEJ589798 TUN589798 TKR589798 TAV589798 SQZ589798 SHD589798 RXH589798 RNL589798 RDP589798 QTT589798 QJX589798 QAB589798 PQF589798 PGJ589798 OWN589798 OMR589798 OCV589798 NSZ589798 NJD589798 MZH589798 MPL589798 MFP589798 LVT589798 LLX589798 LCB589798 KSF589798 KIJ589798 JYN589798 JOR589798 JEV589798 IUZ589798 ILD589798 IBH589798 HRL589798 HHP589798 GXT589798 GNX589798 GEB589798 FUF589798 FKJ589798 FAN589798 EQR589798 EGV589798 DWZ589798 DND589798 DDH589798 CTL589798 CJP589798 BZT589798 BPX589798 BGB589798 AWF589798 AMJ589798 ACN589798 SR589798 IV589798 WVH524262 WLL524262 WBP524262 VRT524262 VHX524262 UYB524262 UOF524262 UEJ524262 TUN524262 TKR524262 TAV524262 SQZ524262 SHD524262 RXH524262 RNL524262 RDP524262 QTT524262 QJX524262 QAB524262 PQF524262 PGJ524262 OWN524262 OMR524262 OCV524262 NSZ524262 NJD524262 MZH524262 MPL524262 MFP524262 LVT524262 LLX524262 LCB524262 KSF524262 KIJ524262 JYN524262 JOR524262 JEV524262 IUZ524262 ILD524262 IBH524262 HRL524262 HHP524262 GXT524262 GNX524262 GEB524262 FUF524262 FKJ524262 FAN524262 EQR524262 EGV524262 DWZ524262 DND524262 DDH524262 CTL524262 CJP524262 BZT524262 BPX524262 BGB524262 AWF524262 AMJ524262 ACN524262 SR524262 IV524262 WVH458726 WLL458726 WBP458726 VRT458726 VHX458726 UYB458726 UOF458726 UEJ458726 TUN458726 TKR458726 TAV458726 SQZ458726 SHD458726 RXH458726 RNL458726 RDP458726 QTT458726 QJX458726 QAB458726 PQF458726 PGJ458726 OWN458726 OMR458726 OCV458726 NSZ458726 NJD458726 MZH458726 MPL458726 MFP458726 LVT458726 LLX458726 LCB458726 KSF458726 KIJ458726 JYN458726 JOR458726 JEV458726 IUZ458726 ILD458726 IBH458726 HRL458726 HHP458726 GXT458726 GNX458726 GEB458726 FUF458726 FKJ458726 FAN458726 EQR458726 EGV458726 DWZ458726 DND458726 DDH458726 CTL458726 CJP458726 BZT458726 BPX458726 BGB458726 AWF458726 AMJ458726 ACN458726 SR458726 IV458726 WVH393190 WLL393190 WBP393190 VRT393190 VHX393190 UYB393190 UOF393190 UEJ393190 TUN393190 TKR393190 TAV393190 SQZ393190 SHD393190 RXH393190 RNL393190 RDP393190 QTT393190 QJX393190 QAB393190 PQF393190 PGJ393190 OWN393190 OMR393190 OCV393190 NSZ393190 NJD393190 MZH393190 MPL393190 MFP393190 LVT393190 LLX393190 LCB393190 KSF393190 KIJ393190 JYN393190 JOR393190 JEV393190 IUZ393190 ILD393190 IBH393190 HRL393190 HHP393190 GXT393190 GNX393190 GEB393190 FUF393190 FKJ393190 FAN393190 EQR393190 EGV393190 DWZ393190 DND393190 DDH393190 CTL393190 CJP393190 BZT393190 BPX393190 BGB393190 AWF393190 AMJ393190 ACN393190 SR393190 IV393190 WVH327654 WLL327654 WBP327654 VRT327654 VHX327654 UYB327654 UOF327654 UEJ327654 TUN327654 TKR327654 TAV327654 SQZ327654 SHD327654 RXH327654 RNL327654 RDP327654 QTT327654 QJX327654 QAB327654 PQF327654 PGJ327654 OWN327654 OMR327654 OCV327654 NSZ327654 NJD327654 MZH327654 MPL327654 MFP327654 LVT327654 LLX327654 LCB327654 KSF327654 KIJ327654 JYN327654 JOR327654 JEV327654 IUZ327654 ILD327654 IBH327654 HRL327654 HHP327654 GXT327654 GNX327654 GEB327654 FUF327654 FKJ327654 FAN327654 EQR327654 EGV327654 DWZ327654 DND327654 DDH327654 CTL327654 CJP327654 BZT327654 BPX327654 BGB327654 AWF327654 AMJ327654 ACN327654 SR327654 IV327654 WVH262118 WLL262118 WBP262118 VRT262118 VHX262118 UYB262118 UOF262118 UEJ262118 TUN262118 TKR262118 TAV262118 SQZ262118 SHD262118 RXH262118 RNL262118 RDP262118 QTT262118 QJX262118 QAB262118 PQF262118 PGJ262118 OWN262118 OMR262118 OCV262118 NSZ262118 NJD262118 MZH262118 MPL262118 MFP262118 LVT262118 LLX262118 LCB262118 KSF262118 KIJ262118 JYN262118 JOR262118 JEV262118 IUZ262118 ILD262118 IBH262118 HRL262118 HHP262118 GXT262118 GNX262118 GEB262118 FUF262118 FKJ262118 FAN262118 EQR262118 EGV262118 DWZ262118 DND262118 DDH262118 CTL262118 CJP262118 BZT262118 BPX262118 BGB262118 AWF262118 AMJ262118 ACN262118 SR262118 IV262118 WVH196582 WLL196582 WBP196582 VRT196582 VHX196582 UYB196582 UOF196582 UEJ196582 TUN196582 TKR196582 TAV196582 SQZ196582 SHD196582 RXH196582 RNL196582 RDP196582 QTT196582 QJX196582 QAB196582 PQF196582 PGJ196582 OWN196582 OMR196582 OCV196582 NSZ196582 NJD196582 MZH196582 MPL196582 MFP196582 LVT196582 LLX196582 LCB196582 KSF196582 KIJ196582 JYN196582 JOR196582 JEV196582 IUZ196582 ILD196582 IBH196582 HRL196582 HHP196582 GXT196582 GNX196582 GEB196582 FUF196582 FKJ196582 FAN196582 EQR196582 EGV196582 DWZ196582 DND196582 DDH196582 CTL196582 CJP196582 BZT196582 BPX196582 BGB196582 AWF196582 AMJ196582 ACN196582 SR196582 IV196582 WVH131046 WLL131046 WBP131046 VRT131046 VHX131046 UYB131046 UOF131046 UEJ131046 TUN131046 TKR131046 TAV131046 SQZ131046 SHD131046 RXH131046 RNL131046 RDP131046 QTT131046 QJX131046 QAB131046 PQF131046 PGJ131046 OWN131046 OMR131046 OCV131046 NSZ131046 NJD131046 MZH131046 MPL131046 MFP131046 LVT131046 LLX131046 LCB131046 KSF131046 KIJ131046 JYN131046 JOR131046 JEV131046 IUZ131046 ILD131046 IBH131046 HRL131046 HHP131046 GXT131046 GNX131046 GEB131046 FUF131046 FKJ131046 FAN131046 EQR131046 EGV131046 DWZ131046 DND131046 DDH131046 CTL131046 CJP131046 BZT131046 BPX131046 BGB131046 AWF131046 AMJ131046 ACN131046 SR131046 IV131046 WVH65510 WLL65510 WBP65510 VRT65510 VHX65510 UYB65510 UOF65510 UEJ65510 TUN65510 TKR65510 TAV65510 SQZ65510 SHD65510 RXH65510 RNL65510 RDP65510 QTT65510 QJX65510 QAB65510 PQF65510 PGJ65510 OWN65510 OMR65510 OCV65510 NSZ65510 NJD65510 MZH65510 MPL65510 MFP65510 LVT65510 LLX65510 LCB65510 KSF65510 KIJ65510 JYN65510 JOR65510 JEV65510 IUZ65510 ILD65510 IBH65510 HRL65510 HHP65510 GXT65510 GNX65510 GEB65510 FUF65510 FKJ65510 FAN65510 EQR65510 EGV65510 DWZ65510 DND65510 DDH65510 CTL65510 CJP65510 BZT65510 BPX65510 BGB65510 AWF65510 AMJ65510 ACN65510 SR65510 IV65510 WVH8:WVH9 WLL8:WLL9 WBP8:WBP9 VRT8:VRT9 VHX8:VHX9 UYB8:UYB9 UOF8:UOF9 UEJ8:UEJ9 TUN8:TUN9 TKR8:TKR9 TAV8:TAV9 SQZ8:SQZ9 SHD8:SHD9 RXH8:RXH9 RNL8:RNL9 RDP8:RDP9 QTT8:QTT9 QJX8:QJX9 QAB8:QAB9 PQF8:PQF9 PGJ8:PGJ9 OWN8:OWN9 OMR8:OMR9 OCV8:OCV9 NSZ8:NSZ9 NJD8:NJD9 MZH8:MZH9 MPL8:MPL9 MFP8:MFP9 LVT8:LVT9 LLX8:LLX9 LCB8:LCB9 KSF8:KSF9 KIJ8:KIJ9 JYN8:JYN9 JOR8:JOR9 JEV8:JEV9 IUZ8:IUZ9 ILD8:ILD9 IBH8:IBH9 HRL8:HRL9 HHP8:HHP9 GXT8:GXT9 GNX8:GNX9 GEB8:GEB9 FUF8:FUF9 FKJ8:FKJ9 FAN8:FAN9 EQR8:EQR9 EGV8:EGV9 DWZ8:DWZ9 DND8:DND9 DDH8:DDH9 CTL8:CTL9 CJP8:CJP9 BZT8:BZT9 BPX8:BPX9 BGB8:BGB9 AWF8:AWF9 AMJ8:AMJ9 ACN8:ACN9 H8" xr:uid="{00000000-0002-0000-3200-000003000000}">
      <formula1>$C$8:$F$8</formula1>
    </dataValidation>
    <dataValidation type="list" allowBlank="1" showInputMessage="1" showErrorMessage="1" sqref="JA7 C917477:D917477 C851941:D851941 C786405:D786405 C720869:D720869 C655333:D655333 C589797:D589797 C524261:D524261 C458725:D458725 C393189:D393189 C327653:D327653 C262117:D262117 C196581:D196581 C131045:D131045 C65509:D65509 C983013:D983013 WVC983013:WVD983013 WLG983013:WLH983013 WBK983013:WBL983013 VRO983013:VRP983013 VHS983013:VHT983013 UXW983013:UXX983013 UOA983013:UOB983013 UEE983013:UEF983013 TUI983013:TUJ983013 TKM983013:TKN983013 TAQ983013:TAR983013 SQU983013:SQV983013 SGY983013:SGZ983013 RXC983013:RXD983013 RNG983013:RNH983013 RDK983013:RDL983013 QTO983013:QTP983013 QJS983013:QJT983013 PZW983013:PZX983013 PQA983013:PQB983013 PGE983013:PGF983013 OWI983013:OWJ983013 OMM983013:OMN983013 OCQ983013:OCR983013 NSU983013:NSV983013 NIY983013:NIZ983013 MZC983013:MZD983013 MPG983013:MPH983013 MFK983013:MFL983013 LVO983013:LVP983013 LLS983013:LLT983013 LBW983013:LBX983013 KSA983013:KSB983013 KIE983013:KIF983013 JYI983013:JYJ983013 JOM983013:JON983013 JEQ983013:JER983013 IUU983013:IUV983013 IKY983013:IKZ983013 IBC983013:IBD983013 HRG983013:HRH983013 HHK983013:HHL983013 GXO983013:GXP983013 GNS983013:GNT983013 GDW983013:GDX983013 FUA983013:FUB983013 FKE983013:FKF983013 FAI983013:FAJ983013 EQM983013:EQN983013 EGQ983013:EGR983013 DWU983013:DWV983013 DMY983013:DMZ983013 DDC983013:DDD983013 CTG983013:CTH983013 CJK983013:CJL983013 BZO983013:BZP983013 BPS983013:BPT983013 BFW983013:BFX983013 AWA983013:AWB983013 AME983013:AMF983013 ACI983013:ACJ983013 SM983013:SN983013 IQ983013:IR983013 WVC917477:WVD917477 WLG917477:WLH917477 WBK917477:WBL917477 VRO917477:VRP917477 VHS917477:VHT917477 UXW917477:UXX917477 UOA917477:UOB917477 UEE917477:UEF917477 TUI917477:TUJ917477 TKM917477:TKN917477 TAQ917477:TAR917477 SQU917477:SQV917477 SGY917477:SGZ917477 RXC917477:RXD917477 RNG917477:RNH917477 RDK917477:RDL917477 QTO917477:QTP917477 QJS917477:QJT917477 PZW917477:PZX917477 PQA917477:PQB917477 PGE917477:PGF917477 OWI917477:OWJ917477 OMM917477:OMN917477 OCQ917477:OCR917477 NSU917477:NSV917477 NIY917477:NIZ917477 MZC917477:MZD917477 MPG917477:MPH917477 MFK917477:MFL917477 LVO917477:LVP917477 LLS917477:LLT917477 LBW917477:LBX917477 KSA917477:KSB917477 KIE917477:KIF917477 JYI917477:JYJ917477 JOM917477:JON917477 JEQ917477:JER917477 IUU917477:IUV917477 IKY917477:IKZ917477 IBC917477:IBD917477 HRG917477:HRH917477 HHK917477:HHL917477 GXO917477:GXP917477 GNS917477:GNT917477 GDW917477:GDX917477 FUA917477:FUB917477 FKE917477:FKF917477 FAI917477:FAJ917477 EQM917477:EQN917477 EGQ917477:EGR917477 DWU917477:DWV917477 DMY917477:DMZ917477 DDC917477:DDD917477 CTG917477:CTH917477 CJK917477:CJL917477 BZO917477:BZP917477 BPS917477:BPT917477 BFW917477:BFX917477 AWA917477:AWB917477 AME917477:AMF917477 ACI917477:ACJ917477 SM917477:SN917477 IQ917477:IR917477 WVC851941:WVD851941 WLG851941:WLH851941 WBK851941:WBL851941 VRO851941:VRP851941 VHS851941:VHT851941 UXW851941:UXX851941 UOA851941:UOB851941 UEE851941:UEF851941 TUI851941:TUJ851941 TKM851941:TKN851941 TAQ851941:TAR851941 SQU851941:SQV851941 SGY851941:SGZ851941 RXC851941:RXD851941 RNG851941:RNH851941 RDK851941:RDL851941 QTO851941:QTP851941 QJS851941:QJT851941 PZW851941:PZX851941 PQA851941:PQB851941 PGE851941:PGF851941 OWI851941:OWJ851941 OMM851941:OMN851941 OCQ851941:OCR851941 NSU851941:NSV851941 NIY851941:NIZ851941 MZC851941:MZD851941 MPG851941:MPH851941 MFK851941:MFL851941 LVO851941:LVP851941 LLS851941:LLT851941 LBW851941:LBX851941 KSA851941:KSB851941 KIE851941:KIF851941 JYI851941:JYJ851941 JOM851941:JON851941 JEQ851941:JER851941 IUU851941:IUV851941 IKY851941:IKZ851941 IBC851941:IBD851941 HRG851941:HRH851941 HHK851941:HHL851941 GXO851941:GXP851941 GNS851941:GNT851941 GDW851941:GDX851941 FUA851941:FUB851941 FKE851941:FKF851941 FAI851941:FAJ851941 EQM851941:EQN851941 EGQ851941:EGR851941 DWU851941:DWV851941 DMY851941:DMZ851941 DDC851941:DDD851941 CTG851941:CTH851941 CJK851941:CJL851941 BZO851941:BZP851941 BPS851941:BPT851941 BFW851941:BFX851941 AWA851941:AWB851941 AME851941:AMF851941 ACI851941:ACJ851941 SM851941:SN851941 IQ851941:IR851941 WVC786405:WVD786405 WLG786405:WLH786405 WBK786405:WBL786405 VRO786405:VRP786405 VHS786405:VHT786405 UXW786405:UXX786405 UOA786405:UOB786405 UEE786405:UEF786405 TUI786405:TUJ786405 TKM786405:TKN786405 TAQ786405:TAR786405 SQU786405:SQV786405 SGY786405:SGZ786405 RXC786405:RXD786405 RNG786405:RNH786405 RDK786405:RDL786405 QTO786405:QTP786405 QJS786405:QJT786405 PZW786405:PZX786405 PQA786405:PQB786405 PGE786405:PGF786405 OWI786405:OWJ786405 OMM786405:OMN786405 OCQ786405:OCR786405 NSU786405:NSV786405 NIY786405:NIZ786405 MZC786405:MZD786405 MPG786405:MPH786405 MFK786405:MFL786405 LVO786405:LVP786405 LLS786405:LLT786405 LBW786405:LBX786405 KSA786405:KSB786405 KIE786405:KIF786405 JYI786405:JYJ786405 JOM786405:JON786405 JEQ786405:JER786405 IUU786405:IUV786405 IKY786405:IKZ786405 IBC786405:IBD786405 HRG786405:HRH786405 HHK786405:HHL786405 GXO786405:GXP786405 GNS786405:GNT786405 GDW786405:GDX786405 FUA786405:FUB786405 FKE786405:FKF786405 FAI786405:FAJ786405 EQM786405:EQN786405 EGQ786405:EGR786405 DWU786405:DWV786405 DMY786405:DMZ786405 DDC786405:DDD786405 CTG786405:CTH786405 CJK786405:CJL786405 BZO786405:BZP786405 BPS786405:BPT786405 BFW786405:BFX786405 AWA786405:AWB786405 AME786405:AMF786405 ACI786405:ACJ786405 SM786405:SN786405 IQ786405:IR786405 WVC720869:WVD720869 WLG720869:WLH720869 WBK720869:WBL720869 VRO720869:VRP720869 VHS720869:VHT720869 UXW720869:UXX720869 UOA720869:UOB720869 UEE720869:UEF720869 TUI720869:TUJ720869 TKM720869:TKN720869 TAQ720869:TAR720869 SQU720869:SQV720869 SGY720869:SGZ720869 RXC720869:RXD720869 RNG720869:RNH720869 RDK720869:RDL720869 QTO720869:QTP720869 QJS720869:QJT720869 PZW720869:PZX720869 PQA720869:PQB720869 PGE720869:PGF720869 OWI720869:OWJ720869 OMM720869:OMN720869 OCQ720869:OCR720869 NSU720869:NSV720869 NIY720869:NIZ720869 MZC720869:MZD720869 MPG720869:MPH720869 MFK720869:MFL720869 LVO720869:LVP720869 LLS720869:LLT720869 LBW720869:LBX720869 KSA720869:KSB720869 KIE720869:KIF720869 JYI720869:JYJ720869 JOM720869:JON720869 JEQ720869:JER720869 IUU720869:IUV720869 IKY720869:IKZ720869 IBC720869:IBD720869 HRG720869:HRH720869 HHK720869:HHL720869 GXO720869:GXP720869 GNS720869:GNT720869 GDW720869:GDX720869 FUA720869:FUB720869 FKE720869:FKF720869 FAI720869:FAJ720869 EQM720869:EQN720869 EGQ720869:EGR720869 DWU720869:DWV720869 DMY720869:DMZ720869 DDC720869:DDD720869 CTG720869:CTH720869 CJK720869:CJL720869 BZO720869:BZP720869 BPS720869:BPT720869 BFW720869:BFX720869 AWA720869:AWB720869 AME720869:AMF720869 ACI720869:ACJ720869 SM720869:SN720869 IQ720869:IR720869 WVC655333:WVD655333 WLG655333:WLH655333 WBK655333:WBL655333 VRO655333:VRP655333 VHS655333:VHT655333 UXW655333:UXX655333 UOA655333:UOB655333 UEE655333:UEF655333 TUI655333:TUJ655333 TKM655333:TKN655333 TAQ655333:TAR655333 SQU655333:SQV655333 SGY655333:SGZ655333 RXC655333:RXD655333 RNG655333:RNH655333 RDK655333:RDL655333 QTO655333:QTP655333 QJS655333:QJT655333 PZW655333:PZX655333 PQA655333:PQB655333 PGE655333:PGF655333 OWI655333:OWJ655333 OMM655333:OMN655333 OCQ655333:OCR655333 NSU655333:NSV655333 NIY655333:NIZ655333 MZC655333:MZD655333 MPG655333:MPH655333 MFK655333:MFL655333 LVO655333:LVP655333 LLS655333:LLT655333 LBW655333:LBX655333 KSA655333:KSB655333 KIE655333:KIF655333 JYI655333:JYJ655333 JOM655333:JON655333 JEQ655333:JER655333 IUU655333:IUV655333 IKY655333:IKZ655333 IBC655333:IBD655333 HRG655333:HRH655333 HHK655333:HHL655333 GXO655333:GXP655333 GNS655333:GNT655333 GDW655333:GDX655333 FUA655333:FUB655333 FKE655333:FKF655333 FAI655333:FAJ655333 EQM655333:EQN655333 EGQ655333:EGR655333 DWU655333:DWV655333 DMY655333:DMZ655333 DDC655333:DDD655333 CTG655333:CTH655333 CJK655333:CJL655333 BZO655333:BZP655333 BPS655333:BPT655333 BFW655333:BFX655333 AWA655333:AWB655333 AME655333:AMF655333 ACI655333:ACJ655333 SM655333:SN655333 IQ655333:IR655333 WVC589797:WVD589797 WLG589797:WLH589797 WBK589797:WBL589797 VRO589797:VRP589797 VHS589797:VHT589797 UXW589797:UXX589797 UOA589797:UOB589797 UEE589797:UEF589797 TUI589797:TUJ589797 TKM589797:TKN589797 TAQ589797:TAR589797 SQU589797:SQV589797 SGY589797:SGZ589797 RXC589797:RXD589797 RNG589797:RNH589797 RDK589797:RDL589797 QTO589797:QTP589797 QJS589797:QJT589797 PZW589797:PZX589797 PQA589797:PQB589797 PGE589797:PGF589797 OWI589797:OWJ589797 OMM589797:OMN589797 OCQ589797:OCR589797 NSU589797:NSV589797 NIY589797:NIZ589797 MZC589797:MZD589797 MPG589797:MPH589797 MFK589797:MFL589797 LVO589797:LVP589797 LLS589797:LLT589797 LBW589797:LBX589797 KSA589797:KSB589797 KIE589797:KIF589797 JYI589797:JYJ589797 JOM589797:JON589797 JEQ589797:JER589797 IUU589797:IUV589797 IKY589797:IKZ589797 IBC589797:IBD589797 HRG589797:HRH589797 HHK589797:HHL589797 GXO589797:GXP589797 GNS589797:GNT589797 GDW589797:GDX589797 FUA589797:FUB589797 FKE589797:FKF589797 FAI589797:FAJ589797 EQM589797:EQN589797 EGQ589797:EGR589797 DWU589797:DWV589797 DMY589797:DMZ589797 DDC589797:DDD589797 CTG589797:CTH589797 CJK589797:CJL589797 BZO589797:BZP589797 BPS589797:BPT589797 BFW589797:BFX589797 AWA589797:AWB589797 AME589797:AMF589797 ACI589797:ACJ589797 SM589797:SN589797 IQ589797:IR589797 WVC524261:WVD524261 WLG524261:WLH524261 WBK524261:WBL524261 VRO524261:VRP524261 VHS524261:VHT524261 UXW524261:UXX524261 UOA524261:UOB524261 UEE524261:UEF524261 TUI524261:TUJ524261 TKM524261:TKN524261 TAQ524261:TAR524261 SQU524261:SQV524261 SGY524261:SGZ524261 RXC524261:RXD524261 RNG524261:RNH524261 RDK524261:RDL524261 QTO524261:QTP524261 QJS524261:QJT524261 PZW524261:PZX524261 PQA524261:PQB524261 PGE524261:PGF524261 OWI524261:OWJ524261 OMM524261:OMN524261 OCQ524261:OCR524261 NSU524261:NSV524261 NIY524261:NIZ524261 MZC524261:MZD524261 MPG524261:MPH524261 MFK524261:MFL524261 LVO524261:LVP524261 LLS524261:LLT524261 LBW524261:LBX524261 KSA524261:KSB524261 KIE524261:KIF524261 JYI524261:JYJ524261 JOM524261:JON524261 JEQ524261:JER524261 IUU524261:IUV524261 IKY524261:IKZ524261 IBC524261:IBD524261 HRG524261:HRH524261 HHK524261:HHL524261 GXO524261:GXP524261 GNS524261:GNT524261 GDW524261:GDX524261 FUA524261:FUB524261 FKE524261:FKF524261 FAI524261:FAJ524261 EQM524261:EQN524261 EGQ524261:EGR524261 DWU524261:DWV524261 DMY524261:DMZ524261 DDC524261:DDD524261 CTG524261:CTH524261 CJK524261:CJL524261 BZO524261:BZP524261 BPS524261:BPT524261 BFW524261:BFX524261 AWA524261:AWB524261 AME524261:AMF524261 ACI524261:ACJ524261 SM524261:SN524261 IQ524261:IR524261 WVC458725:WVD458725 WLG458725:WLH458725 WBK458725:WBL458725 VRO458725:VRP458725 VHS458725:VHT458725 UXW458725:UXX458725 UOA458725:UOB458725 UEE458725:UEF458725 TUI458725:TUJ458725 TKM458725:TKN458725 TAQ458725:TAR458725 SQU458725:SQV458725 SGY458725:SGZ458725 RXC458725:RXD458725 RNG458725:RNH458725 RDK458725:RDL458725 QTO458725:QTP458725 QJS458725:QJT458725 PZW458725:PZX458725 PQA458725:PQB458725 PGE458725:PGF458725 OWI458725:OWJ458725 OMM458725:OMN458725 OCQ458725:OCR458725 NSU458725:NSV458725 NIY458725:NIZ458725 MZC458725:MZD458725 MPG458725:MPH458725 MFK458725:MFL458725 LVO458725:LVP458725 LLS458725:LLT458725 LBW458725:LBX458725 KSA458725:KSB458725 KIE458725:KIF458725 JYI458725:JYJ458725 JOM458725:JON458725 JEQ458725:JER458725 IUU458725:IUV458725 IKY458725:IKZ458725 IBC458725:IBD458725 HRG458725:HRH458725 HHK458725:HHL458725 GXO458725:GXP458725 GNS458725:GNT458725 GDW458725:GDX458725 FUA458725:FUB458725 FKE458725:FKF458725 FAI458725:FAJ458725 EQM458725:EQN458725 EGQ458725:EGR458725 DWU458725:DWV458725 DMY458725:DMZ458725 DDC458725:DDD458725 CTG458725:CTH458725 CJK458725:CJL458725 BZO458725:BZP458725 BPS458725:BPT458725 BFW458725:BFX458725 AWA458725:AWB458725 AME458725:AMF458725 ACI458725:ACJ458725 SM458725:SN458725 IQ458725:IR458725 WVC393189:WVD393189 WLG393189:WLH393189 WBK393189:WBL393189 VRO393189:VRP393189 VHS393189:VHT393189 UXW393189:UXX393189 UOA393189:UOB393189 UEE393189:UEF393189 TUI393189:TUJ393189 TKM393189:TKN393189 TAQ393189:TAR393189 SQU393189:SQV393189 SGY393189:SGZ393189 RXC393189:RXD393189 RNG393189:RNH393189 RDK393189:RDL393189 QTO393189:QTP393189 QJS393189:QJT393189 PZW393189:PZX393189 PQA393189:PQB393189 PGE393189:PGF393189 OWI393189:OWJ393189 OMM393189:OMN393189 OCQ393189:OCR393189 NSU393189:NSV393189 NIY393189:NIZ393189 MZC393189:MZD393189 MPG393189:MPH393189 MFK393189:MFL393189 LVO393189:LVP393189 LLS393189:LLT393189 LBW393189:LBX393189 KSA393189:KSB393189 KIE393189:KIF393189 JYI393189:JYJ393189 JOM393189:JON393189 JEQ393189:JER393189 IUU393189:IUV393189 IKY393189:IKZ393189 IBC393189:IBD393189 HRG393189:HRH393189 HHK393189:HHL393189 GXO393189:GXP393189 GNS393189:GNT393189 GDW393189:GDX393189 FUA393189:FUB393189 FKE393189:FKF393189 FAI393189:FAJ393189 EQM393189:EQN393189 EGQ393189:EGR393189 DWU393189:DWV393189 DMY393189:DMZ393189 DDC393189:DDD393189 CTG393189:CTH393189 CJK393189:CJL393189 BZO393189:BZP393189 BPS393189:BPT393189 BFW393189:BFX393189 AWA393189:AWB393189 AME393189:AMF393189 ACI393189:ACJ393189 SM393189:SN393189 IQ393189:IR393189 WVC327653:WVD327653 WLG327653:WLH327653 WBK327653:WBL327653 VRO327653:VRP327653 VHS327653:VHT327653 UXW327653:UXX327653 UOA327653:UOB327653 UEE327653:UEF327653 TUI327653:TUJ327653 TKM327653:TKN327653 TAQ327653:TAR327653 SQU327653:SQV327653 SGY327653:SGZ327653 RXC327653:RXD327653 RNG327653:RNH327653 RDK327653:RDL327653 QTO327653:QTP327653 QJS327653:QJT327653 PZW327653:PZX327653 PQA327653:PQB327653 PGE327653:PGF327653 OWI327653:OWJ327653 OMM327653:OMN327653 OCQ327653:OCR327653 NSU327653:NSV327653 NIY327653:NIZ327653 MZC327653:MZD327653 MPG327653:MPH327653 MFK327653:MFL327653 LVO327653:LVP327653 LLS327653:LLT327653 LBW327653:LBX327653 KSA327653:KSB327653 KIE327653:KIF327653 JYI327653:JYJ327653 JOM327653:JON327653 JEQ327653:JER327653 IUU327653:IUV327653 IKY327653:IKZ327653 IBC327653:IBD327653 HRG327653:HRH327653 HHK327653:HHL327653 GXO327653:GXP327653 GNS327653:GNT327653 GDW327653:GDX327653 FUA327653:FUB327653 FKE327653:FKF327653 FAI327653:FAJ327653 EQM327653:EQN327653 EGQ327653:EGR327653 DWU327653:DWV327653 DMY327653:DMZ327653 DDC327653:DDD327653 CTG327653:CTH327653 CJK327653:CJL327653 BZO327653:BZP327653 BPS327653:BPT327653 BFW327653:BFX327653 AWA327653:AWB327653 AME327653:AMF327653 ACI327653:ACJ327653 SM327653:SN327653 IQ327653:IR327653 WVC262117:WVD262117 WLG262117:WLH262117 WBK262117:WBL262117 VRO262117:VRP262117 VHS262117:VHT262117 UXW262117:UXX262117 UOA262117:UOB262117 UEE262117:UEF262117 TUI262117:TUJ262117 TKM262117:TKN262117 TAQ262117:TAR262117 SQU262117:SQV262117 SGY262117:SGZ262117 RXC262117:RXD262117 RNG262117:RNH262117 RDK262117:RDL262117 QTO262117:QTP262117 QJS262117:QJT262117 PZW262117:PZX262117 PQA262117:PQB262117 PGE262117:PGF262117 OWI262117:OWJ262117 OMM262117:OMN262117 OCQ262117:OCR262117 NSU262117:NSV262117 NIY262117:NIZ262117 MZC262117:MZD262117 MPG262117:MPH262117 MFK262117:MFL262117 LVO262117:LVP262117 LLS262117:LLT262117 LBW262117:LBX262117 KSA262117:KSB262117 KIE262117:KIF262117 JYI262117:JYJ262117 JOM262117:JON262117 JEQ262117:JER262117 IUU262117:IUV262117 IKY262117:IKZ262117 IBC262117:IBD262117 HRG262117:HRH262117 HHK262117:HHL262117 GXO262117:GXP262117 GNS262117:GNT262117 GDW262117:GDX262117 FUA262117:FUB262117 FKE262117:FKF262117 FAI262117:FAJ262117 EQM262117:EQN262117 EGQ262117:EGR262117 DWU262117:DWV262117 DMY262117:DMZ262117 DDC262117:DDD262117 CTG262117:CTH262117 CJK262117:CJL262117 BZO262117:BZP262117 BPS262117:BPT262117 BFW262117:BFX262117 AWA262117:AWB262117 AME262117:AMF262117 ACI262117:ACJ262117 SM262117:SN262117 IQ262117:IR262117 WVC196581:WVD196581 WLG196581:WLH196581 WBK196581:WBL196581 VRO196581:VRP196581 VHS196581:VHT196581 UXW196581:UXX196581 UOA196581:UOB196581 UEE196581:UEF196581 TUI196581:TUJ196581 TKM196581:TKN196581 TAQ196581:TAR196581 SQU196581:SQV196581 SGY196581:SGZ196581 RXC196581:RXD196581 RNG196581:RNH196581 RDK196581:RDL196581 QTO196581:QTP196581 QJS196581:QJT196581 PZW196581:PZX196581 PQA196581:PQB196581 PGE196581:PGF196581 OWI196581:OWJ196581 OMM196581:OMN196581 OCQ196581:OCR196581 NSU196581:NSV196581 NIY196581:NIZ196581 MZC196581:MZD196581 MPG196581:MPH196581 MFK196581:MFL196581 LVO196581:LVP196581 LLS196581:LLT196581 LBW196581:LBX196581 KSA196581:KSB196581 KIE196581:KIF196581 JYI196581:JYJ196581 JOM196581:JON196581 JEQ196581:JER196581 IUU196581:IUV196581 IKY196581:IKZ196581 IBC196581:IBD196581 HRG196581:HRH196581 HHK196581:HHL196581 GXO196581:GXP196581 GNS196581:GNT196581 GDW196581:GDX196581 FUA196581:FUB196581 FKE196581:FKF196581 FAI196581:FAJ196581 EQM196581:EQN196581 EGQ196581:EGR196581 DWU196581:DWV196581 DMY196581:DMZ196581 DDC196581:DDD196581 CTG196581:CTH196581 CJK196581:CJL196581 BZO196581:BZP196581 BPS196581:BPT196581 BFW196581:BFX196581 AWA196581:AWB196581 AME196581:AMF196581 ACI196581:ACJ196581 SM196581:SN196581 IQ196581:IR196581 WVC131045:WVD131045 WLG131045:WLH131045 WBK131045:WBL131045 VRO131045:VRP131045 VHS131045:VHT131045 UXW131045:UXX131045 UOA131045:UOB131045 UEE131045:UEF131045 TUI131045:TUJ131045 TKM131045:TKN131045 TAQ131045:TAR131045 SQU131045:SQV131045 SGY131045:SGZ131045 RXC131045:RXD131045 RNG131045:RNH131045 RDK131045:RDL131045 QTO131045:QTP131045 QJS131045:QJT131045 PZW131045:PZX131045 PQA131045:PQB131045 PGE131045:PGF131045 OWI131045:OWJ131045 OMM131045:OMN131045 OCQ131045:OCR131045 NSU131045:NSV131045 NIY131045:NIZ131045 MZC131045:MZD131045 MPG131045:MPH131045 MFK131045:MFL131045 LVO131045:LVP131045 LLS131045:LLT131045 LBW131045:LBX131045 KSA131045:KSB131045 KIE131045:KIF131045 JYI131045:JYJ131045 JOM131045:JON131045 JEQ131045:JER131045 IUU131045:IUV131045 IKY131045:IKZ131045 IBC131045:IBD131045 HRG131045:HRH131045 HHK131045:HHL131045 GXO131045:GXP131045 GNS131045:GNT131045 GDW131045:GDX131045 FUA131045:FUB131045 FKE131045:FKF131045 FAI131045:FAJ131045 EQM131045:EQN131045 EGQ131045:EGR131045 DWU131045:DWV131045 DMY131045:DMZ131045 DDC131045:DDD131045 CTG131045:CTH131045 CJK131045:CJL131045 BZO131045:BZP131045 BPS131045:BPT131045 BFW131045:BFX131045 AWA131045:AWB131045 AME131045:AMF131045 ACI131045:ACJ131045 SM131045:SN131045 IQ131045:IR131045 WVC65509:WVD65509 WLG65509:WLH65509 WBK65509:WBL65509 VRO65509:VRP65509 VHS65509:VHT65509 UXW65509:UXX65509 UOA65509:UOB65509 UEE65509:UEF65509 TUI65509:TUJ65509 TKM65509:TKN65509 TAQ65509:TAR65509 SQU65509:SQV65509 SGY65509:SGZ65509 RXC65509:RXD65509 RNG65509:RNH65509 RDK65509:RDL65509 QTO65509:QTP65509 QJS65509:QJT65509 PZW65509:PZX65509 PQA65509:PQB65509 PGE65509:PGF65509 OWI65509:OWJ65509 OMM65509:OMN65509 OCQ65509:OCR65509 NSU65509:NSV65509 NIY65509:NIZ65509 MZC65509:MZD65509 MPG65509:MPH65509 MFK65509:MFL65509 LVO65509:LVP65509 LLS65509:LLT65509 LBW65509:LBX65509 KSA65509:KSB65509 KIE65509:KIF65509 JYI65509:JYJ65509 JOM65509:JON65509 JEQ65509:JER65509 IUU65509:IUV65509 IKY65509:IKZ65509 IBC65509:IBD65509 HRG65509:HRH65509 HHK65509:HHL65509 GXO65509:GXP65509 GNS65509:GNT65509 GDW65509:GDX65509 FUA65509:FUB65509 FKE65509:FKF65509 FAI65509:FAJ65509 EQM65509:EQN65509 EGQ65509:EGR65509 DWU65509:DWV65509 DMY65509:DMZ65509 DDC65509:DDD65509 CTG65509:CTH65509 CJK65509:CJL65509 BZO65509:BZP65509 BPS65509:BPT65509 BFW65509:BFX65509 AWA65509:AWB65509 AME65509:AMF65509 ACI65509:ACJ65509 SM65509:SN65509 IQ65509:IR65509 WVM983013 WLQ983013 WBU983013 VRY983013 VIC983013 UYG983013 UOK983013 UEO983013 TUS983013 TKW983013 TBA983013 SRE983013 SHI983013 RXM983013 RNQ983013 RDU983013 QTY983013 QKC983013 QAG983013 PQK983013 PGO983013 OWS983013 OMW983013 ODA983013 NTE983013 NJI983013 MZM983013 MPQ983013 MFU983013 LVY983013 LMC983013 LCG983013 KSK983013 KIO983013 JYS983013 JOW983013 JFA983013 IVE983013 ILI983013 IBM983013 HRQ983013 HHU983013 GXY983013 GOC983013 GEG983013 FUK983013 FKO983013 FAS983013 EQW983013 EHA983013 DXE983013 DNI983013 DDM983013 CTQ983013 CJU983013 BZY983013 BQC983013 BGG983013 AWK983013 AMO983013 ACS983013 SW983013 JA983013 WVM917477 WLQ917477 WBU917477 VRY917477 VIC917477 UYG917477 UOK917477 UEO917477 TUS917477 TKW917477 TBA917477 SRE917477 SHI917477 RXM917477 RNQ917477 RDU917477 QTY917477 QKC917477 QAG917477 PQK917477 PGO917477 OWS917477 OMW917477 ODA917477 NTE917477 NJI917477 MZM917477 MPQ917477 MFU917477 LVY917477 LMC917477 LCG917477 KSK917477 KIO917477 JYS917477 JOW917477 JFA917477 IVE917477 ILI917477 IBM917477 HRQ917477 HHU917477 GXY917477 GOC917477 GEG917477 FUK917477 FKO917477 FAS917477 EQW917477 EHA917477 DXE917477 DNI917477 DDM917477 CTQ917477 CJU917477 BZY917477 BQC917477 BGG917477 AWK917477 AMO917477 ACS917477 SW917477 JA917477 WVM851941 WLQ851941 WBU851941 VRY851941 VIC851941 UYG851941 UOK851941 UEO851941 TUS851941 TKW851941 TBA851941 SRE851941 SHI851941 RXM851941 RNQ851941 RDU851941 QTY851941 QKC851941 QAG851941 PQK851941 PGO851941 OWS851941 OMW851941 ODA851941 NTE851941 NJI851941 MZM851941 MPQ851941 MFU851941 LVY851941 LMC851941 LCG851941 KSK851941 KIO851941 JYS851941 JOW851941 JFA851941 IVE851941 ILI851941 IBM851941 HRQ851941 HHU851941 GXY851941 GOC851941 GEG851941 FUK851941 FKO851941 FAS851941 EQW851941 EHA851941 DXE851941 DNI851941 DDM851941 CTQ851941 CJU851941 BZY851941 BQC851941 BGG851941 AWK851941 AMO851941 ACS851941 SW851941 JA851941 WVM786405 WLQ786405 WBU786405 VRY786405 VIC786405 UYG786405 UOK786405 UEO786405 TUS786405 TKW786405 TBA786405 SRE786405 SHI786405 RXM786405 RNQ786405 RDU786405 QTY786405 QKC786405 QAG786405 PQK786405 PGO786405 OWS786405 OMW786405 ODA786405 NTE786405 NJI786405 MZM786405 MPQ786405 MFU786405 LVY786405 LMC786405 LCG786405 KSK786405 KIO786405 JYS786405 JOW786405 JFA786405 IVE786405 ILI786405 IBM786405 HRQ786405 HHU786405 GXY786405 GOC786405 GEG786405 FUK786405 FKO786405 FAS786405 EQW786405 EHA786405 DXE786405 DNI786405 DDM786405 CTQ786405 CJU786405 BZY786405 BQC786405 BGG786405 AWK786405 AMO786405 ACS786405 SW786405 JA786405 WVM720869 WLQ720869 WBU720869 VRY720869 VIC720869 UYG720869 UOK720869 UEO720869 TUS720869 TKW720869 TBA720869 SRE720869 SHI720869 RXM720869 RNQ720869 RDU720869 QTY720869 QKC720869 QAG720869 PQK720869 PGO720869 OWS720869 OMW720869 ODA720869 NTE720869 NJI720869 MZM720869 MPQ720869 MFU720869 LVY720869 LMC720869 LCG720869 KSK720869 KIO720869 JYS720869 JOW720869 JFA720869 IVE720869 ILI720869 IBM720869 HRQ720869 HHU720869 GXY720869 GOC720869 GEG720869 FUK720869 FKO720869 FAS720869 EQW720869 EHA720869 DXE720869 DNI720869 DDM720869 CTQ720869 CJU720869 BZY720869 BQC720869 BGG720869 AWK720869 AMO720869 ACS720869 SW720869 JA720869 WVM655333 WLQ655333 WBU655333 VRY655333 VIC655333 UYG655333 UOK655333 UEO655333 TUS655333 TKW655333 TBA655333 SRE655333 SHI655333 RXM655333 RNQ655333 RDU655333 QTY655333 QKC655333 QAG655333 PQK655333 PGO655333 OWS655333 OMW655333 ODA655333 NTE655333 NJI655333 MZM655333 MPQ655333 MFU655333 LVY655333 LMC655333 LCG655333 KSK655333 KIO655333 JYS655333 JOW655333 JFA655333 IVE655333 ILI655333 IBM655333 HRQ655333 HHU655333 GXY655333 GOC655333 GEG655333 FUK655333 FKO655333 FAS655333 EQW655333 EHA655333 DXE655333 DNI655333 DDM655333 CTQ655333 CJU655333 BZY655333 BQC655333 BGG655333 AWK655333 AMO655333 ACS655333 SW655333 JA655333 WVM589797 WLQ589797 WBU589797 VRY589797 VIC589797 UYG589797 UOK589797 UEO589797 TUS589797 TKW589797 TBA589797 SRE589797 SHI589797 RXM589797 RNQ589797 RDU589797 QTY589797 QKC589797 QAG589797 PQK589797 PGO589797 OWS589797 OMW589797 ODA589797 NTE589797 NJI589797 MZM589797 MPQ589797 MFU589797 LVY589797 LMC589797 LCG589797 KSK589797 KIO589797 JYS589797 JOW589797 JFA589797 IVE589797 ILI589797 IBM589797 HRQ589797 HHU589797 GXY589797 GOC589797 GEG589797 FUK589797 FKO589797 FAS589797 EQW589797 EHA589797 DXE589797 DNI589797 DDM589797 CTQ589797 CJU589797 BZY589797 BQC589797 BGG589797 AWK589797 AMO589797 ACS589797 SW589797 JA589797 WVM524261 WLQ524261 WBU524261 VRY524261 VIC524261 UYG524261 UOK524261 UEO524261 TUS524261 TKW524261 TBA524261 SRE524261 SHI524261 RXM524261 RNQ524261 RDU524261 QTY524261 QKC524261 QAG524261 PQK524261 PGO524261 OWS524261 OMW524261 ODA524261 NTE524261 NJI524261 MZM524261 MPQ524261 MFU524261 LVY524261 LMC524261 LCG524261 KSK524261 KIO524261 JYS524261 JOW524261 JFA524261 IVE524261 ILI524261 IBM524261 HRQ524261 HHU524261 GXY524261 GOC524261 GEG524261 FUK524261 FKO524261 FAS524261 EQW524261 EHA524261 DXE524261 DNI524261 DDM524261 CTQ524261 CJU524261 BZY524261 BQC524261 BGG524261 AWK524261 AMO524261 ACS524261 SW524261 JA524261 WVM458725 WLQ458725 WBU458725 VRY458725 VIC458725 UYG458725 UOK458725 UEO458725 TUS458725 TKW458725 TBA458725 SRE458725 SHI458725 RXM458725 RNQ458725 RDU458725 QTY458725 QKC458725 QAG458725 PQK458725 PGO458725 OWS458725 OMW458725 ODA458725 NTE458725 NJI458725 MZM458725 MPQ458725 MFU458725 LVY458725 LMC458725 LCG458725 KSK458725 KIO458725 JYS458725 JOW458725 JFA458725 IVE458725 ILI458725 IBM458725 HRQ458725 HHU458725 GXY458725 GOC458725 GEG458725 FUK458725 FKO458725 FAS458725 EQW458725 EHA458725 DXE458725 DNI458725 DDM458725 CTQ458725 CJU458725 BZY458725 BQC458725 BGG458725 AWK458725 AMO458725 ACS458725 SW458725 JA458725 WVM393189 WLQ393189 WBU393189 VRY393189 VIC393189 UYG393189 UOK393189 UEO393189 TUS393189 TKW393189 TBA393189 SRE393189 SHI393189 RXM393189 RNQ393189 RDU393189 QTY393189 QKC393189 QAG393189 PQK393189 PGO393189 OWS393189 OMW393189 ODA393189 NTE393189 NJI393189 MZM393189 MPQ393189 MFU393189 LVY393189 LMC393189 LCG393189 KSK393189 KIO393189 JYS393189 JOW393189 JFA393189 IVE393189 ILI393189 IBM393189 HRQ393189 HHU393189 GXY393189 GOC393189 GEG393189 FUK393189 FKO393189 FAS393189 EQW393189 EHA393189 DXE393189 DNI393189 DDM393189 CTQ393189 CJU393189 BZY393189 BQC393189 BGG393189 AWK393189 AMO393189 ACS393189 SW393189 JA393189 WVM327653 WLQ327653 WBU327653 VRY327653 VIC327653 UYG327653 UOK327653 UEO327653 TUS327653 TKW327653 TBA327653 SRE327653 SHI327653 RXM327653 RNQ327653 RDU327653 QTY327653 QKC327653 QAG327653 PQK327653 PGO327653 OWS327653 OMW327653 ODA327653 NTE327653 NJI327653 MZM327653 MPQ327653 MFU327653 LVY327653 LMC327653 LCG327653 KSK327653 KIO327653 JYS327653 JOW327653 JFA327653 IVE327653 ILI327653 IBM327653 HRQ327653 HHU327653 GXY327653 GOC327653 GEG327653 FUK327653 FKO327653 FAS327653 EQW327653 EHA327653 DXE327653 DNI327653 DDM327653 CTQ327653 CJU327653 BZY327653 BQC327653 BGG327653 AWK327653 AMO327653 ACS327653 SW327653 JA327653 WVM262117 WLQ262117 WBU262117 VRY262117 VIC262117 UYG262117 UOK262117 UEO262117 TUS262117 TKW262117 TBA262117 SRE262117 SHI262117 RXM262117 RNQ262117 RDU262117 QTY262117 QKC262117 QAG262117 PQK262117 PGO262117 OWS262117 OMW262117 ODA262117 NTE262117 NJI262117 MZM262117 MPQ262117 MFU262117 LVY262117 LMC262117 LCG262117 KSK262117 KIO262117 JYS262117 JOW262117 JFA262117 IVE262117 ILI262117 IBM262117 HRQ262117 HHU262117 GXY262117 GOC262117 GEG262117 FUK262117 FKO262117 FAS262117 EQW262117 EHA262117 DXE262117 DNI262117 DDM262117 CTQ262117 CJU262117 BZY262117 BQC262117 BGG262117 AWK262117 AMO262117 ACS262117 SW262117 JA262117 WVM196581 WLQ196581 WBU196581 VRY196581 VIC196581 UYG196581 UOK196581 UEO196581 TUS196581 TKW196581 TBA196581 SRE196581 SHI196581 RXM196581 RNQ196581 RDU196581 QTY196581 QKC196581 QAG196581 PQK196581 PGO196581 OWS196581 OMW196581 ODA196581 NTE196581 NJI196581 MZM196581 MPQ196581 MFU196581 LVY196581 LMC196581 LCG196581 KSK196581 KIO196581 JYS196581 JOW196581 JFA196581 IVE196581 ILI196581 IBM196581 HRQ196581 HHU196581 GXY196581 GOC196581 GEG196581 FUK196581 FKO196581 FAS196581 EQW196581 EHA196581 DXE196581 DNI196581 DDM196581 CTQ196581 CJU196581 BZY196581 BQC196581 BGG196581 AWK196581 AMO196581 ACS196581 SW196581 JA196581 WVM131045 WLQ131045 WBU131045 VRY131045 VIC131045 UYG131045 UOK131045 UEO131045 TUS131045 TKW131045 TBA131045 SRE131045 SHI131045 RXM131045 RNQ131045 RDU131045 QTY131045 QKC131045 QAG131045 PQK131045 PGO131045 OWS131045 OMW131045 ODA131045 NTE131045 NJI131045 MZM131045 MPQ131045 MFU131045 LVY131045 LMC131045 LCG131045 KSK131045 KIO131045 JYS131045 JOW131045 JFA131045 IVE131045 ILI131045 IBM131045 HRQ131045 HHU131045 GXY131045 GOC131045 GEG131045 FUK131045 FKO131045 FAS131045 EQW131045 EHA131045 DXE131045 DNI131045 DDM131045 CTQ131045 CJU131045 BZY131045 BQC131045 BGG131045 AWK131045 AMO131045 ACS131045 SW131045 JA131045 WVM65509 WLQ65509 WBU65509 VRY65509 VIC65509 UYG65509 UOK65509 UEO65509 TUS65509 TKW65509 TBA65509 SRE65509 SHI65509 RXM65509 RNQ65509 RDU65509 QTY65509 QKC65509 QAG65509 PQK65509 PGO65509 OWS65509 OMW65509 ODA65509 NTE65509 NJI65509 MZM65509 MPQ65509 MFU65509 LVY65509 LMC65509 LCG65509 KSK65509 KIO65509 JYS65509 JOW65509 JFA65509 IVE65509 ILI65509 IBM65509 HRQ65509 HHU65509 GXY65509 GOC65509 GEG65509 FUK65509 FKO65509 FAS65509 EQW65509 EHA65509 DXE65509 DNI65509 DDM65509 CTQ65509 CJU65509 BZY65509 BQC65509 BGG65509 AWK65509 AMO65509 ACS65509 SW65509 JA65509 WVC7:WVD7 WLG7:WLH7 WBK7:WBL7 VRO7:VRP7 VHS7:VHT7 UXW7:UXX7 UOA7:UOB7 UEE7:UEF7 TUI7:TUJ7 TKM7:TKN7 TAQ7:TAR7 SQU7:SQV7 SGY7:SGZ7 RXC7:RXD7 RNG7:RNH7 RDK7:RDL7 QTO7:QTP7 QJS7:QJT7 PZW7:PZX7 PQA7:PQB7 PGE7:PGF7 OWI7:OWJ7 OMM7:OMN7 OCQ7:OCR7 NSU7:NSV7 NIY7:NIZ7 MZC7:MZD7 MPG7:MPH7 MFK7:MFL7 LVO7:LVP7 LLS7:LLT7 LBW7:LBX7 KSA7:KSB7 KIE7:KIF7 JYI7:JYJ7 JOM7:JON7 JEQ7:JER7 IUU7:IUV7 IKY7:IKZ7 IBC7:IBD7 HRG7:HRH7 HHK7:HHL7 GXO7:GXP7 GNS7:GNT7 GDW7:GDX7 FUA7:FUB7 FKE7:FKF7 FAI7:FAJ7 EQM7:EQN7 EGQ7:EGR7 DWU7:DWV7 DMY7:DMZ7 DDC7:DDD7 CTG7:CTH7 CJK7:CJL7 BZO7:BZP7 BPS7:BPT7 BFW7:BFX7 AWA7:AWB7 AME7:AMF7 ACI7:ACJ7 SM7:SN7 IQ7:IR7 WVM7 WLQ7 WBU7 VRY7 VIC7 UYG7 UOK7 UEO7 TUS7 TKW7 TBA7 SRE7 SHI7 RXM7 RNQ7 RDU7 QTY7 QKC7 QAG7 PQK7 PGO7 OWS7 OMW7 ODA7 NTE7 NJI7 MZM7 MPQ7 MFU7 LVY7 LMC7 LCG7 KSK7 KIO7 JYS7 JOW7 JFA7 IVE7 ILI7 IBM7 HRQ7 HHU7 GXY7 GOC7 GEG7 FUK7 FKO7 FAS7 EQW7 EHA7 DXE7 DNI7 DDM7 CTQ7 CJU7 BZY7 BQC7 BGG7 AWK7 AMO7 ACS7 SW7" xr:uid="{00000000-0002-0000-3200-000004000000}">
      <formula1>$C$7:$E$7</formula1>
    </dataValidation>
    <dataValidation type="list" allowBlank="1" showInputMessage="1" showErrorMessage="1" sqref="H12" xr:uid="{00000000-0002-0000-3200-000005000000}">
      <formula1>$C$12:$F$12</formula1>
    </dataValidation>
    <dataValidation type="list" allowBlank="1" showInputMessage="1" showErrorMessage="1" sqref="H13" xr:uid="{00000000-0002-0000-3200-000006000000}">
      <formula1>$C$13:$F$13</formula1>
    </dataValidation>
    <dataValidation type="list" allowBlank="1" showInputMessage="1" showErrorMessage="1" sqref="H11" xr:uid="{00000000-0002-0000-3200-000007000000}">
      <formula1>$C$11:$F$11</formula1>
    </dataValidation>
    <dataValidation type="list" allowBlank="1" showInputMessage="1" showErrorMessage="1" sqref="H9" xr:uid="{00000000-0002-0000-3200-000008000000}">
      <formula1>$C$9:$F$9</formula1>
    </dataValidation>
  </dataValidations>
  <pageMargins left="0.7" right="0.7" top="0.75" bottom="0.75" header="0.3" footer="0.3"/>
  <pageSetup paperSize="9" scale="75"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9">
    <pageSetUpPr fitToPage="1"/>
  </sheetPr>
  <dimension ref="A1:S47"/>
  <sheetViews>
    <sheetView topLeftCell="A15" workbookViewId="0">
      <selection sqref="A1:F2"/>
    </sheetView>
  </sheetViews>
  <sheetFormatPr defaultColWidth="9.140625" defaultRowHeight="11.25" zeroHeight="1" x14ac:dyDescent="0.2"/>
  <cols>
    <col min="1" max="1" width="4.5703125" style="608" customWidth="1"/>
    <col min="2" max="2" width="16" style="608" customWidth="1"/>
    <col min="3" max="3" width="25.140625" style="608" customWidth="1"/>
    <col min="4" max="4" width="17.42578125" style="608" customWidth="1"/>
    <col min="5" max="5" width="18.5703125" style="608" customWidth="1"/>
    <col min="6" max="6" width="18.28515625" style="608" customWidth="1"/>
    <col min="7" max="7" width="18.140625" style="608" customWidth="1"/>
    <col min="8" max="8" width="11.28515625" style="608" customWidth="1"/>
    <col min="9" max="9" width="24" style="608" customWidth="1"/>
    <col min="10" max="10" width="9.140625" style="608" customWidth="1"/>
    <col min="11" max="13" width="9.140625" style="609"/>
    <col min="14" max="19" width="9.140625" style="610"/>
    <col min="20" max="16384" width="9.140625" style="608"/>
  </cols>
  <sheetData>
    <row r="1" spans="1:19" ht="12" thickBot="1" x14ac:dyDescent="0.25">
      <c r="A1" s="1263"/>
      <c r="B1" s="1263"/>
      <c r="C1" s="1263"/>
      <c r="D1" s="1263"/>
      <c r="E1" s="1263"/>
      <c r="F1" s="1263"/>
      <c r="G1" s="1263"/>
      <c r="H1" s="1263"/>
      <c r="I1" s="1263"/>
      <c r="J1" s="1263"/>
      <c r="K1" s="1264"/>
      <c r="L1" s="1264"/>
      <c r="M1" s="1264"/>
      <c r="N1" s="1265"/>
      <c r="O1" s="1265"/>
      <c r="P1" s="1265"/>
      <c r="Q1" s="1265"/>
      <c r="R1" s="1265"/>
      <c r="S1" s="1265"/>
    </row>
    <row r="2" spans="1:19" ht="15.75" x14ac:dyDescent="0.2">
      <c r="A2" s="1263"/>
      <c r="B2" s="2807" t="str">
        <f>'Borrower Details'!A2 &amp;" - Business Credit Rating Tool"</f>
        <v>Mortgage-Magnus-Unsecured - Business Credit Rating Tool</v>
      </c>
      <c r="C2" s="2808"/>
      <c r="D2" s="2808"/>
      <c r="E2" s="2808"/>
      <c r="F2" s="2808"/>
      <c r="G2" s="2808"/>
      <c r="H2" s="2808"/>
      <c r="I2" s="2808"/>
      <c r="J2" s="2809"/>
      <c r="K2" s="1264"/>
      <c r="L2" s="1264"/>
      <c r="M2" s="1264"/>
      <c r="N2" s="1265"/>
      <c r="O2" s="1265"/>
      <c r="P2" s="1265"/>
      <c r="Q2" s="1265"/>
      <c r="R2" s="1265"/>
      <c r="S2" s="1265"/>
    </row>
    <row r="3" spans="1:19" ht="12.75" customHeight="1" x14ac:dyDescent="0.2">
      <c r="A3" s="1263"/>
      <c r="B3" s="2818" t="s">
        <v>2502</v>
      </c>
      <c r="C3" s="2819"/>
      <c r="D3" s="2819"/>
      <c r="E3" s="2819"/>
      <c r="F3" s="2819"/>
      <c r="G3" s="2819"/>
      <c r="H3" s="2819"/>
      <c r="I3" s="2819"/>
      <c r="J3" s="2833"/>
      <c r="K3" s="1264"/>
      <c r="L3" s="1264"/>
      <c r="M3" s="1264"/>
      <c r="N3" s="1265"/>
      <c r="O3" s="1265"/>
      <c r="P3" s="1265"/>
      <c r="Q3" s="1265"/>
      <c r="R3" s="1265"/>
      <c r="S3" s="1265"/>
    </row>
    <row r="4" spans="1:19" ht="21.75" customHeight="1" x14ac:dyDescent="0.2">
      <c r="A4" s="1263"/>
      <c r="B4" s="1282" t="s">
        <v>840</v>
      </c>
      <c r="C4" s="1283"/>
      <c r="D4" s="2825" t="str">
        <f>'Borrower Details'!B8</f>
        <v>AARBUR</v>
      </c>
      <c r="E4" s="2825"/>
      <c r="F4" s="2825"/>
      <c r="G4" s="2825"/>
      <c r="H4" s="2825"/>
      <c r="I4" s="2825"/>
      <c r="J4" s="2826"/>
      <c r="K4" s="1264"/>
      <c r="L4" s="1264"/>
      <c r="M4" s="1264"/>
      <c r="N4" s="1265"/>
      <c r="O4" s="1265"/>
      <c r="P4" s="1265"/>
      <c r="Q4" s="1265"/>
      <c r="R4" s="1265"/>
      <c r="S4" s="1265"/>
    </row>
    <row r="5" spans="1:19" ht="14.25" customHeight="1" x14ac:dyDescent="0.2">
      <c r="A5" s="1263"/>
      <c r="B5" s="2827"/>
      <c r="C5" s="2828"/>
      <c r="D5" s="2828"/>
      <c r="E5" s="2828"/>
      <c r="F5" s="2828"/>
      <c r="G5" s="2828"/>
      <c r="H5" s="2828"/>
      <c r="I5" s="2828"/>
      <c r="J5" s="2829"/>
      <c r="K5" s="1264"/>
      <c r="L5" s="1264"/>
      <c r="M5" s="1264"/>
      <c r="N5" s="1265"/>
      <c r="O5" s="1265"/>
      <c r="P5" s="1265"/>
      <c r="Q5" s="1265"/>
      <c r="R5" s="1265"/>
      <c r="S5" s="1265"/>
    </row>
    <row r="6" spans="1:19" ht="47.25" customHeight="1" x14ac:dyDescent="0.2">
      <c r="A6" s="1263"/>
      <c r="B6" s="1256" t="s">
        <v>841</v>
      </c>
      <c r="C6" s="1257" t="s">
        <v>842</v>
      </c>
      <c r="D6" s="1257" t="s">
        <v>843</v>
      </c>
      <c r="E6" s="1257" t="s">
        <v>844</v>
      </c>
      <c r="F6" s="1258" t="s">
        <v>845</v>
      </c>
      <c r="G6" s="1257" t="s">
        <v>846</v>
      </c>
      <c r="H6" s="1267" t="s">
        <v>847</v>
      </c>
      <c r="I6" s="1257" t="s">
        <v>999</v>
      </c>
      <c r="J6" s="1284" t="s">
        <v>26</v>
      </c>
      <c r="K6" s="1264"/>
      <c r="L6" s="1264"/>
      <c r="M6" s="1264"/>
      <c r="N6" s="1265"/>
      <c r="O6" s="1265"/>
      <c r="P6" s="1265"/>
      <c r="Q6" s="1265"/>
      <c r="R6" s="1265"/>
      <c r="S6" s="1265"/>
    </row>
    <row r="7" spans="1:19" s="611" customFormat="1" ht="33.75" x14ac:dyDescent="0.2">
      <c r="A7" s="2830" t="s">
        <v>848</v>
      </c>
      <c r="B7" s="1260" t="s">
        <v>849</v>
      </c>
      <c r="C7" s="1261" t="s">
        <v>850</v>
      </c>
      <c r="D7" s="1261" t="s">
        <v>851</v>
      </c>
      <c r="E7" s="1261" t="s">
        <v>852</v>
      </c>
      <c r="F7" s="1261" t="s">
        <v>853</v>
      </c>
      <c r="G7" s="1261" t="s">
        <v>854</v>
      </c>
      <c r="H7" s="1269" t="s">
        <v>855</v>
      </c>
      <c r="I7" s="1270"/>
      <c r="J7" s="1279">
        <f t="shared" ref="J7:J31" si="0">IF(I7=D7,4,(IF(I7=E7,3,(IF(I7=F7,2,0)))))</f>
        <v>0</v>
      </c>
      <c r="K7" s="1287"/>
      <c r="L7" s="1287"/>
      <c r="M7" s="1287"/>
      <c r="N7" s="1288"/>
      <c r="O7" s="1288"/>
      <c r="P7" s="1288"/>
      <c r="Q7" s="1288"/>
      <c r="R7" s="1288"/>
      <c r="S7" s="1288"/>
    </row>
    <row r="8" spans="1:19" ht="27" customHeight="1" x14ac:dyDescent="0.2">
      <c r="A8" s="2830"/>
      <c r="B8" s="1260" t="s">
        <v>856</v>
      </c>
      <c r="C8" s="1261" t="s">
        <v>857</v>
      </c>
      <c r="D8" s="1261" t="s">
        <v>858</v>
      </c>
      <c r="E8" s="1261" t="s">
        <v>859</v>
      </c>
      <c r="F8" s="1261" t="s">
        <v>860</v>
      </c>
      <c r="G8" s="1261" t="s">
        <v>861</v>
      </c>
      <c r="H8" s="1269" t="s">
        <v>855</v>
      </c>
      <c r="I8" s="1270" t="s">
        <v>858</v>
      </c>
      <c r="J8" s="1279">
        <f t="shared" si="0"/>
        <v>4</v>
      </c>
      <c r="K8" s="1264"/>
      <c r="L8" s="1264"/>
      <c r="M8" s="1264"/>
      <c r="N8" s="1265"/>
      <c r="O8" s="1265"/>
      <c r="P8" s="1265"/>
      <c r="Q8" s="1265"/>
      <c r="R8" s="1265"/>
      <c r="S8" s="1265"/>
    </row>
    <row r="9" spans="1:19" ht="45" x14ac:dyDescent="0.2">
      <c r="A9" s="2830"/>
      <c r="B9" s="1260" t="s">
        <v>862</v>
      </c>
      <c r="C9" s="1261" t="s">
        <v>863</v>
      </c>
      <c r="D9" s="1261" t="s">
        <v>864</v>
      </c>
      <c r="E9" s="1261" t="s">
        <v>865</v>
      </c>
      <c r="F9" s="1261" t="s">
        <v>866</v>
      </c>
      <c r="G9" s="1261" t="s">
        <v>867</v>
      </c>
      <c r="H9" s="1269" t="s">
        <v>855</v>
      </c>
      <c r="I9" s="1270"/>
      <c r="J9" s="1279">
        <f t="shared" si="0"/>
        <v>0</v>
      </c>
      <c r="K9" s="1264"/>
      <c r="L9" s="1264"/>
      <c r="M9" s="1264"/>
      <c r="N9" s="1265"/>
      <c r="O9" s="1265"/>
      <c r="P9" s="1265"/>
      <c r="Q9" s="1265"/>
      <c r="R9" s="1265"/>
      <c r="S9" s="1265"/>
    </row>
    <row r="10" spans="1:19" ht="56.25" x14ac:dyDescent="0.2">
      <c r="A10" s="2830"/>
      <c r="B10" s="1260" t="s">
        <v>868</v>
      </c>
      <c r="C10" s="1261" t="s">
        <v>869</v>
      </c>
      <c r="D10" s="1261" t="s">
        <v>870</v>
      </c>
      <c r="E10" s="1261" t="s">
        <v>871</v>
      </c>
      <c r="F10" s="1261" t="s">
        <v>872</v>
      </c>
      <c r="G10" s="1261" t="s">
        <v>873</v>
      </c>
      <c r="H10" s="1269" t="s">
        <v>855</v>
      </c>
      <c r="I10" s="1270"/>
      <c r="J10" s="1279">
        <f t="shared" si="0"/>
        <v>0</v>
      </c>
      <c r="K10" s="1264"/>
      <c r="L10" s="1264"/>
      <c r="M10" s="1264"/>
      <c r="N10" s="1265"/>
      <c r="O10" s="1265"/>
      <c r="P10" s="1265"/>
      <c r="Q10" s="1265"/>
      <c r="R10" s="1265"/>
      <c r="S10" s="1265"/>
    </row>
    <row r="11" spans="1:19" ht="45" x14ac:dyDescent="0.2">
      <c r="A11" s="2830"/>
      <c r="B11" s="1260" t="s">
        <v>874</v>
      </c>
      <c r="C11" s="1261" t="s">
        <v>875</v>
      </c>
      <c r="D11" s="1261" t="s">
        <v>876</v>
      </c>
      <c r="E11" s="1261" t="s">
        <v>877</v>
      </c>
      <c r="F11" s="1261" t="s">
        <v>878</v>
      </c>
      <c r="G11" s="1261" t="s">
        <v>879</v>
      </c>
      <c r="H11" s="1269" t="s">
        <v>855</v>
      </c>
      <c r="I11" s="1270"/>
      <c r="J11" s="1279">
        <f t="shared" si="0"/>
        <v>0</v>
      </c>
      <c r="K11" s="1264"/>
      <c r="L11" s="1264"/>
      <c r="M11" s="1264"/>
      <c r="N11" s="1265"/>
      <c r="O11" s="1265"/>
      <c r="P11" s="1265"/>
      <c r="Q11" s="1265"/>
      <c r="R11" s="1265"/>
      <c r="S11" s="1265"/>
    </row>
    <row r="12" spans="1:19" ht="56.25" x14ac:dyDescent="0.2">
      <c r="A12" s="2830"/>
      <c r="B12" s="1260" t="s">
        <v>880</v>
      </c>
      <c r="C12" s="1261" t="s">
        <v>880</v>
      </c>
      <c r="D12" s="1261" t="s">
        <v>881</v>
      </c>
      <c r="E12" s="1261" t="s">
        <v>882</v>
      </c>
      <c r="F12" s="1261" t="s">
        <v>883</v>
      </c>
      <c r="G12" s="1261" t="s">
        <v>884</v>
      </c>
      <c r="H12" s="1269" t="s">
        <v>855</v>
      </c>
      <c r="I12" s="1270"/>
      <c r="J12" s="1279">
        <f t="shared" si="0"/>
        <v>0</v>
      </c>
      <c r="K12" s="1264"/>
      <c r="L12" s="1264"/>
      <c r="M12" s="1264"/>
      <c r="N12" s="1265"/>
      <c r="O12" s="1265"/>
      <c r="P12" s="1265"/>
      <c r="Q12" s="1265"/>
      <c r="R12" s="1265"/>
      <c r="S12" s="1265"/>
    </row>
    <row r="13" spans="1:19" ht="56.25" x14ac:dyDescent="0.2">
      <c r="A13" s="2830"/>
      <c r="B13" s="1285" t="s">
        <v>885</v>
      </c>
      <c r="C13" s="1261" t="s">
        <v>886</v>
      </c>
      <c r="D13" s="1261" t="s">
        <v>887</v>
      </c>
      <c r="E13" s="1261" t="s">
        <v>888</v>
      </c>
      <c r="F13" s="1261" t="s">
        <v>889</v>
      </c>
      <c r="G13" s="1261" t="s">
        <v>890</v>
      </c>
      <c r="H13" s="1269" t="s">
        <v>855</v>
      </c>
      <c r="I13" s="1270"/>
      <c r="J13" s="1279">
        <f t="shared" si="0"/>
        <v>0</v>
      </c>
      <c r="K13" s="1264"/>
      <c r="L13" s="1264"/>
      <c r="M13" s="1264"/>
      <c r="N13" s="1265"/>
      <c r="O13" s="1265"/>
      <c r="P13" s="1265"/>
      <c r="Q13" s="1265"/>
      <c r="R13" s="1265"/>
      <c r="S13" s="1265"/>
    </row>
    <row r="14" spans="1:19" ht="33.75" x14ac:dyDescent="0.2">
      <c r="A14" s="2830"/>
      <c r="B14" s="1260" t="s">
        <v>891</v>
      </c>
      <c r="C14" s="1261" t="s">
        <v>892</v>
      </c>
      <c r="D14" s="1261" t="s">
        <v>893</v>
      </c>
      <c r="E14" s="1261" t="s">
        <v>894</v>
      </c>
      <c r="F14" s="1261" t="s">
        <v>895</v>
      </c>
      <c r="G14" s="1261" t="s">
        <v>896</v>
      </c>
      <c r="H14" s="1269" t="s">
        <v>855</v>
      </c>
      <c r="I14" s="1270"/>
      <c r="J14" s="1279">
        <f t="shared" si="0"/>
        <v>0</v>
      </c>
      <c r="K14" s="1264"/>
      <c r="L14" s="1264"/>
      <c r="M14" s="1264"/>
      <c r="N14" s="1265"/>
      <c r="O14" s="1265"/>
      <c r="P14" s="1265"/>
      <c r="Q14" s="1265"/>
      <c r="R14" s="1265"/>
      <c r="S14" s="1265"/>
    </row>
    <row r="15" spans="1:19" ht="67.5" x14ac:dyDescent="0.2">
      <c r="A15" s="2830"/>
      <c r="B15" s="1260" t="s">
        <v>897</v>
      </c>
      <c r="C15" s="1261" t="s">
        <v>898</v>
      </c>
      <c r="D15" s="1261" t="s">
        <v>899</v>
      </c>
      <c r="E15" s="1261" t="s">
        <v>900</v>
      </c>
      <c r="F15" s="1261" t="s">
        <v>901</v>
      </c>
      <c r="G15" s="1261" t="s">
        <v>902</v>
      </c>
      <c r="H15" s="1269" t="s">
        <v>855</v>
      </c>
      <c r="I15" s="1270"/>
      <c r="J15" s="1279">
        <f t="shared" si="0"/>
        <v>0</v>
      </c>
      <c r="K15" s="1264"/>
      <c r="L15" s="1264"/>
      <c r="M15" s="1264"/>
      <c r="N15" s="1265"/>
      <c r="O15" s="1265"/>
      <c r="P15" s="1265"/>
      <c r="Q15" s="1265"/>
      <c r="R15" s="1265"/>
      <c r="S15" s="1265"/>
    </row>
    <row r="16" spans="1:19" ht="56.25" x14ac:dyDescent="0.2">
      <c r="A16" s="2830"/>
      <c r="B16" s="1285" t="s">
        <v>903</v>
      </c>
      <c r="C16" s="1261" t="s">
        <v>903</v>
      </c>
      <c r="D16" s="1261" t="s">
        <v>904</v>
      </c>
      <c r="E16" s="1261" t="s">
        <v>905</v>
      </c>
      <c r="F16" s="1261" t="s">
        <v>906</v>
      </c>
      <c r="G16" s="1261" t="s">
        <v>907</v>
      </c>
      <c r="H16" s="1269" t="s">
        <v>855</v>
      </c>
      <c r="I16" s="1270"/>
      <c r="J16" s="1279">
        <f t="shared" si="0"/>
        <v>0</v>
      </c>
      <c r="K16" s="2820" t="s">
        <v>1090</v>
      </c>
      <c r="L16" s="2821"/>
      <c r="M16" s="2821"/>
      <c r="N16" s="1265"/>
      <c r="O16" s="1265"/>
      <c r="P16" s="1265"/>
      <c r="Q16" s="1265"/>
      <c r="R16" s="1265"/>
      <c r="S16" s="1265"/>
    </row>
    <row r="17" spans="1:19" ht="27" customHeight="1" x14ac:dyDescent="0.2">
      <c r="A17" s="2831" t="s">
        <v>908</v>
      </c>
      <c r="B17" s="1260" t="s">
        <v>909</v>
      </c>
      <c r="C17" s="1261" t="s">
        <v>910</v>
      </c>
      <c r="D17" s="1261" t="s">
        <v>911</v>
      </c>
      <c r="E17" s="1261" t="s">
        <v>912</v>
      </c>
      <c r="F17" s="1261" t="s">
        <v>913</v>
      </c>
      <c r="G17" s="1261" t="s">
        <v>914</v>
      </c>
      <c r="H17" s="1269" t="s">
        <v>855</v>
      </c>
      <c r="I17" s="1270" t="s">
        <v>911</v>
      </c>
      <c r="J17" s="1279">
        <f t="shared" si="0"/>
        <v>4</v>
      </c>
      <c r="K17" s="1291">
        <f>(Financials_Consolidated!C11/Financials_Consolidated!D11)^(1/2)</f>
        <v>0.9333467424376074</v>
      </c>
      <c r="L17" s="1264"/>
      <c r="M17" s="1264"/>
      <c r="N17" s="1265"/>
      <c r="O17" s="1265"/>
      <c r="P17" s="1265"/>
      <c r="Q17" s="1265"/>
      <c r="R17" s="1265"/>
      <c r="S17" s="1265"/>
    </row>
    <row r="18" spans="1:19" ht="33.75" x14ac:dyDescent="0.2">
      <c r="A18" s="2832"/>
      <c r="B18" s="1260" t="s">
        <v>915</v>
      </c>
      <c r="C18" s="1261" t="s">
        <v>916</v>
      </c>
      <c r="D18" s="1261" t="s">
        <v>917</v>
      </c>
      <c r="E18" s="1261" t="s">
        <v>918</v>
      </c>
      <c r="F18" s="1261" t="s">
        <v>919</v>
      </c>
      <c r="G18" s="1261" t="s">
        <v>920</v>
      </c>
      <c r="H18" s="1269" t="s">
        <v>855</v>
      </c>
      <c r="I18" s="1270" t="s">
        <v>920</v>
      </c>
      <c r="J18" s="1279">
        <f t="shared" si="0"/>
        <v>0</v>
      </c>
      <c r="K18" s="1291">
        <f>Financials_Consolidated!C26</f>
        <v>-1.0766855778463393E-2</v>
      </c>
      <c r="L18" s="1291">
        <f>Financials_Consolidated!D26</f>
        <v>6.8433818891824705E-2</v>
      </c>
      <c r="M18" s="1291" t="e">
        <f>Financials_Consolidated!E26</f>
        <v>#DIV/0!</v>
      </c>
      <c r="N18" s="1265"/>
      <c r="O18" s="1265"/>
      <c r="P18" s="1265"/>
      <c r="Q18" s="1265"/>
      <c r="R18" s="1265"/>
      <c r="S18" s="1265"/>
    </row>
    <row r="19" spans="1:19" ht="22.5" x14ac:dyDescent="0.2">
      <c r="A19" s="2832"/>
      <c r="B19" s="1260" t="s">
        <v>921</v>
      </c>
      <c r="C19" s="1261" t="s">
        <v>922</v>
      </c>
      <c r="D19" s="1261" t="s">
        <v>917</v>
      </c>
      <c r="E19" s="1261" t="s">
        <v>918</v>
      </c>
      <c r="F19" s="1261" t="s">
        <v>919</v>
      </c>
      <c r="G19" s="1261" t="s">
        <v>920</v>
      </c>
      <c r="H19" s="1269" t="s">
        <v>855</v>
      </c>
      <c r="I19" s="1270" t="s">
        <v>920</v>
      </c>
      <c r="J19" s="1279">
        <f t="shared" si="0"/>
        <v>0</v>
      </c>
      <c r="K19" s="1291">
        <f>Financials_Consolidated!C21</f>
        <v>0.12100442626979405</v>
      </c>
      <c r="L19" s="1291">
        <f>Financials_Consolidated!D21</f>
        <v>0.18601974071821126</v>
      </c>
      <c r="M19" s="1291" t="e">
        <f>Financials_Consolidated!E21</f>
        <v>#DIV/0!</v>
      </c>
      <c r="N19" s="1265"/>
      <c r="O19" s="1265"/>
      <c r="P19" s="1265"/>
      <c r="Q19" s="1265"/>
      <c r="R19" s="1265"/>
      <c r="S19" s="1265"/>
    </row>
    <row r="20" spans="1:19" ht="22.5" x14ac:dyDescent="0.2">
      <c r="A20" s="2832"/>
      <c r="B20" s="1260" t="s">
        <v>923</v>
      </c>
      <c r="C20" s="1261" t="s">
        <v>924</v>
      </c>
      <c r="D20" s="1261" t="s">
        <v>917</v>
      </c>
      <c r="E20" s="1261" t="s">
        <v>918</v>
      </c>
      <c r="F20" s="1261" t="s">
        <v>919</v>
      </c>
      <c r="G20" s="1261" t="s">
        <v>920</v>
      </c>
      <c r="H20" s="1269" t="s">
        <v>855</v>
      </c>
      <c r="I20" s="1270" t="s">
        <v>920</v>
      </c>
      <c r="J20" s="1279">
        <f t="shared" si="0"/>
        <v>0</v>
      </c>
      <c r="K20" s="1291">
        <f>Financials_Consolidated!C37</f>
        <v>-0.11535617544889674</v>
      </c>
      <c r="L20" s="1291">
        <f>Financials_Consolidated!D37</f>
        <v>-3.4051325569107505E-2</v>
      </c>
      <c r="M20" s="1291" t="e">
        <f>Financials_Consolidated!E37</f>
        <v>#DIV/0!</v>
      </c>
      <c r="N20" s="1265"/>
      <c r="O20" s="1265"/>
      <c r="P20" s="1265"/>
      <c r="Q20" s="1265"/>
      <c r="R20" s="1265"/>
      <c r="S20" s="1265"/>
    </row>
    <row r="21" spans="1:19" ht="22.5" x14ac:dyDescent="0.2">
      <c r="A21" s="2832"/>
      <c r="B21" s="1260" t="s">
        <v>29</v>
      </c>
      <c r="C21" s="1261" t="s">
        <v>925</v>
      </c>
      <c r="D21" s="1261" t="s">
        <v>917</v>
      </c>
      <c r="E21" s="1261" t="s">
        <v>918</v>
      </c>
      <c r="F21" s="1261" t="s">
        <v>919</v>
      </c>
      <c r="G21" s="1261" t="s">
        <v>920</v>
      </c>
      <c r="H21" s="1269" t="s">
        <v>855</v>
      </c>
      <c r="I21" s="1270" t="s">
        <v>920</v>
      </c>
      <c r="J21" s="1279">
        <f t="shared" si="0"/>
        <v>0</v>
      </c>
      <c r="K21" s="1292">
        <f>Financials_Consolidated!C79</f>
        <v>3.1005624922484025</v>
      </c>
      <c r="L21" s="1292">
        <f>Financials_Consolidated!D79</f>
        <v>4.5887094023825545</v>
      </c>
      <c r="M21" s="1292" t="e">
        <f>Financials_Consolidated!E79</f>
        <v>#DIV/0!</v>
      </c>
      <c r="N21" s="1265"/>
      <c r="O21" s="1265"/>
      <c r="P21" s="1265"/>
      <c r="Q21" s="1265"/>
      <c r="R21" s="1265"/>
      <c r="S21" s="1265"/>
    </row>
    <row r="22" spans="1:19" ht="22.5" x14ac:dyDescent="0.2">
      <c r="A22" s="2832"/>
      <c r="B22" s="1260" t="s">
        <v>63</v>
      </c>
      <c r="C22" s="1261" t="s">
        <v>926</v>
      </c>
      <c r="D22" s="1261" t="s">
        <v>927</v>
      </c>
      <c r="E22" s="1261" t="s">
        <v>928</v>
      </c>
      <c r="F22" s="1261" t="s">
        <v>929</v>
      </c>
      <c r="G22" s="1261" t="s">
        <v>930</v>
      </c>
      <c r="H22" s="1269" t="s">
        <v>855</v>
      </c>
      <c r="I22" s="1270" t="s">
        <v>928</v>
      </c>
      <c r="J22" s="1279">
        <f t="shared" si="0"/>
        <v>3</v>
      </c>
      <c r="K22" s="1292">
        <f>Financials_Consolidated!C73</f>
        <v>1.5921441003862096</v>
      </c>
      <c r="L22" s="1289"/>
      <c r="M22" s="1289"/>
      <c r="N22" s="1265"/>
      <c r="O22" s="1265"/>
      <c r="P22" s="1265"/>
      <c r="Q22" s="1265"/>
      <c r="R22" s="1265"/>
      <c r="S22" s="1265"/>
    </row>
    <row r="23" spans="1:19" ht="33.75" x14ac:dyDescent="0.2">
      <c r="A23" s="2832"/>
      <c r="B23" s="1260" t="s">
        <v>931</v>
      </c>
      <c r="C23" s="1261" t="s">
        <v>916</v>
      </c>
      <c r="D23" s="1261" t="s">
        <v>932</v>
      </c>
      <c r="E23" s="1261" t="s">
        <v>933</v>
      </c>
      <c r="F23" s="1261" t="s">
        <v>934</v>
      </c>
      <c r="G23" s="1261" t="s">
        <v>935</v>
      </c>
      <c r="H23" s="1269" t="s">
        <v>855</v>
      </c>
      <c r="I23" s="1270" t="s">
        <v>933</v>
      </c>
      <c r="J23" s="1279">
        <f t="shared" si="0"/>
        <v>3</v>
      </c>
      <c r="K23" s="1292">
        <f>Financials_Consolidated!C76</f>
        <v>1.5171087651821129</v>
      </c>
      <c r="L23" s="1289"/>
      <c r="M23" s="1289"/>
      <c r="N23" s="1265"/>
      <c r="O23" s="1265"/>
      <c r="P23" s="1265"/>
      <c r="Q23" s="1265"/>
      <c r="R23" s="1265"/>
      <c r="S23" s="1265"/>
    </row>
    <row r="24" spans="1:19" x14ac:dyDescent="0.2">
      <c r="A24" s="2832"/>
      <c r="B24" s="1260" t="s">
        <v>16</v>
      </c>
      <c r="C24" s="1261" t="s">
        <v>936</v>
      </c>
      <c r="D24" s="1261" t="s">
        <v>932</v>
      </c>
      <c r="E24" s="1261" t="s">
        <v>937</v>
      </c>
      <c r="F24" s="1261" t="s">
        <v>938</v>
      </c>
      <c r="G24" s="1261" t="s">
        <v>939</v>
      </c>
      <c r="H24" s="1269" t="s">
        <v>855</v>
      </c>
      <c r="I24" s="1270" t="s">
        <v>937</v>
      </c>
      <c r="J24" s="1279">
        <f t="shared" si="0"/>
        <v>3</v>
      </c>
      <c r="K24" s="1292">
        <f>Financials_Consolidated!C74</f>
        <v>1.5171087651821129</v>
      </c>
      <c r="L24" s="1289"/>
      <c r="M24" s="1289"/>
      <c r="N24" s="1265"/>
      <c r="O24" s="1265"/>
      <c r="P24" s="1265"/>
      <c r="Q24" s="1265"/>
      <c r="R24" s="1265"/>
      <c r="S24" s="1265"/>
    </row>
    <row r="25" spans="1:19" ht="33.75" x14ac:dyDescent="0.2">
      <c r="A25" s="2832"/>
      <c r="B25" s="1260" t="s">
        <v>940</v>
      </c>
      <c r="C25" s="1261" t="s">
        <v>941</v>
      </c>
      <c r="D25" s="1261" t="s">
        <v>942</v>
      </c>
      <c r="E25" s="1261" t="s">
        <v>943</v>
      </c>
      <c r="F25" s="1261" t="s">
        <v>944</v>
      </c>
      <c r="G25" s="1261" t="s">
        <v>935</v>
      </c>
      <c r="H25" s="1269" t="s">
        <v>855</v>
      </c>
      <c r="I25" s="1270" t="s">
        <v>944</v>
      </c>
      <c r="J25" s="1279">
        <f t="shared" si="0"/>
        <v>2</v>
      </c>
      <c r="K25" s="1292">
        <f>Financials_Consolidated!C75</f>
        <v>3.5458095980023194</v>
      </c>
      <c r="L25" s="1289"/>
      <c r="M25" s="1289"/>
      <c r="N25" s="1265"/>
      <c r="O25" s="1265"/>
      <c r="P25" s="1265"/>
      <c r="Q25" s="1265"/>
      <c r="R25" s="1265"/>
      <c r="S25" s="1265"/>
    </row>
    <row r="26" spans="1:19" ht="27" customHeight="1" x14ac:dyDescent="0.2">
      <c r="A26" s="2822" t="s">
        <v>945</v>
      </c>
      <c r="B26" s="1286" t="s">
        <v>946</v>
      </c>
      <c r="C26" s="1261" t="s">
        <v>947</v>
      </c>
      <c r="D26" s="1261" t="s">
        <v>948</v>
      </c>
      <c r="E26" s="1261" t="s">
        <v>949</v>
      </c>
      <c r="F26" s="1261" t="s">
        <v>609</v>
      </c>
      <c r="G26" s="1261" t="s">
        <v>609</v>
      </c>
      <c r="H26" s="1290" t="s">
        <v>950</v>
      </c>
      <c r="I26" s="1270"/>
      <c r="J26" s="1279">
        <f>IF(I26=D26,4,(IF(I26=E26,0,IF(I26=F26,2,0))))</f>
        <v>0</v>
      </c>
      <c r="K26" s="1264"/>
      <c r="L26" s="1264"/>
      <c r="M26" s="1264"/>
      <c r="N26" s="1265"/>
      <c r="O26" s="1265"/>
      <c r="P26" s="1265"/>
      <c r="Q26" s="1265"/>
      <c r="R26" s="1265"/>
      <c r="S26" s="1265"/>
    </row>
    <row r="27" spans="1:19" ht="24.75" customHeight="1" x14ac:dyDescent="0.2">
      <c r="A27" s="2822"/>
      <c r="B27" s="1286" t="s">
        <v>779</v>
      </c>
      <c r="C27" s="1261" t="s">
        <v>951</v>
      </c>
      <c r="D27" s="1261" t="s">
        <v>952</v>
      </c>
      <c r="E27" s="1261" t="s">
        <v>953</v>
      </c>
      <c r="F27" s="1261" t="s">
        <v>609</v>
      </c>
      <c r="G27" s="1261" t="s">
        <v>609</v>
      </c>
      <c r="H27" s="1290" t="s">
        <v>950</v>
      </c>
      <c r="I27" s="1270"/>
      <c r="J27" s="1279">
        <f>IF(I27=D27,4,(IF(I27=E27,0,IF(I27=F27,2,0))))</f>
        <v>0</v>
      </c>
      <c r="K27" s="1264"/>
      <c r="L27" s="1264"/>
      <c r="M27" s="1264"/>
      <c r="N27" s="1265"/>
      <c r="O27" s="1265"/>
      <c r="P27" s="1265"/>
      <c r="Q27" s="1265"/>
      <c r="R27" s="1265"/>
      <c r="S27" s="1265"/>
    </row>
    <row r="28" spans="1:19" ht="57" customHeight="1" x14ac:dyDescent="0.2">
      <c r="A28" s="2822"/>
      <c r="B28" s="1260" t="s">
        <v>954</v>
      </c>
      <c r="C28" s="1261" t="s">
        <v>955</v>
      </c>
      <c r="D28" s="1261" t="s">
        <v>956</v>
      </c>
      <c r="E28" s="1261" t="s">
        <v>609</v>
      </c>
      <c r="F28" s="1261" t="s">
        <v>609</v>
      </c>
      <c r="G28" s="1261" t="s">
        <v>957</v>
      </c>
      <c r="H28" s="1269" t="s">
        <v>855</v>
      </c>
      <c r="I28" s="1270"/>
      <c r="J28" s="1279">
        <f>IF(I28=D28,4,0)</f>
        <v>0</v>
      </c>
      <c r="K28" s="1264"/>
      <c r="L28" s="1264"/>
      <c r="M28" s="1264"/>
      <c r="N28" s="1265"/>
      <c r="O28" s="1265"/>
      <c r="P28" s="1265"/>
      <c r="Q28" s="1265"/>
      <c r="R28" s="1265"/>
      <c r="S28" s="1265"/>
    </row>
    <row r="29" spans="1:19" x14ac:dyDescent="0.2">
      <c r="A29" s="2822"/>
      <c r="B29" s="1260" t="s">
        <v>958</v>
      </c>
      <c r="C29" s="1261" t="s">
        <v>959</v>
      </c>
      <c r="D29" s="1261" t="s">
        <v>960</v>
      </c>
      <c r="E29" s="1261" t="s">
        <v>961</v>
      </c>
      <c r="F29" s="1261" t="s">
        <v>962</v>
      </c>
      <c r="G29" s="1261" t="s">
        <v>963</v>
      </c>
      <c r="H29" s="1269" t="s">
        <v>855</v>
      </c>
      <c r="I29" s="1270" t="s">
        <v>962</v>
      </c>
      <c r="J29" s="1279">
        <f t="shared" si="0"/>
        <v>2</v>
      </c>
      <c r="K29" s="1293" t="str">
        <f>'Borrower Details'!B12</f>
        <v>Partnership</v>
      </c>
      <c r="L29" s="1264"/>
      <c r="M29" s="1264"/>
      <c r="N29" s="1265"/>
      <c r="O29" s="1265"/>
      <c r="P29" s="1265"/>
      <c r="Q29" s="1265"/>
      <c r="R29" s="1265"/>
      <c r="S29" s="1265"/>
    </row>
    <row r="30" spans="1:19" x14ac:dyDescent="0.2">
      <c r="A30" s="2822"/>
      <c r="B30" s="1260" t="s">
        <v>964</v>
      </c>
      <c r="C30" s="1261" t="s">
        <v>965</v>
      </c>
      <c r="D30" s="1261" t="s">
        <v>966</v>
      </c>
      <c r="E30" s="1261" t="s">
        <v>967</v>
      </c>
      <c r="F30" s="1261" t="s">
        <v>968</v>
      </c>
      <c r="G30" s="1261" t="s">
        <v>969</v>
      </c>
      <c r="H30" s="1290" t="s">
        <v>970</v>
      </c>
      <c r="I30" s="1270"/>
      <c r="J30" s="1279">
        <f t="shared" si="0"/>
        <v>0</v>
      </c>
      <c r="K30" s="1264"/>
      <c r="L30" s="1264"/>
      <c r="M30" s="1264"/>
      <c r="N30" s="1265"/>
      <c r="O30" s="1265"/>
      <c r="P30" s="1265"/>
      <c r="Q30" s="1265"/>
      <c r="R30" s="1265"/>
      <c r="S30" s="1265"/>
    </row>
    <row r="31" spans="1:19" ht="22.5" x14ac:dyDescent="0.2">
      <c r="A31" s="2822"/>
      <c r="B31" s="1260" t="s">
        <v>971</v>
      </c>
      <c r="C31" s="1261" t="s">
        <v>972</v>
      </c>
      <c r="D31" s="1261" t="s">
        <v>973</v>
      </c>
      <c r="E31" s="1261" t="s">
        <v>974</v>
      </c>
      <c r="F31" s="1261" t="s">
        <v>975</v>
      </c>
      <c r="G31" s="1261" t="s">
        <v>976</v>
      </c>
      <c r="H31" s="1269" t="s">
        <v>855</v>
      </c>
      <c r="I31" s="1270"/>
      <c r="J31" s="1279">
        <f t="shared" si="0"/>
        <v>0</v>
      </c>
      <c r="K31" s="1264"/>
      <c r="L31" s="1264"/>
      <c r="M31" s="1264"/>
      <c r="N31" s="1265"/>
      <c r="O31" s="1265"/>
      <c r="P31" s="1265"/>
      <c r="Q31" s="1265"/>
      <c r="R31" s="1265"/>
      <c r="S31" s="1265"/>
    </row>
    <row r="32" spans="1:19" ht="19.5" customHeight="1" thickBot="1" x14ac:dyDescent="0.25">
      <c r="A32" s="1263"/>
      <c r="B32" s="2823" t="s">
        <v>977</v>
      </c>
      <c r="C32" s="2824"/>
      <c r="D32" s="2824"/>
      <c r="E32" s="2824"/>
      <c r="F32" s="2824"/>
      <c r="G32" s="2824"/>
      <c r="H32" s="2824"/>
      <c r="I32" s="2824"/>
      <c r="J32" s="1294">
        <f>SUM(J7:J31)</f>
        <v>21</v>
      </c>
      <c r="K32" s="1264"/>
      <c r="L32" s="1264"/>
      <c r="M32" s="1264"/>
      <c r="N32" s="1265"/>
      <c r="O32" s="1265"/>
      <c r="P32" s="1265"/>
      <c r="Q32" s="1265"/>
      <c r="R32" s="1265"/>
      <c r="S32" s="1265"/>
    </row>
    <row r="33" spans="1:19" x14ac:dyDescent="0.2">
      <c r="A33" s="1263"/>
      <c r="B33" s="1272"/>
      <c r="C33" s="1273"/>
      <c r="D33" s="1273"/>
      <c r="E33" s="1273"/>
      <c r="F33" s="1273"/>
      <c r="G33" s="1273"/>
      <c r="H33" s="1273"/>
      <c r="I33" s="1273"/>
      <c r="J33" s="1274"/>
      <c r="K33" s="1264"/>
      <c r="L33" s="1264"/>
      <c r="M33" s="1264"/>
      <c r="N33" s="1265"/>
      <c r="O33" s="1265"/>
      <c r="P33" s="1265"/>
      <c r="Q33" s="1265"/>
      <c r="R33" s="1265"/>
      <c r="S33" s="1265"/>
    </row>
    <row r="34" spans="1:19" ht="33.75" customHeight="1" thickBot="1" x14ac:dyDescent="0.25">
      <c r="A34" s="1263"/>
      <c r="B34" s="1275"/>
      <c r="C34" s="1276"/>
      <c r="D34" s="1276"/>
      <c r="E34" s="1276"/>
      <c r="F34" s="1276"/>
      <c r="G34" s="1262" t="s">
        <v>978</v>
      </c>
      <c r="H34" s="1276"/>
      <c r="I34" s="1295" t="str">
        <f>IF(J32&lt;=D47,"C3",IF(J32&lt;=D46,"C2",IF(J32&lt;=D45,"C1",IF(J32&lt;=D44,"B3",IF(J32&lt;=D43,"B2",IF(J32&lt;=D42,"B1",IF(J32&lt;=D41,"A3",IF(J32&lt;=D40,"A2","A1"))))))))</f>
        <v>C3</v>
      </c>
      <c r="J34" s="1277"/>
      <c r="K34" s="1264"/>
      <c r="L34" s="1264"/>
      <c r="M34" s="1264"/>
      <c r="N34" s="1265"/>
      <c r="O34" s="1265"/>
      <c r="P34" s="1265"/>
      <c r="Q34" s="1265"/>
      <c r="R34" s="1265"/>
      <c r="S34" s="1265"/>
    </row>
    <row r="35" spans="1:19" x14ac:dyDescent="0.2">
      <c r="A35" s="1263"/>
      <c r="B35" s="1263"/>
      <c r="C35" s="1263"/>
      <c r="D35" s="1263"/>
      <c r="E35" s="1263"/>
      <c r="F35" s="1263"/>
      <c r="G35" s="1263"/>
      <c r="H35" s="1263"/>
      <c r="I35" s="1263"/>
      <c r="J35" s="1263"/>
      <c r="K35" s="1264"/>
      <c r="L35" s="1264"/>
      <c r="M35" s="1264"/>
      <c r="N35" s="1265"/>
      <c r="O35" s="1265"/>
      <c r="P35" s="1265"/>
      <c r="Q35" s="1265"/>
      <c r="R35" s="1265"/>
      <c r="S35" s="1265"/>
    </row>
    <row r="36" spans="1:19" hidden="1" x14ac:dyDescent="0.2">
      <c r="A36" s="1263"/>
      <c r="B36" s="1263" t="s">
        <v>979</v>
      </c>
      <c r="C36" s="1263"/>
      <c r="D36" s="1263"/>
      <c r="E36" s="1263"/>
      <c r="F36" s="1263"/>
      <c r="G36" s="1263"/>
      <c r="H36" s="1263"/>
      <c r="I36" s="1263"/>
      <c r="J36" s="1263"/>
      <c r="K36" s="1264"/>
      <c r="L36" s="1264"/>
      <c r="M36" s="1264"/>
      <c r="N36" s="1265"/>
      <c r="O36" s="1265"/>
      <c r="P36" s="1265"/>
      <c r="Q36" s="1265"/>
      <c r="R36" s="1265"/>
      <c r="S36" s="1265"/>
    </row>
    <row r="37" spans="1:19" hidden="1" x14ac:dyDescent="0.2">
      <c r="A37" s="1263"/>
      <c r="B37" s="1263"/>
      <c r="C37" s="1263"/>
      <c r="D37" s="1263"/>
      <c r="E37" s="1263"/>
      <c r="F37" s="1263"/>
      <c r="G37" s="1263"/>
      <c r="H37" s="1263"/>
      <c r="I37" s="1263"/>
      <c r="J37" s="1263"/>
      <c r="K37" s="1264"/>
      <c r="L37" s="1264"/>
      <c r="M37" s="1264"/>
      <c r="N37" s="1265"/>
      <c r="O37" s="1265"/>
      <c r="P37" s="1265"/>
      <c r="Q37" s="1265"/>
      <c r="R37" s="1265"/>
      <c r="S37" s="1265"/>
    </row>
    <row r="38" spans="1:19" hidden="1" x14ac:dyDescent="0.2">
      <c r="A38" s="1263"/>
      <c r="B38" s="2817" t="s">
        <v>980</v>
      </c>
      <c r="C38" s="2817"/>
      <c r="D38" s="1263"/>
      <c r="E38" s="1263"/>
      <c r="F38" s="1263"/>
      <c r="G38" s="1263"/>
      <c r="H38" s="1263"/>
      <c r="I38" s="1263"/>
      <c r="J38" s="1263"/>
      <c r="K38" s="1264"/>
      <c r="L38" s="1264"/>
      <c r="M38" s="1264"/>
      <c r="N38" s="1265"/>
      <c r="O38" s="1265"/>
      <c r="P38" s="1265"/>
      <c r="Q38" s="1265"/>
      <c r="R38" s="1265"/>
      <c r="S38" s="1265"/>
    </row>
    <row r="39" spans="1:19" hidden="1" x14ac:dyDescent="0.2">
      <c r="A39" s="1263"/>
      <c r="B39" s="1278" t="s">
        <v>981</v>
      </c>
      <c r="C39" s="1278" t="s">
        <v>982</v>
      </c>
      <c r="D39" s="1263"/>
      <c r="E39" s="1263"/>
      <c r="F39" s="1263"/>
      <c r="G39" s="1263"/>
      <c r="H39" s="1263"/>
      <c r="I39" s="1263"/>
      <c r="J39" s="1263"/>
      <c r="K39" s="1264"/>
      <c r="L39" s="1264"/>
      <c r="M39" s="1264"/>
      <c r="N39" s="1265"/>
      <c r="O39" s="1265"/>
      <c r="P39" s="1265"/>
      <c r="Q39" s="1265"/>
      <c r="R39" s="1265"/>
      <c r="S39" s="1265"/>
    </row>
    <row r="40" spans="1:19" hidden="1" x14ac:dyDescent="0.2">
      <c r="A40" s="1263"/>
      <c r="B40" s="1278" t="s">
        <v>983</v>
      </c>
      <c r="C40" s="1278" t="s">
        <v>984</v>
      </c>
      <c r="D40" s="1263">
        <v>95</v>
      </c>
      <c r="E40" s="1263"/>
      <c r="F40" s="1263"/>
      <c r="G40" s="1263"/>
      <c r="H40" s="1263"/>
      <c r="I40" s="1263"/>
      <c r="J40" s="1263"/>
      <c r="K40" s="1264"/>
      <c r="L40" s="1264"/>
      <c r="M40" s="1264"/>
      <c r="N40" s="1265"/>
      <c r="O40" s="1265"/>
      <c r="P40" s="1265"/>
      <c r="Q40" s="1265"/>
      <c r="R40" s="1265"/>
      <c r="S40" s="1265"/>
    </row>
    <row r="41" spans="1:19" hidden="1" x14ac:dyDescent="0.2">
      <c r="A41" s="1263"/>
      <c r="B41" s="1278" t="s">
        <v>985</v>
      </c>
      <c r="C41" s="1278" t="s">
        <v>986</v>
      </c>
      <c r="D41" s="1263">
        <v>90</v>
      </c>
      <c r="E41" s="1263"/>
      <c r="F41" s="1263"/>
      <c r="G41" s="1263"/>
      <c r="H41" s="1263"/>
      <c r="I41" s="1263"/>
      <c r="J41" s="1263"/>
      <c r="K41" s="1264"/>
      <c r="L41" s="1264"/>
      <c r="M41" s="1264"/>
      <c r="N41" s="1265"/>
      <c r="O41" s="1265"/>
      <c r="P41" s="1265"/>
      <c r="Q41" s="1265"/>
      <c r="R41" s="1265"/>
      <c r="S41" s="1265"/>
    </row>
    <row r="42" spans="1:19" hidden="1" x14ac:dyDescent="0.2">
      <c r="A42" s="1263"/>
      <c r="B42" s="1278" t="s">
        <v>987</v>
      </c>
      <c r="C42" s="1278" t="s">
        <v>988</v>
      </c>
      <c r="D42" s="1263">
        <v>85</v>
      </c>
      <c r="E42" s="1263"/>
      <c r="F42" s="1263"/>
      <c r="G42" s="1263"/>
      <c r="H42" s="1263"/>
      <c r="I42" s="1263"/>
      <c r="J42" s="1263"/>
      <c r="K42" s="1264"/>
      <c r="L42" s="1264"/>
      <c r="M42" s="1264"/>
      <c r="N42" s="1265"/>
      <c r="O42" s="1265"/>
      <c r="P42" s="1265"/>
      <c r="Q42" s="1265"/>
      <c r="R42" s="1265"/>
      <c r="S42" s="1265"/>
    </row>
    <row r="43" spans="1:19" hidden="1" x14ac:dyDescent="0.2">
      <c r="A43" s="1263"/>
      <c r="B43" s="1278" t="s">
        <v>989</v>
      </c>
      <c r="C43" s="1278" t="s">
        <v>990</v>
      </c>
      <c r="D43" s="1263">
        <v>75</v>
      </c>
      <c r="E43" s="1263"/>
      <c r="F43" s="1263"/>
      <c r="G43" s="1263"/>
      <c r="H43" s="1263"/>
      <c r="I43" s="1263"/>
      <c r="J43" s="1263"/>
      <c r="K43" s="1264"/>
      <c r="L43" s="1264"/>
      <c r="M43" s="1264"/>
      <c r="N43" s="1265"/>
      <c r="O43" s="1265"/>
      <c r="P43" s="1265"/>
      <c r="Q43" s="1265"/>
      <c r="R43" s="1265"/>
      <c r="S43" s="1265"/>
    </row>
    <row r="44" spans="1:19" hidden="1" x14ac:dyDescent="0.2">
      <c r="A44" s="1263"/>
      <c r="B44" s="1278" t="s">
        <v>991</v>
      </c>
      <c r="C44" s="1278" t="s">
        <v>992</v>
      </c>
      <c r="D44" s="1263">
        <v>65</v>
      </c>
      <c r="E44" s="1263"/>
      <c r="F44" s="1263"/>
      <c r="G44" s="1263"/>
      <c r="H44" s="1263"/>
      <c r="I44" s="1263"/>
      <c r="J44" s="1263"/>
      <c r="K44" s="1264"/>
      <c r="L44" s="1264"/>
      <c r="M44" s="1264"/>
      <c r="N44" s="1265"/>
      <c r="O44" s="1265"/>
      <c r="P44" s="1265"/>
      <c r="Q44" s="1265"/>
      <c r="R44" s="1265"/>
      <c r="S44" s="1265"/>
    </row>
    <row r="45" spans="1:19" hidden="1" x14ac:dyDescent="0.2">
      <c r="A45" s="1263"/>
      <c r="B45" s="1278" t="s">
        <v>993</v>
      </c>
      <c r="C45" s="1278" t="s">
        <v>994</v>
      </c>
      <c r="D45" s="1263">
        <v>55</v>
      </c>
      <c r="E45" s="1263"/>
      <c r="F45" s="1263"/>
      <c r="G45" s="1263"/>
      <c r="H45" s="1263"/>
      <c r="I45" s="1263"/>
      <c r="J45" s="1263"/>
      <c r="K45" s="1264"/>
      <c r="L45" s="1264"/>
      <c r="M45" s="1264"/>
      <c r="N45" s="1265"/>
      <c r="O45" s="1265"/>
      <c r="P45" s="1265"/>
      <c r="Q45" s="1265"/>
      <c r="R45" s="1265"/>
      <c r="S45" s="1265"/>
    </row>
    <row r="46" spans="1:19" hidden="1" x14ac:dyDescent="0.2">
      <c r="A46" s="1263"/>
      <c r="B46" s="1278" t="s">
        <v>995</v>
      </c>
      <c r="C46" s="1278" t="s">
        <v>996</v>
      </c>
      <c r="D46" s="1263">
        <v>45</v>
      </c>
      <c r="E46" s="1263"/>
      <c r="F46" s="1263"/>
      <c r="G46" s="1263"/>
      <c r="H46" s="1263"/>
      <c r="I46" s="1263"/>
      <c r="J46" s="1263"/>
      <c r="K46" s="1264"/>
      <c r="L46" s="1264"/>
      <c r="M46" s="1264"/>
      <c r="N46" s="1265"/>
      <c r="O46" s="1265"/>
      <c r="P46" s="1265"/>
      <c r="Q46" s="1265"/>
      <c r="R46" s="1265"/>
      <c r="S46" s="1265"/>
    </row>
    <row r="47" spans="1:19" hidden="1" x14ac:dyDescent="0.2">
      <c r="A47" s="1263"/>
      <c r="B47" s="1278" t="s">
        <v>997</v>
      </c>
      <c r="C47" s="1278" t="s">
        <v>998</v>
      </c>
      <c r="D47" s="1263">
        <v>35</v>
      </c>
      <c r="E47" s="1263"/>
      <c r="F47" s="1263"/>
      <c r="G47" s="1263"/>
      <c r="H47" s="1263"/>
      <c r="I47" s="1263"/>
      <c r="J47" s="1263"/>
      <c r="K47" s="1264"/>
      <c r="L47" s="1264"/>
      <c r="M47" s="1264"/>
      <c r="N47" s="1265"/>
      <c r="O47" s="1265"/>
      <c r="P47" s="1265"/>
      <c r="Q47" s="1265"/>
      <c r="R47" s="1265"/>
      <c r="S47" s="1265"/>
    </row>
  </sheetData>
  <sheetProtection algorithmName="SHA-512" hashValue="0kj8JcF+Q/MCWnlh9SrmCH7LIVssAEpL4xGFxyjeKpmECTpgDypYGaZedEkNmnx7FarR8UlfIqnk+PiCOZzq6A==" saltValue="RjtdPXThkS0EJN/9eud5MQ==" spinCount="100000" sheet="1" formatCells="0" formatColumns="0" formatRows="0" insertColumns="0" insertRows="0" insertHyperlinks="0" deleteColumns="0" deleteRows="0" autoFilter="0"/>
  <mergeCells count="10">
    <mergeCell ref="K16:M16"/>
    <mergeCell ref="A26:A31"/>
    <mergeCell ref="B32:I32"/>
    <mergeCell ref="B38:C38"/>
    <mergeCell ref="B2:J2"/>
    <mergeCell ref="D4:J4"/>
    <mergeCell ref="B5:J5"/>
    <mergeCell ref="A7:A16"/>
    <mergeCell ref="A17:A25"/>
    <mergeCell ref="B3:J3"/>
  </mergeCells>
  <dataValidations count="27">
    <dataValidation type="list" allowBlank="1" showInputMessage="1" showErrorMessage="1" sqref="I26" xr:uid="{00000000-0002-0000-3300-000000000000}">
      <formula1>"Factory owned, Factory rented, NA"</formula1>
    </dataValidation>
    <dataValidation type="list" allowBlank="1" showInputMessage="1" showErrorMessage="1" sqref="IW65557 I22 WLM983061 WBQ983061 VRU983061 VHY983061 UYC983061 UOG983061 UEK983061 TUO983061 TKS983061 TAW983061 SRA983061 SHE983061 RXI983061 RNM983061 RDQ983061 QTU983061 QJY983061 QAC983061 PQG983061 PGK983061 OWO983061 OMS983061 OCW983061 NTA983061 NJE983061 MZI983061 MPM983061 MFQ983061 LVU983061 LLY983061 LCC983061 KSG983061 KIK983061 JYO983061 JOS983061 JEW983061 IVA983061 ILE983061 IBI983061 HRM983061 HHQ983061 GXU983061 GNY983061 GEC983061 FUG983061 FKK983061 FAO983061 EQS983061 EGW983061 DXA983061 DNE983061 DDI983061 CTM983061 CJQ983061 BZU983061 BPY983061 BGC983061 AWG983061 AMK983061 ACO983061 SS983061 IW983061 WVI917525 WLM917525 WBQ917525 VRU917525 VHY917525 UYC917525 UOG917525 UEK917525 TUO917525 TKS917525 TAW917525 SRA917525 SHE917525 RXI917525 RNM917525 RDQ917525 QTU917525 QJY917525 QAC917525 PQG917525 PGK917525 OWO917525 OMS917525 OCW917525 NTA917525 NJE917525 MZI917525 MPM917525 MFQ917525 LVU917525 LLY917525 LCC917525 KSG917525 KIK917525 JYO917525 JOS917525 JEW917525 IVA917525 ILE917525 IBI917525 HRM917525 HHQ917525 GXU917525 GNY917525 GEC917525 FUG917525 FKK917525 FAO917525 EQS917525 EGW917525 DXA917525 DNE917525 DDI917525 CTM917525 CJQ917525 BZU917525 BPY917525 BGC917525 AWG917525 AMK917525 ACO917525 SS917525 IW917525 WVI851989 WLM851989 WBQ851989 VRU851989 VHY851989 UYC851989 UOG851989 UEK851989 TUO851989 TKS851989 TAW851989 SRA851989 SHE851989 RXI851989 RNM851989 RDQ851989 QTU851989 QJY851989 QAC851989 PQG851989 PGK851989 OWO851989 OMS851989 OCW851989 NTA851989 NJE851989 MZI851989 MPM851989 MFQ851989 LVU851989 LLY851989 LCC851989 KSG851989 KIK851989 JYO851989 JOS851989 JEW851989 IVA851989 ILE851989 IBI851989 HRM851989 HHQ851989 GXU851989 GNY851989 GEC851989 FUG851989 FKK851989 FAO851989 EQS851989 EGW851989 DXA851989 DNE851989 DDI851989 CTM851989 CJQ851989 BZU851989 BPY851989 BGC851989 AWG851989 AMK851989 ACO851989 SS851989 IW851989 WVI786453 WLM786453 WBQ786453 VRU786453 VHY786453 UYC786453 UOG786453 UEK786453 TUO786453 TKS786453 TAW786453 SRA786453 SHE786453 RXI786453 RNM786453 RDQ786453 QTU786453 QJY786453 QAC786453 PQG786453 PGK786453 OWO786453 OMS786453 OCW786453 NTA786453 NJE786453 MZI786453 MPM786453 MFQ786453 LVU786453 LLY786453 LCC786453 KSG786453 KIK786453 JYO786453 JOS786453 JEW786453 IVA786453 ILE786453 IBI786453 HRM786453 HHQ786453 GXU786453 GNY786453 GEC786453 FUG786453 FKK786453 FAO786453 EQS786453 EGW786453 DXA786453 DNE786453 DDI786453 CTM786453 CJQ786453 BZU786453 BPY786453 BGC786453 AWG786453 AMK786453 ACO786453 SS786453 IW786453 WVI720917 WLM720917 WBQ720917 VRU720917 VHY720917 UYC720917 UOG720917 UEK720917 TUO720917 TKS720917 TAW720917 SRA720917 SHE720917 RXI720917 RNM720917 RDQ720917 QTU720917 QJY720917 QAC720917 PQG720917 PGK720917 OWO720917 OMS720917 OCW720917 NTA720917 NJE720917 MZI720917 MPM720917 MFQ720917 LVU720917 LLY720917 LCC720917 KSG720917 KIK720917 JYO720917 JOS720917 JEW720917 IVA720917 ILE720917 IBI720917 HRM720917 HHQ720917 GXU720917 GNY720917 GEC720917 FUG720917 FKK720917 FAO720917 EQS720917 EGW720917 DXA720917 DNE720917 DDI720917 CTM720917 CJQ720917 BZU720917 BPY720917 BGC720917 AWG720917 AMK720917 ACO720917 SS720917 IW720917 WVI655381 WLM655381 WBQ655381 VRU655381 VHY655381 UYC655381 UOG655381 UEK655381 TUO655381 TKS655381 TAW655381 SRA655381 SHE655381 RXI655381 RNM655381 RDQ655381 QTU655381 QJY655381 QAC655381 PQG655381 PGK655381 OWO655381 OMS655381 OCW655381 NTA655381 NJE655381 MZI655381 MPM655381 MFQ655381 LVU655381 LLY655381 LCC655381 KSG655381 KIK655381 JYO655381 JOS655381 JEW655381 IVA655381 ILE655381 IBI655381 HRM655381 HHQ655381 GXU655381 GNY655381 GEC655381 FUG655381 FKK655381 FAO655381 EQS655381 EGW655381 DXA655381 DNE655381 DDI655381 CTM655381 CJQ655381 BZU655381 BPY655381 BGC655381 AWG655381 AMK655381 ACO655381 SS655381 IW655381 WVI589845 WLM589845 WBQ589845 VRU589845 VHY589845 UYC589845 UOG589845 UEK589845 TUO589845 TKS589845 TAW589845 SRA589845 SHE589845 RXI589845 RNM589845 RDQ589845 QTU589845 QJY589845 QAC589845 PQG589845 PGK589845 OWO589845 OMS589845 OCW589845 NTA589845 NJE589845 MZI589845 MPM589845 MFQ589845 LVU589845 LLY589845 LCC589845 KSG589845 KIK589845 JYO589845 JOS589845 JEW589845 IVA589845 ILE589845 IBI589845 HRM589845 HHQ589845 GXU589845 GNY589845 GEC589845 FUG589845 FKK589845 FAO589845 EQS589845 EGW589845 DXA589845 DNE589845 DDI589845 CTM589845 CJQ589845 BZU589845 BPY589845 BGC589845 AWG589845 AMK589845 ACO589845 SS589845 IW589845 WVI524309 WLM524309 WBQ524309 VRU524309 VHY524309 UYC524309 UOG524309 UEK524309 TUO524309 TKS524309 TAW524309 SRA524309 SHE524309 RXI524309 RNM524309 RDQ524309 QTU524309 QJY524309 QAC524309 PQG524309 PGK524309 OWO524309 OMS524309 OCW524309 NTA524309 NJE524309 MZI524309 MPM524309 MFQ524309 LVU524309 LLY524309 LCC524309 KSG524309 KIK524309 JYO524309 JOS524309 JEW524309 IVA524309 ILE524309 IBI524309 HRM524309 HHQ524309 GXU524309 GNY524309 GEC524309 FUG524309 FKK524309 FAO524309 EQS524309 EGW524309 DXA524309 DNE524309 DDI524309 CTM524309 CJQ524309 BZU524309 BPY524309 BGC524309 AWG524309 AMK524309 ACO524309 SS524309 IW524309 WVI458773 WLM458773 WBQ458773 VRU458773 VHY458773 UYC458773 UOG458773 UEK458773 TUO458773 TKS458773 TAW458773 SRA458773 SHE458773 RXI458773 RNM458773 RDQ458773 QTU458773 QJY458773 QAC458773 PQG458773 PGK458773 OWO458773 OMS458773 OCW458773 NTA458773 NJE458773 MZI458773 MPM458773 MFQ458773 LVU458773 LLY458773 LCC458773 KSG458773 KIK458773 JYO458773 JOS458773 JEW458773 IVA458773 ILE458773 IBI458773 HRM458773 HHQ458773 GXU458773 GNY458773 GEC458773 FUG458773 FKK458773 FAO458773 EQS458773 EGW458773 DXA458773 DNE458773 DDI458773 CTM458773 CJQ458773 BZU458773 BPY458773 BGC458773 AWG458773 AMK458773 ACO458773 SS458773 IW458773 WVI393237 WLM393237 WBQ393237 VRU393237 VHY393237 UYC393237 UOG393237 UEK393237 TUO393237 TKS393237 TAW393237 SRA393237 SHE393237 RXI393237 RNM393237 RDQ393237 QTU393237 QJY393237 QAC393237 PQG393237 PGK393237 OWO393237 OMS393237 OCW393237 NTA393237 NJE393237 MZI393237 MPM393237 MFQ393237 LVU393237 LLY393237 LCC393237 KSG393237 KIK393237 JYO393237 JOS393237 JEW393237 IVA393237 ILE393237 IBI393237 HRM393237 HHQ393237 GXU393237 GNY393237 GEC393237 FUG393237 FKK393237 FAO393237 EQS393237 EGW393237 DXA393237 DNE393237 DDI393237 CTM393237 CJQ393237 BZU393237 BPY393237 BGC393237 AWG393237 AMK393237 ACO393237 SS393237 IW393237 WVI327701 WLM327701 WBQ327701 VRU327701 VHY327701 UYC327701 UOG327701 UEK327701 TUO327701 TKS327701 TAW327701 SRA327701 SHE327701 RXI327701 RNM327701 RDQ327701 QTU327701 QJY327701 QAC327701 PQG327701 PGK327701 OWO327701 OMS327701 OCW327701 NTA327701 NJE327701 MZI327701 MPM327701 MFQ327701 LVU327701 LLY327701 LCC327701 KSG327701 KIK327701 JYO327701 JOS327701 JEW327701 IVA327701 ILE327701 IBI327701 HRM327701 HHQ327701 GXU327701 GNY327701 GEC327701 FUG327701 FKK327701 FAO327701 EQS327701 EGW327701 DXA327701 DNE327701 DDI327701 CTM327701 CJQ327701 BZU327701 BPY327701 BGC327701 AWG327701 AMK327701 ACO327701 SS327701 IW327701 WVI262165 WLM262165 WBQ262165 VRU262165 VHY262165 UYC262165 UOG262165 UEK262165 TUO262165 TKS262165 TAW262165 SRA262165 SHE262165 RXI262165 RNM262165 RDQ262165 QTU262165 QJY262165 QAC262165 PQG262165 PGK262165 OWO262165 OMS262165 OCW262165 NTA262165 NJE262165 MZI262165 MPM262165 MFQ262165 LVU262165 LLY262165 LCC262165 KSG262165 KIK262165 JYO262165 JOS262165 JEW262165 IVA262165 ILE262165 IBI262165 HRM262165 HHQ262165 GXU262165 GNY262165 GEC262165 FUG262165 FKK262165 FAO262165 EQS262165 EGW262165 DXA262165 DNE262165 DDI262165 CTM262165 CJQ262165 BZU262165 BPY262165 BGC262165 AWG262165 AMK262165 ACO262165 SS262165 IW262165 WVI196629 WLM196629 WBQ196629 VRU196629 VHY196629 UYC196629 UOG196629 UEK196629 TUO196629 TKS196629 TAW196629 SRA196629 SHE196629 RXI196629 RNM196629 RDQ196629 QTU196629 QJY196629 QAC196629 PQG196629 PGK196629 OWO196629 OMS196629 OCW196629 NTA196629 NJE196629 MZI196629 MPM196629 MFQ196629 LVU196629 LLY196629 LCC196629 KSG196629 KIK196629 JYO196629 JOS196629 JEW196629 IVA196629 ILE196629 IBI196629 HRM196629 HHQ196629 GXU196629 GNY196629 GEC196629 FUG196629 FKK196629 FAO196629 EQS196629 EGW196629 DXA196629 DNE196629 DDI196629 CTM196629 CJQ196629 BZU196629 BPY196629 BGC196629 AWG196629 AMK196629 ACO196629 SS196629 IW196629 WVI131093 WLM131093 WBQ131093 VRU131093 VHY131093 UYC131093 UOG131093 UEK131093 TUO131093 TKS131093 TAW131093 SRA131093 SHE131093 RXI131093 RNM131093 RDQ131093 QTU131093 QJY131093 QAC131093 PQG131093 PGK131093 OWO131093 OMS131093 OCW131093 NTA131093 NJE131093 MZI131093 MPM131093 MFQ131093 LVU131093 LLY131093 LCC131093 KSG131093 KIK131093 JYO131093 JOS131093 JEW131093 IVA131093 ILE131093 IBI131093 HRM131093 HHQ131093 GXU131093 GNY131093 GEC131093 FUG131093 FKK131093 FAO131093 EQS131093 EGW131093 DXA131093 DNE131093 DDI131093 CTM131093 CJQ131093 BZU131093 BPY131093 BGC131093 AWG131093 AMK131093 ACO131093 SS131093 IW131093 WVI65557 WLM65557 WBQ65557 VRU65557 VHY65557 UYC65557 UOG65557 UEK65557 TUO65557 TKS65557 TAW65557 SRA65557 SHE65557 RXI65557 RNM65557 RDQ65557 QTU65557 QJY65557 QAC65557 PQG65557 PGK65557 OWO65557 OMS65557 OCW65557 NTA65557 NJE65557 MZI65557 MPM65557 MFQ65557 LVU65557 LLY65557 LCC65557 KSG65557 KIK65557 JYO65557 JOS65557 JEW65557 IVA65557 ILE65557 IBI65557 HRM65557 HHQ65557 GXU65557 GNY65557 GEC65557 FUG65557 FKK65557 FAO65557 EQS65557 EGW65557 DXA65557 DNE65557 DDI65557 CTM65557 CJQ65557 BZU65557 BPY65557 BGC65557 AWG65557 AMK65557 ACO65557 SS65557 WVI983061 I65557 I983061 I917525 I851989 I786453 I720917 I655381 I589845 I524309 I458773 I393237 I327701 I262165 I196629 I131093" xr:uid="{00000000-0002-0000-3300-000001000000}">
      <formula1>$D$22:$G$22</formula1>
    </dataValidation>
    <dataValidation type="list" allowBlank="1" showInputMessage="1" showErrorMessage="1" sqref="WVI983058 I21 WBQ983058 VRU983058 VHY983058 UYC983058 UOG983058 UEK983058 TUO983058 TKS983058 TAW983058 SRA983058 SHE983058 RXI983058 RNM983058 RDQ983058 QTU983058 QJY983058 QAC983058 PQG983058 PGK983058 OWO983058 OMS983058 OCW983058 NTA983058 NJE983058 MZI983058 MPM983058 MFQ983058 LVU983058 LLY983058 LCC983058 KSG983058 KIK983058 JYO983058 JOS983058 JEW983058 IVA983058 ILE983058 IBI983058 HRM983058 HHQ983058 GXU983058 GNY983058 GEC983058 FUG983058 FKK983058 FAO983058 EQS983058 EGW983058 DXA983058 DNE983058 DDI983058 CTM983058 CJQ983058 BZU983058 BPY983058 BGC983058 AWG983058 AMK983058 ACO983058 SS983058 IW983058 WVI917522 WLM917522 WBQ917522 VRU917522 VHY917522 UYC917522 UOG917522 UEK917522 TUO917522 TKS917522 TAW917522 SRA917522 SHE917522 RXI917522 RNM917522 RDQ917522 QTU917522 QJY917522 QAC917522 PQG917522 PGK917522 OWO917522 OMS917522 OCW917522 NTA917522 NJE917522 MZI917522 MPM917522 MFQ917522 LVU917522 LLY917522 LCC917522 KSG917522 KIK917522 JYO917522 JOS917522 JEW917522 IVA917522 ILE917522 IBI917522 HRM917522 HHQ917522 GXU917522 GNY917522 GEC917522 FUG917522 FKK917522 FAO917522 EQS917522 EGW917522 DXA917522 DNE917522 DDI917522 CTM917522 CJQ917522 BZU917522 BPY917522 BGC917522 AWG917522 AMK917522 ACO917522 SS917522 IW917522 WVI851986 WLM851986 WBQ851986 VRU851986 VHY851986 UYC851986 UOG851986 UEK851986 TUO851986 TKS851986 TAW851986 SRA851986 SHE851986 RXI851986 RNM851986 RDQ851986 QTU851986 QJY851986 QAC851986 PQG851986 PGK851986 OWO851986 OMS851986 OCW851986 NTA851986 NJE851986 MZI851986 MPM851986 MFQ851986 LVU851986 LLY851986 LCC851986 KSG851986 KIK851986 JYO851986 JOS851986 JEW851986 IVA851986 ILE851986 IBI851986 HRM851986 HHQ851986 GXU851986 GNY851986 GEC851986 FUG851986 FKK851986 FAO851986 EQS851986 EGW851986 DXA851986 DNE851986 DDI851986 CTM851986 CJQ851986 BZU851986 BPY851986 BGC851986 AWG851986 AMK851986 ACO851986 SS851986 IW851986 WVI786450 WLM786450 WBQ786450 VRU786450 VHY786450 UYC786450 UOG786450 UEK786450 TUO786450 TKS786450 TAW786450 SRA786450 SHE786450 RXI786450 RNM786450 RDQ786450 QTU786450 QJY786450 QAC786450 PQG786450 PGK786450 OWO786450 OMS786450 OCW786450 NTA786450 NJE786450 MZI786450 MPM786450 MFQ786450 LVU786450 LLY786450 LCC786450 KSG786450 KIK786450 JYO786450 JOS786450 JEW786450 IVA786450 ILE786450 IBI786450 HRM786450 HHQ786450 GXU786450 GNY786450 GEC786450 FUG786450 FKK786450 FAO786450 EQS786450 EGW786450 DXA786450 DNE786450 DDI786450 CTM786450 CJQ786450 BZU786450 BPY786450 BGC786450 AWG786450 AMK786450 ACO786450 SS786450 IW786450 WVI720914 WLM720914 WBQ720914 VRU720914 VHY720914 UYC720914 UOG720914 UEK720914 TUO720914 TKS720914 TAW720914 SRA720914 SHE720914 RXI720914 RNM720914 RDQ720914 QTU720914 QJY720914 QAC720914 PQG720914 PGK720914 OWO720914 OMS720914 OCW720914 NTA720914 NJE720914 MZI720914 MPM720914 MFQ720914 LVU720914 LLY720914 LCC720914 KSG720914 KIK720914 JYO720914 JOS720914 JEW720914 IVA720914 ILE720914 IBI720914 HRM720914 HHQ720914 GXU720914 GNY720914 GEC720914 FUG720914 FKK720914 FAO720914 EQS720914 EGW720914 DXA720914 DNE720914 DDI720914 CTM720914 CJQ720914 BZU720914 BPY720914 BGC720914 AWG720914 AMK720914 ACO720914 SS720914 IW720914 WVI655378 WLM655378 WBQ655378 VRU655378 VHY655378 UYC655378 UOG655378 UEK655378 TUO655378 TKS655378 TAW655378 SRA655378 SHE655378 RXI655378 RNM655378 RDQ655378 QTU655378 QJY655378 QAC655378 PQG655378 PGK655378 OWO655378 OMS655378 OCW655378 NTA655378 NJE655378 MZI655378 MPM655378 MFQ655378 LVU655378 LLY655378 LCC655378 KSG655378 KIK655378 JYO655378 JOS655378 JEW655378 IVA655378 ILE655378 IBI655378 HRM655378 HHQ655378 GXU655378 GNY655378 GEC655378 FUG655378 FKK655378 FAO655378 EQS655378 EGW655378 DXA655378 DNE655378 DDI655378 CTM655378 CJQ655378 BZU655378 BPY655378 BGC655378 AWG655378 AMK655378 ACO655378 SS655378 IW655378 WVI589842 WLM589842 WBQ589842 VRU589842 VHY589842 UYC589842 UOG589842 UEK589842 TUO589842 TKS589842 TAW589842 SRA589842 SHE589842 RXI589842 RNM589842 RDQ589842 QTU589842 QJY589842 QAC589842 PQG589842 PGK589842 OWO589842 OMS589842 OCW589842 NTA589842 NJE589842 MZI589842 MPM589842 MFQ589842 LVU589842 LLY589842 LCC589842 KSG589842 KIK589842 JYO589842 JOS589842 JEW589842 IVA589842 ILE589842 IBI589842 HRM589842 HHQ589842 GXU589842 GNY589842 GEC589842 FUG589842 FKK589842 FAO589842 EQS589842 EGW589842 DXA589842 DNE589842 DDI589842 CTM589842 CJQ589842 BZU589842 BPY589842 BGC589842 AWG589842 AMK589842 ACO589842 SS589842 IW589842 WVI524306 WLM524306 WBQ524306 VRU524306 VHY524306 UYC524306 UOG524306 UEK524306 TUO524306 TKS524306 TAW524306 SRA524306 SHE524306 RXI524306 RNM524306 RDQ524306 QTU524306 QJY524306 QAC524306 PQG524306 PGK524306 OWO524306 OMS524306 OCW524306 NTA524306 NJE524306 MZI524306 MPM524306 MFQ524306 LVU524306 LLY524306 LCC524306 KSG524306 KIK524306 JYO524306 JOS524306 JEW524306 IVA524306 ILE524306 IBI524306 HRM524306 HHQ524306 GXU524306 GNY524306 GEC524306 FUG524306 FKK524306 FAO524306 EQS524306 EGW524306 DXA524306 DNE524306 DDI524306 CTM524306 CJQ524306 BZU524306 BPY524306 BGC524306 AWG524306 AMK524306 ACO524306 SS524306 IW524306 WVI458770 WLM458770 WBQ458770 VRU458770 VHY458770 UYC458770 UOG458770 UEK458770 TUO458770 TKS458770 TAW458770 SRA458770 SHE458770 RXI458770 RNM458770 RDQ458770 QTU458770 QJY458770 QAC458770 PQG458770 PGK458770 OWO458770 OMS458770 OCW458770 NTA458770 NJE458770 MZI458770 MPM458770 MFQ458770 LVU458770 LLY458770 LCC458770 KSG458770 KIK458770 JYO458770 JOS458770 JEW458770 IVA458770 ILE458770 IBI458770 HRM458770 HHQ458770 GXU458770 GNY458770 GEC458770 FUG458770 FKK458770 FAO458770 EQS458770 EGW458770 DXA458770 DNE458770 DDI458770 CTM458770 CJQ458770 BZU458770 BPY458770 BGC458770 AWG458770 AMK458770 ACO458770 SS458770 IW458770 WVI393234 WLM393234 WBQ393234 VRU393234 VHY393234 UYC393234 UOG393234 UEK393234 TUO393234 TKS393234 TAW393234 SRA393234 SHE393234 RXI393234 RNM393234 RDQ393234 QTU393234 QJY393234 QAC393234 PQG393234 PGK393234 OWO393234 OMS393234 OCW393234 NTA393234 NJE393234 MZI393234 MPM393234 MFQ393234 LVU393234 LLY393234 LCC393234 KSG393234 KIK393234 JYO393234 JOS393234 JEW393234 IVA393234 ILE393234 IBI393234 HRM393234 HHQ393234 GXU393234 GNY393234 GEC393234 FUG393234 FKK393234 FAO393234 EQS393234 EGW393234 DXA393234 DNE393234 DDI393234 CTM393234 CJQ393234 BZU393234 BPY393234 BGC393234 AWG393234 AMK393234 ACO393234 SS393234 IW393234 WVI327698 WLM327698 WBQ327698 VRU327698 VHY327698 UYC327698 UOG327698 UEK327698 TUO327698 TKS327698 TAW327698 SRA327698 SHE327698 RXI327698 RNM327698 RDQ327698 QTU327698 QJY327698 QAC327698 PQG327698 PGK327698 OWO327698 OMS327698 OCW327698 NTA327698 NJE327698 MZI327698 MPM327698 MFQ327698 LVU327698 LLY327698 LCC327698 KSG327698 KIK327698 JYO327698 JOS327698 JEW327698 IVA327698 ILE327698 IBI327698 HRM327698 HHQ327698 GXU327698 GNY327698 GEC327698 FUG327698 FKK327698 FAO327698 EQS327698 EGW327698 DXA327698 DNE327698 DDI327698 CTM327698 CJQ327698 BZU327698 BPY327698 BGC327698 AWG327698 AMK327698 ACO327698 SS327698 IW327698 WVI262162 WLM262162 WBQ262162 VRU262162 VHY262162 UYC262162 UOG262162 UEK262162 TUO262162 TKS262162 TAW262162 SRA262162 SHE262162 RXI262162 RNM262162 RDQ262162 QTU262162 QJY262162 QAC262162 PQG262162 PGK262162 OWO262162 OMS262162 OCW262162 NTA262162 NJE262162 MZI262162 MPM262162 MFQ262162 LVU262162 LLY262162 LCC262162 KSG262162 KIK262162 JYO262162 JOS262162 JEW262162 IVA262162 ILE262162 IBI262162 HRM262162 HHQ262162 GXU262162 GNY262162 GEC262162 FUG262162 FKK262162 FAO262162 EQS262162 EGW262162 DXA262162 DNE262162 DDI262162 CTM262162 CJQ262162 BZU262162 BPY262162 BGC262162 AWG262162 AMK262162 ACO262162 SS262162 IW262162 WVI196626 WLM196626 WBQ196626 VRU196626 VHY196626 UYC196626 UOG196626 UEK196626 TUO196626 TKS196626 TAW196626 SRA196626 SHE196626 RXI196626 RNM196626 RDQ196626 QTU196626 QJY196626 QAC196626 PQG196626 PGK196626 OWO196626 OMS196626 OCW196626 NTA196626 NJE196626 MZI196626 MPM196626 MFQ196626 LVU196626 LLY196626 LCC196626 KSG196626 KIK196626 JYO196626 JOS196626 JEW196626 IVA196626 ILE196626 IBI196626 HRM196626 HHQ196626 GXU196626 GNY196626 GEC196626 FUG196626 FKK196626 FAO196626 EQS196626 EGW196626 DXA196626 DNE196626 DDI196626 CTM196626 CJQ196626 BZU196626 BPY196626 BGC196626 AWG196626 AMK196626 ACO196626 SS196626 IW196626 WVI131090 WLM131090 WBQ131090 VRU131090 VHY131090 UYC131090 UOG131090 UEK131090 TUO131090 TKS131090 TAW131090 SRA131090 SHE131090 RXI131090 RNM131090 RDQ131090 QTU131090 QJY131090 QAC131090 PQG131090 PGK131090 OWO131090 OMS131090 OCW131090 NTA131090 NJE131090 MZI131090 MPM131090 MFQ131090 LVU131090 LLY131090 LCC131090 KSG131090 KIK131090 JYO131090 JOS131090 JEW131090 IVA131090 ILE131090 IBI131090 HRM131090 HHQ131090 GXU131090 GNY131090 GEC131090 FUG131090 FKK131090 FAO131090 EQS131090 EGW131090 DXA131090 DNE131090 DDI131090 CTM131090 CJQ131090 BZU131090 BPY131090 BGC131090 AWG131090 AMK131090 ACO131090 SS131090 IW131090 WVI65554 WLM65554 WBQ65554 VRU65554 VHY65554 UYC65554 UOG65554 UEK65554 TUO65554 TKS65554 TAW65554 SRA65554 SHE65554 RXI65554 RNM65554 RDQ65554 QTU65554 QJY65554 QAC65554 PQG65554 PGK65554 OWO65554 OMS65554 OCW65554 NTA65554 NJE65554 MZI65554 MPM65554 MFQ65554 LVU65554 LLY65554 LCC65554 KSG65554 KIK65554 JYO65554 JOS65554 JEW65554 IVA65554 ILE65554 IBI65554 HRM65554 HHQ65554 GXU65554 GNY65554 GEC65554 FUG65554 FKK65554 FAO65554 EQS65554 EGW65554 DXA65554 DNE65554 DDI65554 CTM65554 CJQ65554 BZU65554 BPY65554 BGC65554 AWG65554 AMK65554 ACO65554 SS65554 IW65554 I65554 WLM983058 I983058 I917522 I851986 I786450 I720914 I655378 I589842 I524306 I458770 I393234 I327698 I262162 I196626 I131090" xr:uid="{00000000-0002-0000-3300-000002000000}">
      <formula1>$D$21:$G$21</formula1>
    </dataValidation>
    <dataValidation type="list" allowBlank="1" showInputMessage="1" showErrorMessage="1" sqref="IW7 I7 ACO7 AMK7 AWG7 BGC7 BPY7 BZU7 CJQ7 CTM7 DDI7 DNE7 DXA7 EGW7 EQS7 FAO7 FKK7 FUG7 GEC7 GNY7 GXU7 HHQ7 HRM7 IBI7 ILE7 IVA7 JEW7 JOS7 JYO7 KIK7 KSG7 LCC7 LLY7 LVU7 MFQ7 MPM7 MZI7 NJE7 NTA7 OCW7 OMS7 OWO7 PGK7 PQG7 QAC7 QJY7 QTU7 RDQ7 RNM7 RXI7 SHE7 SRA7 TAW7 TKS7 TUO7 UEK7 UOG7 UYC7 VHY7 VRU7 WBQ7 WLM7 WVI7 IW65545 SS65545 ACO65545 AMK65545 AWG65545 BGC65545 BPY65545 BZU65545 CJQ65545 CTM65545 DDI65545 DNE65545 DXA65545 EGW65545 EQS65545 FAO65545 FKK65545 FUG65545 GEC65545 GNY65545 GXU65545 HHQ65545 HRM65545 IBI65545 ILE65545 IVA65545 JEW65545 JOS65545 JYO65545 KIK65545 KSG65545 LCC65545 LLY65545 LVU65545 MFQ65545 MPM65545 MZI65545 NJE65545 NTA65545 OCW65545 OMS65545 OWO65545 PGK65545 PQG65545 QAC65545 QJY65545 QTU65545 RDQ65545 RNM65545 RXI65545 SHE65545 SRA65545 TAW65545 TKS65545 TUO65545 UEK65545 UOG65545 UYC65545 VHY65545 VRU65545 WBQ65545 WLM65545 WVI65545 IW131081 SS131081 ACO131081 AMK131081 AWG131081 BGC131081 BPY131081 BZU131081 CJQ131081 CTM131081 DDI131081 DNE131081 DXA131081 EGW131081 EQS131081 FAO131081 FKK131081 FUG131081 GEC131081 GNY131081 GXU131081 HHQ131081 HRM131081 IBI131081 ILE131081 IVA131081 JEW131081 JOS131081 JYO131081 KIK131081 KSG131081 LCC131081 LLY131081 LVU131081 MFQ131081 MPM131081 MZI131081 NJE131081 NTA131081 OCW131081 OMS131081 OWO131081 PGK131081 PQG131081 QAC131081 QJY131081 QTU131081 RDQ131081 RNM131081 RXI131081 SHE131081 SRA131081 TAW131081 TKS131081 TUO131081 UEK131081 UOG131081 UYC131081 VHY131081 VRU131081 WBQ131081 WLM131081 WVI131081 IW196617 SS196617 ACO196617 AMK196617 AWG196617 BGC196617 BPY196617 BZU196617 CJQ196617 CTM196617 DDI196617 DNE196617 DXA196617 EGW196617 EQS196617 FAO196617 FKK196617 FUG196617 GEC196617 GNY196617 GXU196617 HHQ196617 HRM196617 IBI196617 ILE196617 IVA196617 JEW196617 JOS196617 JYO196617 KIK196617 KSG196617 LCC196617 LLY196617 LVU196617 MFQ196617 MPM196617 MZI196617 NJE196617 NTA196617 OCW196617 OMS196617 OWO196617 PGK196617 PQG196617 QAC196617 QJY196617 QTU196617 RDQ196617 RNM196617 RXI196617 SHE196617 SRA196617 TAW196617 TKS196617 TUO196617 UEK196617 UOG196617 UYC196617 VHY196617 VRU196617 WBQ196617 WLM196617 WVI196617 IW262153 SS262153 ACO262153 AMK262153 AWG262153 BGC262153 BPY262153 BZU262153 CJQ262153 CTM262153 DDI262153 DNE262153 DXA262153 EGW262153 EQS262153 FAO262153 FKK262153 FUG262153 GEC262153 GNY262153 GXU262153 HHQ262153 HRM262153 IBI262153 ILE262153 IVA262153 JEW262153 JOS262153 JYO262153 KIK262153 KSG262153 LCC262153 LLY262153 LVU262153 MFQ262153 MPM262153 MZI262153 NJE262153 NTA262153 OCW262153 OMS262153 OWO262153 PGK262153 PQG262153 QAC262153 QJY262153 QTU262153 RDQ262153 RNM262153 RXI262153 SHE262153 SRA262153 TAW262153 TKS262153 TUO262153 UEK262153 UOG262153 UYC262153 VHY262153 VRU262153 WBQ262153 WLM262153 WVI262153 IW327689 SS327689 ACO327689 AMK327689 AWG327689 BGC327689 BPY327689 BZU327689 CJQ327689 CTM327689 DDI327689 DNE327689 DXA327689 EGW327689 EQS327689 FAO327689 FKK327689 FUG327689 GEC327689 GNY327689 GXU327689 HHQ327689 HRM327689 IBI327689 ILE327689 IVA327689 JEW327689 JOS327689 JYO327689 KIK327689 KSG327689 LCC327689 LLY327689 LVU327689 MFQ327689 MPM327689 MZI327689 NJE327689 NTA327689 OCW327689 OMS327689 OWO327689 PGK327689 PQG327689 QAC327689 QJY327689 QTU327689 RDQ327689 RNM327689 RXI327689 SHE327689 SRA327689 TAW327689 TKS327689 TUO327689 UEK327689 UOG327689 UYC327689 VHY327689 VRU327689 WBQ327689 WLM327689 WVI327689 IW393225 SS393225 ACO393225 AMK393225 AWG393225 BGC393225 BPY393225 BZU393225 CJQ393225 CTM393225 DDI393225 DNE393225 DXA393225 EGW393225 EQS393225 FAO393225 FKK393225 FUG393225 GEC393225 GNY393225 GXU393225 HHQ393225 HRM393225 IBI393225 ILE393225 IVA393225 JEW393225 JOS393225 JYO393225 KIK393225 KSG393225 LCC393225 LLY393225 LVU393225 MFQ393225 MPM393225 MZI393225 NJE393225 NTA393225 OCW393225 OMS393225 OWO393225 PGK393225 PQG393225 QAC393225 QJY393225 QTU393225 RDQ393225 RNM393225 RXI393225 SHE393225 SRA393225 TAW393225 TKS393225 TUO393225 UEK393225 UOG393225 UYC393225 VHY393225 VRU393225 WBQ393225 WLM393225 WVI393225 IW458761 SS458761 ACO458761 AMK458761 AWG458761 BGC458761 BPY458761 BZU458761 CJQ458761 CTM458761 DDI458761 DNE458761 DXA458761 EGW458761 EQS458761 FAO458761 FKK458761 FUG458761 GEC458761 GNY458761 GXU458761 HHQ458761 HRM458761 IBI458761 ILE458761 IVA458761 JEW458761 JOS458761 JYO458761 KIK458761 KSG458761 LCC458761 LLY458761 LVU458761 MFQ458761 MPM458761 MZI458761 NJE458761 NTA458761 OCW458761 OMS458761 OWO458761 PGK458761 PQG458761 QAC458761 QJY458761 QTU458761 RDQ458761 RNM458761 RXI458761 SHE458761 SRA458761 TAW458761 TKS458761 TUO458761 UEK458761 UOG458761 UYC458761 VHY458761 VRU458761 WBQ458761 WLM458761 WVI458761 IW524297 SS524297 ACO524297 AMK524297 AWG524297 BGC524297 BPY524297 BZU524297 CJQ524297 CTM524297 DDI524297 DNE524297 DXA524297 EGW524297 EQS524297 FAO524297 FKK524297 FUG524297 GEC524297 GNY524297 GXU524297 HHQ524297 HRM524297 IBI524297 ILE524297 IVA524297 JEW524297 JOS524297 JYO524297 KIK524297 KSG524297 LCC524297 LLY524297 LVU524297 MFQ524297 MPM524297 MZI524297 NJE524297 NTA524297 OCW524297 OMS524297 OWO524297 PGK524297 PQG524297 QAC524297 QJY524297 QTU524297 RDQ524297 RNM524297 RXI524297 SHE524297 SRA524297 TAW524297 TKS524297 TUO524297 UEK524297 UOG524297 UYC524297 VHY524297 VRU524297 WBQ524297 WLM524297 WVI524297 IW589833 SS589833 ACO589833 AMK589833 AWG589833 BGC589833 BPY589833 BZU589833 CJQ589833 CTM589833 DDI589833 DNE589833 DXA589833 EGW589833 EQS589833 FAO589833 FKK589833 FUG589833 GEC589833 GNY589833 GXU589833 HHQ589833 HRM589833 IBI589833 ILE589833 IVA589833 JEW589833 JOS589833 JYO589833 KIK589833 KSG589833 LCC589833 LLY589833 LVU589833 MFQ589833 MPM589833 MZI589833 NJE589833 NTA589833 OCW589833 OMS589833 OWO589833 PGK589833 PQG589833 QAC589833 QJY589833 QTU589833 RDQ589833 RNM589833 RXI589833 SHE589833 SRA589833 TAW589833 TKS589833 TUO589833 UEK589833 UOG589833 UYC589833 VHY589833 VRU589833 WBQ589833 WLM589833 WVI589833 IW655369 SS655369 ACO655369 AMK655369 AWG655369 BGC655369 BPY655369 BZU655369 CJQ655369 CTM655369 DDI655369 DNE655369 DXA655369 EGW655369 EQS655369 FAO655369 FKK655369 FUG655369 GEC655369 GNY655369 GXU655369 HHQ655369 HRM655369 IBI655369 ILE655369 IVA655369 JEW655369 JOS655369 JYO655369 KIK655369 KSG655369 LCC655369 LLY655369 LVU655369 MFQ655369 MPM655369 MZI655369 NJE655369 NTA655369 OCW655369 OMS655369 OWO655369 PGK655369 PQG655369 QAC655369 QJY655369 QTU655369 RDQ655369 RNM655369 RXI655369 SHE655369 SRA655369 TAW655369 TKS655369 TUO655369 UEK655369 UOG655369 UYC655369 VHY655369 VRU655369 WBQ655369 WLM655369 WVI655369 IW720905 SS720905 ACO720905 AMK720905 AWG720905 BGC720905 BPY720905 BZU720905 CJQ720905 CTM720905 DDI720905 DNE720905 DXA720905 EGW720905 EQS720905 FAO720905 FKK720905 FUG720905 GEC720905 GNY720905 GXU720905 HHQ720905 HRM720905 IBI720905 ILE720905 IVA720905 JEW720905 JOS720905 JYO720905 KIK720905 KSG720905 LCC720905 LLY720905 LVU720905 MFQ720905 MPM720905 MZI720905 NJE720905 NTA720905 OCW720905 OMS720905 OWO720905 PGK720905 PQG720905 QAC720905 QJY720905 QTU720905 RDQ720905 RNM720905 RXI720905 SHE720905 SRA720905 TAW720905 TKS720905 TUO720905 UEK720905 UOG720905 UYC720905 VHY720905 VRU720905 WBQ720905 WLM720905 WVI720905 IW786441 SS786441 ACO786441 AMK786441 AWG786441 BGC786441 BPY786441 BZU786441 CJQ786441 CTM786441 DDI786441 DNE786441 DXA786441 EGW786441 EQS786441 FAO786441 FKK786441 FUG786441 GEC786441 GNY786441 GXU786441 HHQ786441 HRM786441 IBI786441 ILE786441 IVA786441 JEW786441 JOS786441 JYO786441 KIK786441 KSG786441 LCC786441 LLY786441 LVU786441 MFQ786441 MPM786441 MZI786441 NJE786441 NTA786441 OCW786441 OMS786441 OWO786441 PGK786441 PQG786441 QAC786441 QJY786441 QTU786441 RDQ786441 RNM786441 RXI786441 SHE786441 SRA786441 TAW786441 TKS786441 TUO786441 UEK786441 UOG786441 UYC786441 VHY786441 VRU786441 WBQ786441 WLM786441 WVI786441 IW851977 SS851977 ACO851977 AMK851977 AWG851977 BGC851977 BPY851977 BZU851977 CJQ851977 CTM851977 DDI851977 DNE851977 DXA851977 EGW851977 EQS851977 FAO851977 FKK851977 FUG851977 GEC851977 GNY851977 GXU851977 HHQ851977 HRM851977 IBI851977 ILE851977 IVA851977 JEW851977 JOS851977 JYO851977 KIK851977 KSG851977 LCC851977 LLY851977 LVU851977 MFQ851977 MPM851977 MZI851977 NJE851977 NTA851977 OCW851977 OMS851977 OWO851977 PGK851977 PQG851977 QAC851977 QJY851977 QTU851977 RDQ851977 RNM851977 RXI851977 SHE851977 SRA851977 TAW851977 TKS851977 TUO851977 UEK851977 UOG851977 UYC851977 VHY851977 VRU851977 WBQ851977 WLM851977 WVI851977 IW917513 SS917513 ACO917513 AMK917513 AWG917513 BGC917513 BPY917513 BZU917513 CJQ917513 CTM917513 DDI917513 DNE917513 DXA917513 EGW917513 EQS917513 FAO917513 FKK917513 FUG917513 GEC917513 GNY917513 GXU917513 HHQ917513 HRM917513 IBI917513 ILE917513 IVA917513 JEW917513 JOS917513 JYO917513 KIK917513 KSG917513 LCC917513 LLY917513 LVU917513 MFQ917513 MPM917513 MZI917513 NJE917513 NTA917513 OCW917513 OMS917513 OWO917513 PGK917513 PQG917513 QAC917513 QJY917513 QTU917513 RDQ917513 RNM917513 RXI917513 SHE917513 SRA917513 TAW917513 TKS917513 TUO917513 UEK917513 UOG917513 UYC917513 VHY917513 VRU917513 WBQ917513 WLM917513 WVI917513 IW983049 SS983049 ACO983049 AMK983049 AWG983049 BGC983049 BPY983049 BZU983049 CJQ983049 CTM983049 DDI983049 DNE983049 DXA983049 EGW983049 EQS983049 FAO983049 FKK983049 FUG983049 GEC983049 GNY983049 GXU983049 HHQ983049 HRM983049 IBI983049 ILE983049 IVA983049 JEW983049 JOS983049 JYO983049 KIK983049 KSG983049 LCC983049 LLY983049 LVU983049 MFQ983049 MPM983049 MZI983049 NJE983049 NTA983049 OCW983049 OMS983049 OWO983049 PGK983049 PQG983049 QAC983049 QJY983049 QTU983049 RDQ983049 RNM983049 RXI983049 SHE983049 SRA983049 TAW983049 TKS983049 TUO983049 UEK983049 UOG983049 UYC983049 VHY983049 VRU983049 WBQ983049 WLM983049 WVI983049 I65545 SS7 I131081 I196617 I262153 I327689 I393225 I458761 I524297 I589833 I655369 I720905 I786441 I851977 I917513 I983049" xr:uid="{00000000-0002-0000-3300-000003000000}">
      <formula1>$D$7:$G$7</formula1>
    </dataValidation>
    <dataValidation type="list" allowBlank="1" showInputMessage="1" showErrorMessage="1" sqref="WVI14:WVI15 I14 WBQ14:WBQ15 VRU14:VRU15 VHY14:VHY15 UYC14:UYC15 UOG14:UOG15 UEK14:UEK15 TUO14:TUO15 TKS14:TKS15 TAW14:TAW15 SRA14:SRA15 SHE14:SHE15 RXI14:RXI15 RNM14:RNM15 RDQ14:RDQ15 QTU14:QTU15 QJY14:QJY15 QAC14:QAC15 PQG14:PQG15 PGK14:PGK15 OWO14:OWO15 OMS14:OMS15 OCW14:OCW15 NTA14:NTA15 NJE14:NJE15 MZI14:MZI15 MPM14:MPM15 MFQ14:MFQ15 LVU14:LVU15 LLY14:LLY15 LCC14:LCC15 KSG14:KSG15 KIK14:KIK15 JYO14:JYO15 JOS14:JOS15 JEW14:JEW15 IVA14:IVA15 ILE14:ILE15 IBI14:IBI15 HRM14:HRM15 HHQ14:HHQ15 GXU14:GXU15 GNY14:GNY15 GEC14:GEC15 FUG14:FUG15 FKK14:FKK15 FAO14:FAO15 EQS14:EQS15 EGW14:EGW15 DXA14:DXA15 DNE14:DNE15 DDI14:DDI15 CTM14:CTM15 CJQ14:CJQ15 BZU14:BZU15 BPY14:BPY15 BGC14:BGC15 AWG14:AWG15 AMK14:AMK15 ACO14:ACO15 SS14:SS15 IW14:IW15 IW65551 WVI983055 WLM983055 WBQ983055 VRU983055 VHY983055 UYC983055 UOG983055 UEK983055 TUO983055 TKS983055 TAW983055 SRA983055 SHE983055 RXI983055 RNM983055 RDQ983055 QTU983055 QJY983055 QAC983055 PQG983055 PGK983055 OWO983055 OMS983055 OCW983055 NTA983055 NJE983055 MZI983055 MPM983055 MFQ983055 LVU983055 LLY983055 LCC983055 KSG983055 KIK983055 JYO983055 JOS983055 JEW983055 IVA983055 ILE983055 IBI983055 HRM983055 HHQ983055 GXU983055 GNY983055 GEC983055 FUG983055 FKK983055 FAO983055 EQS983055 EGW983055 DXA983055 DNE983055 DDI983055 CTM983055 CJQ983055 BZU983055 BPY983055 BGC983055 AWG983055 AMK983055 ACO983055 SS983055 IW983055 WVI917519 WLM917519 WBQ917519 VRU917519 VHY917519 UYC917519 UOG917519 UEK917519 TUO917519 TKS917519 TAW917519 SRA917519 SHE917519 RXI917519 RNM917519 RDQ917519 QTU917519 QJY917519 QAC917519 PQG917519 PGK917519 OWO917519 OMS917519 OCW917519 NTA917519 NJE917519 MZI917519 MPM917519 MFQ917519 LVU917519 LLY917519 LCC917519 KSG917519 KIK917519 JYO917519 JOS917519 JEW917519 IVA917519 ILE917519 IBI917519 HRM917519 HHQ917519 GXU917519 GNY917519 GEC917519 FUG917519 FKK917519 FAO917519 EQS917519 EGW917519 DXA917519 DNE917519 DDI917519 CTM917519 CJQ917519 BZU917519 BPY917519 BGC917519 AWG917519 AMK917519 ACO917519 SS917519 IW917519 WVI851983 WLM851983 WBQ851983 VRU851983 VHY851983 UYC851983 UOG851983 UEK851983 TUO851983 TKS851983 TAW851983 SRA851983 SHE851983 RXI851983 RNM851983 RDQ851983 QTU851983 QJY851983 QAC851983 PQG851983 PGK851983 OWO851983 OMS851983 OCW851983 NTA851983 NJE851983 MZI851983 MPM851983 MFQ851983 LVU851983 LLY851983 LCC851983 KSG851983 KIK851983 JYO851983 JOS851983 JEW851983 IVA851983 ILE851983 IBI851983 HRM851983 HHQ851983 GXU851983 GNY851983 GEC851983 FUG851983 FKK851983 FAO851983 EQS851983 EGW851983 DXA851983 DNE851983 DDI851983 CTM851983 CJQ851983 BZU851983 BPY851983 BGC851983 AWG851983 AMK851983 ACO851983 SS851983 IW851983 WVI786447 WLM786447 WBQ786447 VRU786447 VHY786447 UYC786447 UOG786447 UEK786447 TUO786447 TKS786447 TAW786447 SRA786447 SHE786447 RXI786447 RNM786447 RDQ786447 QTU786447 QJY786447 QAC786447 PQG786447 PGK786447 OWO786447 OMS786447 OCW786447 NTA786447 NJE786447 MZI786447 MPM786447 MFQ786447 LVU786447 LLY786447 LCC786447 KSG786447 KIK786447 JYO786447 JOS786447 JEW786447 IVA786447 ILE786447 IBI786447 HRM786447 HHQ786447 GXU786447 GNY786447 GEC786447 FUG786447 FKK786447 FAO786447 EQS786447 EGW786447 DXA786447 DNE786447 DDI786447 CTM786447 CJQ786447 BZU786447 BPY786447 BGC786447 AWG786447 AMK786447 ACO786447 SS786447 IW786447 WVI720911 WLM720911 WBQ720911 VRU720911 VHY720911 UYC720911 UOG720911 UEK720911 TUO720911 TKS720911 TAW720911 SRA720911 SHE720911 RXI720911 RNM720911 RDQ720911 QTU720911 QJY720911 QAC720911 PQG720911 PGK720911 OWO720911 OMS720911 OCW720911 NTA720911 NJE720911 MZI720911 MPM720911 MFQ720911 LVU720911 LLY720911 LCC720911 KSG720911 KIK720911 JYO720911 JOS720911 JEW720911 IVA720911 ILE720911 IBI720911 HRM720911 HHQ720911 GXU720911 GNY720911 GEC720911 FUG720911 FKK720911 FAO720911 EQS720911 EGW720911 DXA720911 DNE720911 DDI720911 CTM720911 CJQ720911 BZU720911 BPY720911 BGC720911 AWG720911 AMK720911 ACO720911 SS720911 IW720911 WVI655375 WLM655375 WBQ655375 VRU655375 VHY655375 UYC655375 UOG655375 UEK655375 TUO655375 TKS655375 TAW655375 SRA655375 SHE655375 RXI655375 RNM655375 RDQ655375 QTU655375 QJY655375 QAC655375 PQG655375 PGK655375 OWO655375 OMS655375 OCW655375 NTA655375 NJE655375 MZI655375 MPM655375 MFQ655375 LVU655375 LLY655375 LCC655375 KSG655375 KIK655375 JYO655375 JOS655375 JEW655375 IVA655375 ILE655375 IBI655375 HRM655375 HHQ655375 GXU655375 GNY655375 GEC655375 FUG655375 FKK655375 FAO655375 EQS655375 EGW655375 DXA655375 DNE655375 DDI655375 CTM655375 CJQ655375 BZU655375 BPY655375 BGC655375 AWG655375 AMK655375 ACO655375 SS655375 IW655375 WVI589839 WLM589839 WBQ589839 VRU589839 VHY589839 UYC589839 UOG589839 UEK589839 TUO589839 TKS589839 TAW589839 SRA589839 SHE589839 RXI589839 RNM589839 RDQ589839 QTU589839 QJY589839 QAC589839 PQG589839 PGK589839 OWO589839 OMS589839 OCW589839 NTA589839 NJE589839 MZI589839 MPM589839 MFQ589839 LVU589839 LLY589839 LCC589839 KSG589839 KIK589839 JYO589839 JOS589839 JEW589839 IVA589839 ILE589839 IBI589839 HRM589839 HHQ589839 GXU589839 GNY589839 GEC589839 FUG589839 FKK589839 FAO589839 EQS589839 EGW589839 DXA589839 DNE589839 DDI589839 CTM589839 CJQ589839 BZU589839 BPY589839 BGC589839 AWG589839 AMK589839 ACO589839 SS589839 IW589839 WVI524303 WLM524303 WBQ524303 VRU524303 VHY524303 UYC524303 UOG524303 UEK524303 TUO524303 TKS524303 TAW524303 SRA524303 SHE524303 RXI524303 RNM524303 RDQ524303 QTU524303 QJY524303 QAC524303 PQG524303 PGK524303 OWO524303 OMS524303 OCW524303 NTA524303 NJE524303 MZI524303 MPM524303 MFQ524303 LVU524303 LLY524303 LCC524303 KSG524303 KIK524303 JYO524303 JOS524303 JEW524303 IVA524303 ILE524303 IBI524303 HRM524303 HHQ524303 GXU524303 GNY524303 GEC524303 FUG524303 FKK524303 FAO524303 EQS524303 EGW524303 DXA524303 DNE524303 DDI524303 CTM524303 CJQ524303 BZU524303 BPY524303 BGC524303 AWG524303 AMK524303 ACO524303 SS524303 IW524303 WVI458767 WLM458767 WBQ458767 VRU458767 VHY458767 UYC458767 UOG458767 UEK458767 TUO458767 TKS458767 TAW458767 SRA458767 SHE458767 RXI458767 RNM458767 RDQ458767 QTU458767 QJY458767 QAC458767 PQG458767 PGK458767 OWO458767 OMS458767 OCW458767 NTA458767 NJE458767 MZI458767 MPM458767 MFQ458767 LVU458767 LLY458767 LCC458767 KSG458767 KIK458767 JYO458767 JOS458767 JEW458767 IVA458767 ILE458767 IBI458767 HRM458767 HHQ458767 GXU458767 GNY458767 GEC458767 FUG458767 FKK458767 FAO458767 EQS458767 EGW458767 DXA458767 DNE458767 DDI458767 CTM458767 CJQ458767 BZU458767 BPY458767 BGC458767 AWG458767 AMK458767 ACO458767 SS458767 IW458767 WVI393231 WLM393231 WBQ393231 VRU393231 VHY393231 UYC393231 UOG393231 UEK393231 TUO393231 TKS393231 TAW393231 SRA393231 SHE393231 RXI393231 RNM393231 RDQ393231 QTU393231 QJY393231 QAC393231 PQG393231 PGK393231 OWO393231 OMS393231 OCW393231 NTA393231 NJE393231 MZI393231 MPM393231 MFQ393231 LVU393231 LLY393231 LCC393231 KSG393231 KIK393231 JYO393231 JOS393231 JEW393231 IVA393231 ILE393231 IBI393231 HRM393231 HHQ393231 GXU393231 GNY393231 GEC393231 FUG393231 FKK393231 FAO393231 EQS393231 EGW393231 DXA393231 DNE393231 DDI393231 CTM393231 CJQ393231 BZU393231 BPY393231 BGC393231 AWG393231 AMK393231 ACO393231 SS393231 IW393231 WVI327695 WLM327695 WBQ327695 VRU327695 VHY327695 UYC327695 UOG327695 UEK327695 TUO327695 TKS327695 TAW327695 SRA327695 SHE327695 RXI327695 RNM327695 RDQ327695 QTU327695 QJY327695 QAC327695 PQG327695 PGK327695 OWO327695 OMS327695 OCW327695 NTA327695 NJE327695 MZI327695 MPM327695 MFQ327695 LVU327695 LLY327695 LCC327695 KSG327695 KIK327695 JYO327695 JOS327695 JEW327695 IVA327695 ILE327695 IBI327695 HRM327695 HHQ327695 GXU327695 GNY327695 GEC327695 FUG327695 FKK327695 FAO327695 EQS327695 EGW327695 DXA327695 DNE327695 DDI327695 CTM327695 CJQ327695 BZU327695 BPY327695 BGC327695 AWG327695 AMK327695 ACO327695 SS327695 IW327695 WVI262159 WLM262159 WBQ262159 VRU262159 VHY262159 UYC262159 UOG262159 UEK262159 TUO262159 TKS262159 TAW262159 SRA262159 SHE262159 RXI262159 RNM262159 RDQ262159 QTU262159 QJY262159 QAC262159 PQG262159 PGK262159 OWO262159 OMS262159 OCW262159 NTA262159 NJE262159 MZI262159 MPM262159 MFQ262159 LVU262159 LLY262159 LCC262159 KSG262159 KIK262159 JYO262159 JOS262159 JEW262159 IVA262159 ILE262159 IBI262159 HRM262159 HHQ262159 GXU262159 GNY262159 GEC262159 FUG262159 FKK262159 FAO262159 EQS262159 EGW262159 DXA262159 DNE262159 DDI262159 CTM262159 CJQ262159 BZU262159 BPY262159 BGC262159 AWG262159 AMK262159 ACO262159 SS262159 IW262159 WVI196623 WLM196623 WBQ196623 VRU196623 VHY196623 UYC196623 UOG196623 UEK196623 TUO196623 TKS196623 TAW196623 SRA196623 SHE196623 RXI196623 RNM196623 RDQ196623 QTU196623 QJY196623 QAC196623 PQG196623 PGK196623 OWO196623 OMS196623 OCW196623 NTA196623 NJE196623 MZI196623 MPM196623 MFQ196623 LVU196623 LLY196623 LCC196623 KSG196623 KIK196623 JYO196623 JOS196623 JEW196623 IVA196623 ILE196623 IBI196623 HRM196623 HHQ196623 GXU196623 GNY196623 GEC196623 FUG196623 FKK196623 FAO196623 EQS196623 EGW196623 DXA196623 DNE196623 DDI196623 CTM196623 CJQ196623 BZU196623 BPY196623 BGC196623 AWG196623 AMK196623 ACO196623 SS196623 IW196623 WVI131087 WLM131087 WBQ131087 VRU131087 VHY131087 UYC131087 UOG131087 UEK131087 TUO131087 TKS131087 TAW131087 SRA131087 SHE131087 RXI131087 RNM131087 RDQ131087 QTU131087 QJY131087 QAC131087 PQG131087 PGK131087 OWO131087 OMS131087 OCW131087 NTA131087 NJE131087 MZI131087 MPM131087 MFQ131087 LVU131087 LLY131087 LCC131087 KSG131087 KIK131087 JYO131087 JOS131087 JEW131087 IVA131087 ILE131087 IBI131087 HRM131087 HHQ131087 GXU131087 GNY131087 GEC131087 FUG131087 FKK131087 FAO131087 EQS131087 EGW131087 DXA131087 DNE131087 DDI131087 CTM131087 CJQ131087 BZU131087 BPY131087 BGC131087 AWG131087 AMK131087 ACO131087 SS131087 IW131087 WVI65551 WLM65551 WBQ65551 VRU65551 VHY65551 UYC65551 UOG65551 UEK65551 TUO65551 TKS65551 TAW65551 SRA65551 SHE65551 RXI65551 RNM65551 RDQ65551 QTU65551 QJY65551 QAC65551 PQG65551 PGK65551 OWO65551 OMS65551 OCW65551 NTA65551 NJE65551 MZI65551 MPM65551 MFQ65551 LVU65551 LLY65551 LCC65551 KSG65551 KIK65551 JYO65551 JOS65551 JEW65551 IVA65551 ILE65551 IBI65551 HRM65551 HHQ65551 GXU65551 GNY65551 GEC65551 FUG65551 FKK65551 FAO65551 EQS65551 EGW65551 DXA65551 DNE65551 DDI65551 CTM65551 CJQ65551 BZU65551 BPY65551 BGC65551 AWG65551 AMK65551 ACO65551 SS65551 I65551 WLM14:WLM15 I983055 I917519 I851983 I786447 I720911 I655375 I589839 I524303 I458767 I393231 I327695 I262159 I196623 I131087" xr:uid="{00000000-0002-0000-3300-000004000000}">
      <formula1>$D$14:$G$14</formula1>
    </dataValidation>
    <dataValidation type="list" allowBlank="1" showInputMessage="1" showErrorMessage="1" sqref="WVI13 I13 WBQ13 VRU13 VHY13 UYC13 UOG13 UEK13 TUO13 TKS13 TAW13 SRA13 SHE13 RXI13 RNM13 RDQ13 QTU13 QJY13 QAC13 PQG13 PGK13 OWO13 OMS13 OCW13 NTA13 NJE13 MZI13 MPM13 MFQ13 LVU13 LLY13 LCC13 KSG13 KIK13 JYO13 JOS13 JEW13 IVA13 ILE13 IBI13 HRM13 HHQ13 GXU13 GNY13 GEC13 FUG13 FKK13 FAO13 EQS13 EGW13 DXA13 DNE13 DDI13 CTM13 CJQ13 BZU13 BPY13 BGC13 AWG13 AMK13 ACO13 SS13 IW13 WVI983054 WLM983054 WBQ983054 VRU983054 VHY983054 UYC983054 UOG983054 UEK983054 TUO983054 TKS983054 TAW983054 SRA983054 SHE983054 RXI983054 RNM983054 RDQ983054 QTU983054 QJY983054 QAC983054 PQG983054 PGK983054 OWO983054 OMS983054 OCW983054 NTA983054 NJE983054 MZI983054 MPM983054 MFQ983054 LVU983054 LLY983054 LCC983054 KSG983054 KIK983054 JYO983054 JOS983054 JEW983054 IVA983054 ILE983054 IBI983054 HRM983054 HHQ983054 GXU983054 GNY983054 GEC983054 FUG983054 FKK983054 FAO983054 EQS983054 EGW983054 DXA983054 DNE983054 DDI983054 CTM983054 CJQ983054 BZU983054 BPY983054 BGC983054 AWG983054 AMK983054 ACO983054 SS983054 IW983054 WVI917518 WLM917518 WBQ917518 VRU917518 VHY917518 UYC917518 UOG917518 UEK917518 TUO917518 TKS917518 TAW917518 SRA917518 SHE917518 RXI917518 RNM917518 RDQ917518 QTU917518 QJY917518 QAC917518 PQG917518 PGK917518 OWO917518 OMS917518 OCW917518 NTA917518 NJE917518 MZI917518 MPM917518 MFQ917518 LVU917518 LLY917518 LCC917518 KSG917518 KIK917518 JYO917518 JOS917518 JEW917518 IVA917518 ILE917518 IBI917518 HRM917518 HHQ917518 GXU917518 GNY917518 GEC917518 FUG917518 FKK917518 FAO917518 EQS917518 EGW917518 DXA917518 DNE917518 DDI917518 CTM917518 CJQ917518 BZU917518 BPY917518 BGC917518 AWG917518 AMK917518 ACO917518 SS917518 IW917518 WVI851982 WLM851982 WBQ851982 VRU851982 VHY851982 UYC851982 UOG851982 UEK851982 TUO851982 TKS851982 TAW851982 SRA851982 SHE851982 RXI851982 RNM851982 RDQ851982 QTU851982 QJY851982 QAC851982 PQG851982 PGK851982 OWO851982 OMS851982 OCW851982 NTA851982 NJE851982 MZI851982 MPM851982 MFQ851982 LVU851982 LLY851982 LCC851982 KSG851982 KIK851982 JYO851982 JOS851982 JEW851982 IVA851982 ILE851982 IBI851982 HRM851982 HHQ851982 GXU851982 GNY851982 GEC851982 FUG851982 FKK851982 FAO851982 EQS851982 EGW851982 DXA851982 DNE851982 DDI851982 CTM851982 CJQ851982 BZU851982 BPY851982 BGC851982 AWG851982 AMK851982 ACO851982 SS851982 IW851982 WVI786446 WLM786446 WBQ786446 VRU786446 VHY786446 UYC786446 UOG786446 UEK786446 TUO786446 TKS786446 TAW786446 SRA786446 SHE786446 RXI786446 RNM786446 RDQ786446 QTU786446 QJY786446 QAC786446 PQG786446 PGK786446 OWO786446 OMS786446 OCW786446 NTA786446 NJE786446 MZI786446 MPM786446 MFQ786446 LVU786446 LLY786446 LCC786446 KSG786446 KIK786446 JYO786446 JOS786446 JEW786446 IVA786446 ILE786446 IBI786446 HRM786446 HHQ786446 GXU786446 GNY786446 GEC786446 FUG786446 FKK786446 FAO786446 EQS786446 EGW786446 DXA786446 DNE786446 DDI786446 CTM786446 CJQ786446 BZU786446 BPY786446 BGC786446 AWG786446 AMK786446 ACO786446 SS786446 IW786446 WVI720910 WLM720910 WBQ720910 VRU720910 VHY720910 UYC720910 UOG720910 UEK720910 TUO720910 TKS720910 TAW720910 SRA720910 SHE720910 RXI720910 RNM720910 RDQ720910 QTU720910 QJY720910 QAC720910 PQG720910 PGK720910 OWO720910 OMS720910 OCW720910 NTA720910 NJE720910 MZI720910 MPM720910 MFQ720910 LVU720910 LLY720910 LCC720910 KSG720910 KIK720910 JYO720910 JOS720910 JEW720910 IVA720910 ILE720910 IBI720910 HRM720910 HHQ720910 GXU720910 GNY720910 GEC720910 FUG720910 FKK720910 FAO720910 EQS720910 EGW720910 DXA720910 DNE720910 DDI720910 CTM720910 CJQ720910 BZU720910 BPY720910 BGC720910 AWG720910 AMK720910 ACO720910 SS720910 IW720910 WVI655374 WLM655374 WBQ655374 VRU655374 VHY655374 UYC655374 UOG655374 UEK655374 TUO655374 TKS655374 TAW655374 SRA655374 SHE655374 RXI655374 RNM655374 RDQ655374 QTU655374 QJY655374 QAC655374 PQG655374 PGK655374 OWO655374 OMS655374 OCW655374 NTA655374 NJE655374 MZI655374 MPM655374 MFQ655374 LVU655374 LLY655374 LCC655374 KSG655374 KIK655374 JYO655374 JOS655374 JEW655374 IVA655374 ILE655374 IBI655374 HRM655374 HHQ655374 GXU655374 GNY655374 GEC655374 FUG655374 FKK655374 FAO655374 EQS655374 EGW655374 DXA655374 DNE655374 DDI655374 CTM655374 CJQ655374 BZU655374 BPY655374 BGC655374 AWG655374 AMK655374 ACO655374 SS655374 IW655374 WVI589838 WLM589838 WBQ589838 VRU589838 VHY589838 UYC589838 UOG589838 UEK589838 TUO589838 TKS589838 TAW589838 SRA589838 SHE589838 RXI589838 RNM589838 RDQ589838 QTU589838 QJY589838 QAC589838 PQG589838 PGK589838 OWO589838 OMS589838 OCW589838 NTA589838 NJE589838 MZI589838 MPM589838 MFQ589838 LVU589838 LLY589838 LCC589838 KSG589838 KIK589838 JYO589838 JOS589838 JEW589838 IVA589838 ILE589838 IBI589838 HRM589838 HHQ589838 GXU589838 GNY589838 GEC589838 FUG589838 FKK589838 FAO589838 EQS589838 EGW589838 DXA589838 DNE589838 DDI589838 CTM589838 CJQ589838 BZU589838 BPY589838 BGC589838 AWG589838 AMK589838 ACO589838 SS589838 IW589838 WVI524302 WLM524302 WBQ524302 VRU524302 VHY524302 UYC524302 UOG524302 UEK524302 TUO524302 TKS524302 TAW524302 SRA524302 SHE524302 RXI524302 RNM524302 RDQ524302 QTU524302 QJY524302 QAC524302 PQG524302 PGK524302 OWO524302 OMS524302 OCW524302 NTA524302 NJE524302 MZI524302 MPM524302 MFQ524302 LVU524302 LLY524302 LCC524302 KSG524302 KIK524302 JYO524302 JOS524302 JEW524302 IVA524302 ILE524302 IBI524302 HRM524302 HHQ524302 GXU524302 GNY524302 GEC524302 FUG524302 FKK524302 FAO524302 EQS524302 EGW524302 DXA524302 DNE524302 DDI524302 CTM524302 CJQ524302 BZU524302 BPY524302 BGC524302 AWG524302 AMK524302 ACO524302 SS524302 IW524302 WVI458766 WLM458766 WBQ458766 VRU458766 VHY458766 UYC458766 UOG458766 UEK458766 TUO458766 TKS458766 TAW458766 SRA458766 SHE458766 RXI458766 RNM458766 RDQ458766 QTU458766 QJY458766 QAC458766 PQG458766 PGK458766 OWO458766 OMS458766 OCW458766 NTA458766 NJE458766 MZI458766 MPM458766 MFQ458766 LVU458766 LLY458766 LCC458766 KSG458766 KIK458766 JYO458766 JOS458766 JEW458766 IVA458766 ILE458766 IBI458766 HRM458766 HHQ458766 GXU458766 GNY458766 GEC458766 FUG458766 FKK458766 FAO458766 EQS458766 EGW458766 DXA458766 DNE458766 DDI458766 CTM458766 CJQ458766 BZU458766 BPY458766 BGC458766 AWG458766 AMK458766 ACO458766 SS458766 IW458766 WVI393230 WLM393230 WBQ393230 VRU393230 VHY393230 UYC393230 UOG393230 UEK393230 TUO393230 TKS393230 TAW393230 SRA393230 SHE393230 RXI393230 RNM393230 RDQ393230 QTU393230 QJY393230 QAC393230 PQG393230 PGK393230 OWO393230 OMS393230 OCW393230 NTA393230 NJE393230 MZI393230 MPM393230 MFQ393230 LVU393230 LLY393230 LCC393230 KSG393230 KIK393230 JYO393230 JOS393230 JEW393230 IVA393230 ILE393230 IBI393230 HRM393230 HHQ393230 GXU393230 GNY393230 GEC393230 FUG393230 FKK393230 FAO393230 EQS393230 EGW393230 DXA393230 DNE393230 DDI393230 CTM393230 CJQ393230 BZU393230 BPY393230 BGC393230 AWG393230 AMK393230 ACO393230 SS393230 IW393230 WVI327694 WLM327694 WBQ327694 VRU327694 VHY327694 UYC327694 UOG327694 UEK327694 TUO327694 TKS327694 TAW327694 SRA327694 SHE327694 RXI327694 RNM327694 RDQ327694 QTU327694 QJY327694 QAC327694 PQG327694 PGK327694 OWO327694 OMS327694 OCW327694 NTA327694 NJE327694 MZI327694 MPM327694 MFQ327694 LVU327694 LLY327694 LCC327694 KSG327694 KIK327694 JYO327694 JOS327694 JEW327694 IVA327694 ILE327694 IBI327694 HRM327694 HHQ327694 GXU327694 GNY327694 GEC327694 FUG327694 FKK327694 FAO327694 EQS327694 EGW327694 DXA327694 DNE327694 DDI327694 CTM327694 CJQ327694 BZU327694 BPY327694 BGC327694 AWG327694 AMK327694 ACO327694 SS327694 IW327694 WVI262158 WLM262158 WBQ262158 VRU262158 VHY262158 UYC262158 UOG262158 UEK262158 TUO262158 TKS262158 TAW262158 SRA262158 SHE262158 RXI262158 RNM262158 RDQ262158 QTU262158 QJY262158 QAC262158 PQG262158 PGK262158 OWO262158 OMS262158 OCW262158 NTA262158 NJE262158 MZI262158 MPM262158 MFQ262158 LVU262158 LLY262158 LCC262158 KSG262158 KIK262158 JYO262158 JOS262158 JEW262158 IVA262158 ILE262158 IBI262158 HRM262158 HHQ262158 GXU262158 GNY262158 GEC262158 FUG262158 FKK262158 FAO262158 EQS262158 EGW262158 DXA262158 DNE262158 DDI262158 CTM262158 CJQ262158 BZU262158 BPY262158 BGC262158 AWG262158 AMK262158 ACO262158 SS262158 IW262158 WVI196622 WLM196622 WBQ196622 VRU196622 VHY196622 UYC196622 UOG196622 UEK196622 TUO196622 TKS196622 TAW196622 SRA196622 SHE196622 RXI196622 RNM196622 RDQ196622 QTU196622 QJY196622 QAC196622 PQG196622 PGK196622 OWO196622 OMS196622 OCW196622 NTA196622 NJE196622 MZI196622 MPM196622 MFQ196622 LVU196622 LLY196622 LCC196622 KSG196622 KIK196622 JYO196622 JOS196622 JEW196622 IVA196622 ILE196622 IBI196622 HRM196622 HHQ196622 GXU196622 GNY196622 GEC196622 FUG196622 FKK196622 FAO196622 EQS196622 EGW196622 DXA196622 DNE196622 DDI196622 CTM196622 CJQ196622 BZU196622 BPY196622 BGC196622 AWG196622 AMK196622 ACO196622 SS196622 IW196622 WVI131086 WLM131086 WBQ131086 VRU131086 VHY131086 UYC131086 UOG131086 UEK131086 TUO131086 TKS131086 TAW131086 SRA131086 SHE131086 RXI131086 RNM131086 RDQ131086 QTU131086 QJY131086 QAC131086 PQG131086 PGK131086 OWO131086 OMS131086 OCW131086 NTA131086 NJE131086 MZI131086 MPM131086 MFQ131086 LVU131086 LLY131086 LCC131086 KSG131086 KIK131086 JYO131086 JOS131086 JEW131086 IVA131086 ILE131086 IBI131086 HRM131086 HHQ131086 GXU131086 GNY131086 GEC131086 FUG131086 FKK131086 FAO131086 EQS131086 EGW131086 DXA131086 DNE131086 DDI131086 CTM131086 CJQ131086 BZU131086 BPY131086 BGC131086 AWG131086 AMK131086 ACO131086 SS131086 IW131086 WVI65550 WLM65550 WBQ65550 VRU65550 VHY65550 UYC65550 UOG65550 UEK65550 TUO65550 TKS65550 TAW65550 SRA65550 SHE65550 RXI65550 RNM65550 RDQ65550 QTU65550 QJY65550 QAC65550 PQG65550 PGK65550 OWO65550 OMS65550 OCW65550 NTA65550 NJE65550 MZI65550 MPM65550 MFQ65550 LVU65550 LLY65550 LCC65550 KSG65550 KIK65550 JYO65550 JOS65550 JEW65550 IVA65550 ILE65550 IBI65550 HRM65550 HHQ65550 GXU65550 GNY65550 GEC65550 FUG65550 FKK65550 FAO65550 EQS65550 EGW65550 DXA65550 DNE65550 DDI65550 CTM65550 CJQ65550 BZU65550 BPY65550 BGC65550 AWG65550 AMK65550 ACO65550 SS65550 IW65550 I65550 WLM13 I983054 I917518 I851982 I786446 I720910 I655374 I589838 I524302 I458766 I393230 I327694 I262158 I196622 I131086" xr:uid="{00000000-0002-0000-3300-000005000000}">
      <formula1>$D$13:$G$13</formula1>
    </dataValidation>
    <dataValidation type="list" allowBlank="1" showInputMessage="1" showErrorMessage="1" sqref="WVI12 I12 WBQ12 VRU12 VHY12 UYC12 UOG12 UEK12 TUO12 TKS12 TAW12 SRA12 SHE12 RXI12 RNM12 RDQ12 QTU12 QJY12 QAC12 PQG12 PGK12 OWO12 OMS12 OCW12 NTA12 NJE12 MZI12 MPM12 MFQ12 LVU12 LLY12 LCC12 KSG12 KIK12 JYO12 JOS12 JEW12 IVA12 ILE12 IBI12 HRM12 HHQ12 GXU12 GNY12 GEC12 FUG12 FKK12 FAO12 EQS12 EGW12 DXA12 DNE12 DDI12 CTM12 CJQ12 BZU12 BPY12 BGC12 AWG12 AMK12 ACO12 SS12 IW12 WVI983053 WLM983053 WBQ983053 VRU983053 VHY983053 UYC983053 UOG983053 UEK983053 TUO983053 TKS983053 TAW983053 SRA983053 SHE983053 RXI983053 RNM983053 RDQ983053 QTU983053 QJY983053 QAC983053 PQG983053 PGK983053 OWO983053 OMS983053 OCW983053 NTA983053 NJE983053 MZI983053 MPM983053 MFQ983053 LVU983053 LLY983053 LCC983053 KSG983053 KIK983053 JYO983053 JOS983053 JEW983053 IVA983053 ILE983053 IBI983053 HRM983053 HHQ983053 GXU983053 GNY983053 GEC983053 FUG983053 FKK983053 FAO983053 EQS983053 EGW983053 DXA983053 DNE983053 DDI983053 CTM983053 CJQ983053 BZU983053 BPY983053 BGC983053 AWG983053 AMK983053 ACO983053 SS983053 IW983053 WVI917517 WLM917517 WBQ917517 VRU917517 VHY917517 UYC917517 UOG917517 UEK917517 TUO917517 TKS917517 TAW917517 SRA917517 SHE917517 RXI917517 RNM917517 RDQ917517 QTU917517 QJY917517 QAC917517 PQG917517 PGK917517 OWO917517 OMS917517 OCW917517 NTA917517 NJE917517 MZI917517 MPM917517 MFQ917517 LVU917517 LLY917517 LCC917517 KSG917517 KIK917517 JYO917517 JOS917517 JEW917517 IVA917517 ILE917517 IBI917517 HRM917517 HHQ917517 GXU917517 GNY917517 GEC917517 FUG917517 FKK917517 FAO917517 EQS917517 EGW917517 DXA917517 DNE917517 DDI917517 CTM917517 CJQ917517 BZU917517 BPY917517 BGC917517 AWG917517 AMK917517 ACO917517 SS917517 IW917517 WVI851981 WLM851981 WBQ851981 VRU851981 VHY851981 UYC851981 UOG851981 UEK851981 TUO851981 TKS851981 TAW851981 SRA851981 SHE851981 RXI851981 RNM851981 RDQ851981 QTU851981 QJY851981 QAC851981 PQG851981 PGK851981 OWO851981 OMS851981 OCW851981 NTA851981 NJE851981 MZI851981 MPM851981 MFQ851981 LVU851981 LLY851981 LCC851981 KSG851981 KIK851981 JYO851981 JOS851981 JEW851981 IVA851981 ILE851981 IBI851981 HRM851981 HHQ851981 GXU851981 GNY851981 GEC851981 FUG851981 FKK851981 FAO851981 EQS851981 EGW851981 DXA851981 DNE851981 DDI851981 CTM851981 CJQ851981 BZU851981 BPY851981 BGC851981 AWG851981 AMK851981 ACO851981 SS851981 IW851981 WVI786445 WLM786445 WBQ786445 VRU786445 VHY786445 UYC786445 UOG786445 UEK786445 TUO786445 TKS786445 TAW786445 SRA786445 SHE786445 RXI786445 RNM786445 RDQ786445 QTU786445 QJY786445 QAC786445 PQG786445 PGK786445 OWO786445 OMS786445 OCW786445 NTA786445 NJE786445 MZI786445 MPM786445 MFQ786445 LVU786445 LLY786445 LCC786445 KSG786445 KIK786445 JYO786445 JOS786445 JEW786445 IVA786445 ILE786445 IBI786445 HRM786445 HHQ786445 GXU786445 GNY786445 GEC786445 FUG786445 FKK786445 FAO786445 EQS786445 EGW786445 DXA786445 DNE786445 DDI786445 CTM786445 CJQ786445 BZU786445 BPY786445 BGC786445 AWG786445 AMK786445 ACO786445 SS786445 IW786445 WVI720909 WLM720909 WBQ720909 VRU720909 VHY720909 UYC720909 UOG720909 UEK720909 TUO720909 TKS720909 TAW720909 SRA720909 SHE720909 RXI720909 RNM720909 RDQ720909 QTU720909 QJY720909 QAC720909 PQG720909 PGK720909 OWO720909 OMS720909 OCW720909 NTA720909 NJE720909 MZI720909 MPM720909 MFQ720909 LVU720909 LLY720909 LCC720909 KSG720909 KIK720909 JYO720909 JOS720909 JEW720909 IVA720909 ILE720909 IBI720909 HRM720909 HHQ720909 GXU720909 GNY720909 GEC720909 FUG720909 FKK720909 FAO720909 EQS720909 EGW720909 DXA720909 DNE720909 DDI720909 CTM720909 CJQ720909 BZU720909 BPY720909 BGC720909 AWG720909 AMK720909 ACO720909 SS720909 IW720909 WVI655373 WLM655373 WBQ655373 VRU655373 VHY655373 UYC655373 UOG655373 UEK655373 TUO655373 TKS655373 TAW655373 SRA655373 SHE655373 RXI655373 RNM655373 RDQ655373 QTU655373 QJY655373 QAC655373 PQG655373 PGK655373 OWO655373 OMS655373 OCW655373 NTA655373 NJE655373 MZI655373 MPM655373 MFQ655373 LVU655373 LLY655373 LCC655373 KSG655373 KIK655373 JYO655373 JOS655373 JEW655373 IVA655373 ILE655373 IBI655373 HRM655373 HHQ655373 GXU655373 GNY655373 GEC655373 FUG655373 FKK655373 FAO655373 EQS655373 EGW655373 DXA655373 DNE655373 DDI655373 CTM655373 CJQ655373 BZU655373 BPY655373 BGC655373 AWG655373 AMK655373 ACO655373 SS655373 IW655373 WVI589837 WLM589837 WBQ589837 VRU589837 VHY589837 UYC589837 UOG589837 UEK589837 TUO589837 TKS589837 TAW589837 SRA589837 SHE589837 RXI589837 RNM589837 RDQ589837 QTU589837 QJY589837 QAC589837 PQG589837 PGK589837 OWO589837 OMS589837 OCW589837 NTA589837 NJE589837 MZI589837 MPM589837 MFQ589837 LVU589837 LLY589837 LCC589837 KSG589837 KIK589837 JYO589837 JOS589837 JEW589837 IVA589837 ILE589837 IBI589837 HRM589837 HHQ589837 GXU589837 GNY589837 GEC589837 FUG589837 FKK589837 FAO589837 EQS589837 EGW589837 DXA589837 DNE589837 DDI589837 CTM589837 CJQ589837 BZU589837 BPY589837 BGC589837 AWG589837 AMK589837 ACO589837 SS589837 IW589837 WVI524301 WLM524301 WBQ524301 VRU524301 VHY524301 UYC524301 UOG524301 UEK524301 TUO524301 TKS524301 TAW524301 SRA524301 SHE524301 RXI524301 RNM524301 RDQ524301 QTU524301 QJY524301 QAC524301 PQG524301 PGK524301 OWO524301 OMS524301 OCW524301 NTA524301 NJE524301 MZI524301 MPM524301 MFQ524301 LVU524301 LLY524301 LCC524301 KSG524301 KIK524301 JYO524301 JOS524301 JEW524301 IVA524301 ILE524301 IBI524301 HRM524301 HHQ524301 GXU524301 GNY524301 GEC524301 FUG524301 FKK524301 FAO524301 EQS524301 EGW524301 DXA524301 DNE524301 DDI524301 CTM524301 CJQ524301 BZU524301 BPY524301 BGC524301 AWG524301 AMK524301 ACO524301 SS524301 IW524301 WVI458765 WLM458765 WBQ458765 VRU458765 VHY458765 UYC458765 UOG458765 UEK458765 TUO458765 TKS458765 TAW458765 SRA458765 SHE458765 RXI458765 RNM458765 RDQ458765 QTU458765 QJY458765 QAC458765 PQG458765 PGK458765 OWO458765 OMS458765 OCW458765 NTA458765 NJE458765 MZI458765 MPM458765 MFQ458765 LVU458765 LLY458765 LCC458765 KSG458765 KIK458765 JYO458765 JOS458765 JEW458765 IVA458765 ILE458765 IBI458765 HRM458765 HHQ458765 GXU458765 GNY458765 GEC458765 FUG458765 FKK458765 FAO458765 EQS458765 EGW458765 DXA458765 DNE458765 DDI458765 CTM458765 CJQ458765 BZU458765 BPY458765 BGC458765 AWG458765 AMK458765 ACO458765 SS458765 IW458765 WVI393229 WLM393229 WBQ393229 VRU393229 VHY393229 UYC393229 UOG393229 UEK393229 TUO393229 TKS393229 TAW393229 SRA393229 SHE393229 RXI393229 RNM393229 RDQ393229 QTU393229 QJY393229 QAC393229 PQG393229 PGK393229 OWO393229 OMS393229 OCW393229 NTA393229 NJE393229 MZI393229 MPM393229 MFQ393229 LVU393229 LLY393229 LCC393229 KSG393229 KIK393229 JYO393229 JOS393229 JEW393229 IVA393229 ILE393229 IBI393229 HRM393229 HHQ393229 GXU393229 GNY393229 GEC393229 FUG393229 FKK393229 FAO393229 EQS393229 EGW393229 DXA393229 DNE393229 DDI393229 CTM393229 CJQ393229 BZU393229 BPY393229 BGC393229 AWG393229 AMK393229 ACO393229 SS393229 IW393229 WVI327693 WLM327693 WBQ327693 VRU327693 VHY327693 UYC327693 UOG327693 UEK327693 TUO327693 TKS327693 TAW327693 SRA327693 SHE327693 RXI327693 RNM327693 RDQ327693 QTU327693 QJY327693 QAC327693 PQG327693 PGK327693 OWO327693 OMS327693 OCW327693 NTA327693 NJE327693 MZI327693 MPM327693 MFQ327693 LVU327693 LLY327693 LCC327693 KSG327693 KIK327693 JYO327693 JOS327693 JEW327693 IVA327693 ILE327693 IBI327693 HRM327693 HHQ327693 GXU327693 GNY327693 GEC327693 FUG327693 FKK327693 FAO327693 EQS327693 EGW327693 DXA327693 DNE327693 DDI327693 CTM327693 CJQ327693 BZU327693 BPY327693 BGC327693 AWG327693 AMK327693 ACO327693 SS327693 IW327693 WVI262157 WLM262157 WBQ262157 VRU262157 VHY262157 UYC262157 UOG262157 UEK262157 TUO262157 TKS262157 TAW262157 SRA262157 SHE262157 RXI262157 RNM262157 RDQ262157 QTU262157 QJY262157 QAC262157 PQG262157 PGK262157 OWO262157 OMS262157 OCW262157 NTA262157 NJE262157 MZI262157 MPM262157 MFQ262157 LVU262157 LLY262157 LCC262157 KSG262157 KIK262157 JYO262157 JOS262157 JEW262157 IVA262157 ILE262157 IBI262157 HRM262157 HHQ262157 GXU262157 GNY262157 GEC262157 FUG262157 FKK262157 FAO262157 EQS262157 EGW262157 DXA262157 DNE262157 DDI262157 CTM262157 CJQ262157 BZU262157 BPY262157 BGC262157 AWG262157 AMK262157 ACO262157 SS262157 IW262157 WVI196621 WLM196621 WBQ196621 VRU196621 VHY196621 UYC196621 UOG196621 UEK196621 TUO196621 TKS196621 TAW196621 SRA196621 SHE196621 RXI196621 RNM196621 RDQ196621 QTU196621 QJY196621 QAC196621 PQG196621 PGK196621 OWO196621 OMS196621 OCW196621 NTA196621 NJE196621 MZI196621 MPM196621 MFQ196621 LVU196621 LLY196621 LCC196621 KSG196621 KIK196621 JYO196621 JOS196621 JEW196621 IVA196621 ILE196621 IBI196621 HRM196621 HHQ196621 GXU196621 GNY196621 GEC196621 FUG196621 FKK196621 FAO196621 EQS196621 EGW196621 DXA196621 DNE196621 DDI196621 CTM196621 CJQ196621 BZU196621 BPY196621 BGC196621 AWG196621 AMK196621 ACO196621 SS196621 IW196621 WVI131085 WLM131085 WBQ131085 VRU131085 VHY131085 UYC131085 UOG131085 UEK131085 TUO131085 TKS131085 TAW131085 SRA131085 SHE131085 RXI131085 RNM131085 RDQ131085 QTU131085 QJY131085 QAC131085 PQG131085 PGK131085 OWO131085 OMS131085 OCW131085 NTA131085 NJE131085 MZI131085 MPM131085 MFQ131085 LVU131085 LLY131085 LCC131085 KSG131085 KIK131085 JYO131085 JOS131085 JEW131085 IVA131085 ILE131085 IBI131085 HRM131085 HHQ131085 GXU131085 GNY131085 GEC131085 FUG131085 FKK131085 FAO131085 EQS131085 EGW131085 DXA131085 DNE131085 DDI131085 CTM131085 CJQ131085 BZU131085 BPY131085 BGC131085 AWG131085 AMK131085 ACO131085 SS131085 IW131085 WVI65549 WLM65549 WBQ65549 VRU65549 VHY65549 UYC65549 UOG65549 UEK65549 TUO65549 TKS65549 TAW65549 SRA65549 SHE65549 RXI65549 RNM65549 RDQ65549 QTU65549 QJY65549 QAC65549 PQG65549 PGK65549 OWO65549 OMS65549 OCW65549 NTA65549 NJE65549 MZI65549 MPM65549 MFQ65549 LVU65549 LLY65549 LCC65549 KSG65549 KIK65549 JYO65549 JOS65549 JEW65549 IVA65549 ILE65549 IBI65549 HRM65549 HHQ65549 GXU65549 GNY65549 GEC65549 FUG65549 FKK65549 FAO65549 EQS65549 EGW65549 DXA65549 DNE65549 DDI65549 CTM65549 CJQ65549 BZU65549 BPY65549 BGC65549 AWG65549 AMK65549 ACO65549 SS65549 IW65549 I65549 WLM12 I983053 I917517 I851981 I786445 I720909 I655373 I589837 I524301 I458765 I393229 I327693 I262157 I196621 I131085" xr:uid="{00000000-0002-0000-3300-000006000000}">
      <formula1>$D$12:$G$12</formula1>
    </dataValidation>
    <dataValidation type="list" allowBlank="1" showInputMessage="1" showErrorMessage="1" sqref="WVI11 I11 WBQ11 VRU11 VHY11 UYC11 UOG11 UEK11 TUO11 TKS11 TAW11 SRA11 SHE11 RXI11 RNM11 RDQ11 QTU11 QJY11 QAC11 PQG11 PGK11 OWO11 OMS11 OCW11 NTA11 NJE11 MZI11 MPM11 MFQ11 LVU11 LLY11 LCC11 KSG11 KIK11 JYO11 JOS11 JEW11 IVA11 ILE11 IBI11 HRM11 HHQ11 GXU11 GNY11 GEC11 FUG11 FKK11 FAO11 EQS11 EGW11 DXA11 DNE11 DDI11 CTM11 CJQ11 BZU11 BPY11 BGC11 AWG11 AMK11 ACO11 SS11 IW11 WVI983052 WLM983052 WBQ983052 VRU983052 VHY983052 UYC983052 UOG983052 UEK983052 TUO983052 TKS983052 TAW983052 SRA983052 SHE983052 RXI983052 RNM983052 RDQ983052 QTU983052 QJY983052 QAC983052 PQG983052 PGK983052 OWO983052 OMS983052 OCW983052 NTA983052 NJE983052 MZI983052 MPM983052 MFQ983052 LVU983052 LLY983052 LCC983052 KSG983052 KIK983052 JYO983052 JOS983052 JEW983052 IVA983052 ILE983052 IBI983052 HRM983052 HHQ983052 GXU983052 GNY983052 GEC983052 FUG983052 FKK983052 FAO983052 EQS983052 EGW983052 DXA983052 DNE983052 DDI983052 CTM983052 CJQ983052 BZU983052 BPY983052 BGC983052 AWG983052 AMK983052 ACO983052 SS983052 IW983052 WVI917516 WLM917516 WBQ917516 VRU917516 VHY917516 UYC917516 UOG917516 UEK917516 TUO917516 TKS917516 TAW917516 SRA917516 SHE917516 RXI917516 RNM917516 RDQ917516 QTU917516 QJY917516 QAC917516 PQG917516 PGK917516 OWO917516 OMS917516 OCW917516 NTA917516 NJE917516 MZI917516 MPM917516 MFQ917516 LVU917516 LLY917516 LCC917516 KSG917516 KIK917516 JYO917516 JOS917516 JEW917516 IVA917516 ILE917516 IBI917516 HRM917516 HHQ917516 GXU917516 GNY917516 GEC917516 FUG917516 FKK917516 FAO917516 EQS917516 EGW917516 DXA917516 DNE917516 DDI917516 CTM917516 CJQ917516 BZU917516 BPY917516 BGC917516 AWG917516 AMK917516 ACO917516 SS917516 IW917516 WVI851980 WLM851980 WBQ851980 VRU851980 VHY851980 UYC851980 UOG851980 UEK851980 TUO851980 TKS851980 TAW851980 SRA851980 SHE851980 RXI851980 RNM851980 RDQ851980 QTU851980 QJY851980 QAC851980 PQG851980 PGK851980 OWO851980 OMS851980 OCW851980 NTA851980 NJE851980 MZI851980 MPM851980 MFQ851980 LVU851980 LLY851980 LCC851980 KSG851980 KIK851980 JYO851980 JOS851980 JEW851980 IVA851980 ILE851980 IBI851980 HRM851980 HHQ851980 GXU851980 GNY851980 GEC851980 FUG851980 FKK851980 FAO851980 EQS851980 EGW851980 DXA851980 DNE851980 DDI851980 CTM851980 CJQ851980 BZU851980 BPY851980 BGC851980 AWG851980 AMK851980 ACO851980 SS851980 IW851980 WVI786444 WLM786444 WBQ786444 VRU786444 VHY786444 UYC786444 UOG786444 UEK786444 TUO786444 TKS786444 TAW786444 SRA786444 SHE786444 RXI786444 RNM786444 RDQ786444 QTU786444 QJY786444 QAC786444 PQG786444 PGK786444 OWO786444 OMS786444 OCW786444 NTA786444 NJE786444 MZI786444 MPM786444 MFQ786444 LVU786444 LLY786444 LCC786444 KSG786444 KIK786444 JYO786444 JOS786444 JEW786444 IVA786444 ILE786444 IBI786444 HRM786444 HHQ786444 GXU786444 GNY786444 GEC786444 FUG786444 FKK786444 FAO786444 EQS786444 EGW786444 DXA786444 DNE786444 DDI786444 CTM786444 CJQ786444 BZU786444 BPY786444 BGC786444 AWG786444 AMK786444 ACO786444 SS786444 IW786444 WVI720908 WLM720908 WBQ720908 VRU720908 VHY720908 UYC720908 UOG720908 UEK720908 TUO720908 TKS720908 TAW720908 SRA720908 SHE720908 RXI720908 RNM720908 RDQ720908 QTU720908 QJY720908 QAC720908 PQG720908 PGK720908 OWO720908 OMS720908 OCW720908 NTA720908 NJE720908 MZI720908 MPM720908 MFQ720908 LVU720908 LLY720908 LCC720908 KSG720908 KIK720908 JYO720908 JOS720908 JEW720908 IVA720908 ILE720908 IBI720908 HRM720908 HHQ720908 GXU720908 GNY720908 GEC720908 FUG720908 FKK720908 FAO720908 EQS720908 EGW720908 DXA720908 DNE720908 DDI720908 CTM720908 CJQ720908 BZU720908 BPY720908 BGC720908 AWG720908 AMK720908 ACO720908 SS720908 IW720908 WVI655372 WLM655372 WBQ655372 VRU655372 VHY655372 UYC655372 UOG655372 UEK655372 TUO655372 TKS655372 TAW655372 SRA655372 SHE655372 RXI655372 RNM655372 RDQ655372 QTU655372 QJY655372 QAC655372 PQG655372 PGK655372 OWO655372 OMS655372 OCW655372 NTA655372 NJE655372 MZI655372 MPM655372 MFQ655372 LVU655372 LLY655372 LCC655372 KSG655372 KIK655372 JYO655372 JOS655372 JEW655372 IVA655372 ILE655372 IBI655372 HRM655372 HHQ655372 GXU655372 GNY655372 GEC655372 FUG655372 FKK655372 FAO655372 EQS655372 EGW655372 DXA655372 DNE655372 DDI655372 CTM655372 CJQ655372 BZU655372 BPY655372 BGC655372 AWG655372 AMK655372 ACO655372 SS655372 IW655372 WVI589836 WLM589836 WBQ589836 VRU589836 VHY589836 UYC589836 UOG589836 UEK589836 TUO589836 TKS589836 TAW589836 SRA589836 SHE589836 RXI589836 RNM589836 RDQ589836 QTU589836 QJY589836 QAC589836 PQG589836 PGK589836 OWO589836 OMS589836 OCW589836 NTA589836 NJE589836 MZI589836 MPM589836 MFQ589836 LVU589836 LLY589836 LCC589836 KSG589836 KIK589836 JYO589836 JOS589836 JEW589836 IVA589836 ILE589836 IBI589836 HRM589836 HHQ589836 GXU589836 GNY589836 GEC589836 FUG589836 FKK589836 FAO589836 EQS589836 EGW589836 DXA589836 DNE589836 DDI589836 CTM589836 CJQ589836 BZU589836 BPY589836 BGC589836 AWG589836 AMK589836 ACO589836 SS589836 IW589836 WVI524300 WLM524300 WBQ524300 VRU524300 VHY524300 UYC524300 UOG524300 UEK524300 TUO524300 TKS524300 TAW524300 SRA524300 SHE524300 RXI524300 RNM524300 RDQ524300 QTU524300 QJY524300 QAC524300 PQG524300 PGK524300 OWO524300 OMS524300 OCW524300 NTA524300 NJE524300 MZI524300 MPM524300 MFQ524300 LVU524300 LLY524300 LCC524300 KSG524300 KIK524300 JYO524300 JOS524300 JEW524300 IVA524300 ILE524300 IBI524300 HRM524300 HHQ524300 GXU524300 GNY524300 GEC524300 FUG524300 FKK524300 FAO524300 EQS524300 EGW524300 DXA524300 DNE524300 DDI524300 CTM524300 CJQ524300 BZU524300 BPY524300 BGC524300 AWG524300 AMK524300 ACO524300 SS524300 IW524300 WVI458764 WLM458764 WBQ458764 VRU458764 VHY458764 UYC458764 UOG458764 UEK458764 TUO458764 TKS458764 TAW458764 SRA458764 SHE458764 RXI458764 RNM458764 RDQ458764 QTU458764 QJY458764 QAC458764 PQG458764 PGK458764 OWO458764 OMS458764 OCW458764 NTA458764 NJE458764 MZI458764 MPM458764 MFQ458764 LVU458764 LLY458764 LCC458764 KSG458764 KIK458764 JYO458764 JOS458764 JEW458764 IVA458764 ILE458764 IBI458764 HRM458764 HHQ458764 GXU458764 GNY458764 GEC458764 FUG458764 FKK458764 FAO458764 EQS458764 EGW458764 DXA458764 DNE458764 DDI458764 CTM458764 CJQ458764 BZU458764 BPY458764 BGC458764 AWG458764 AMK458764 ACO458764 SS458764 IW458764 WVI393228 WLM393228 WBQ393228 VRU393228 VHY393228 UYC393228 UOG393228 UEK393228 TUO393228 TKS393228 TAW393228 SRA393228 SHE393228 RXI393228 RNM393228 RDQ393228 QTU393228 QJY393228 QAC393228 PQG393228 PGK393228 OWO393228 OMS393228 OCW393228 NTA393228 NJE393228 MZI393228 MPM393228 MFQ393228 LVU393228 LLY393228 LCC393228 KSG393228 KIK393228 JYO393228 JOS393228 JEW393228 IVA393228 ILE393228 IBI393228 HRM393228 HHQ393228 GXU393228 GNY393228 GEC393228 FUG393228 FKK393228 FAO393228 EQS393228 EGW393228 DXA393228 DNE393228 DDI393228 CTM393228 CJQ393228 BZU393228 BPY393228 BGC393228 AWG393228 AMK393228 ACO393228 SS393228 IW393228 WVI327692 WLM327692 WBQ327692 VRU327692 VHY327692 UYC327692 UOG327692 UEK327692 TUO327692 TKS327692 TAW327692 SRA327692 SHE327692 RXI327692 RNM327692 RDQ327692 QTU327692 QJY327692 QAC327692 PQG327692 PGK327692 OWO327692 OMS327692 OCW327692 NTA327692 NJE327692 MZI327692 MPM327692 MFQ327692 LVU327692 LLY327692 LCC327692 KSG327692 KIK327692 JYO327692 JOS327692 JEW327692 IVA327692 ILE327692 IBI327692 HRM327692 HHQ327692 GXU327692 GNY327692 GEC327692 FUG327692 FKK327692 FAO327692 EQS327692 EGW327692 DXA327692 DNE327692 DDI327692 CTM327692 CJQ327692 BZU327692 BPY327692 BGC327692 AWG327692 AMK327692 ACO327692 SS327692 IW327692 WVI262156 WLM262156 WBQ262156 VRU262156 VHY262156 UYC262156 UOG262156 UEK262156 TUO262156 TKS262156 TAW262156 SRA262156 SHE262156 RXI262156 RNM262156 RDQ262156 QTU262156 QJY262156 QAC262156 PQG262156 PGK262156 OWO262156 OMS262156 OCW262156 NTA262156 NJE262156 MZI262156 MPM262156 MFQ262156 LVU262156 LLY262156 LCC262156 KSG262156 KIK262156 JYO262156 JOS262156 JEW262156 IVA262156 ILE262156 IBI262156 HRM262156 HHQ262156 GXU262156 GNY262156 GEC262156 FUG262156 FKK262156 FAO262156 EQS262156 EGW262156 DXA262156 DNE262156 DDI262156 CTM262156 CJQ262156 BZU262156 BPY262156 BGC262156 AWG262156 AMK262156 ACO262156 SS262156 IW262156 WVI196620 WLM196620 WBQ196620 VRU196620 VHY196620 UYC196620 UOG196620 UEK196620 TUO196620 TKS196620 TAW196620 SRA196620 SHE196620 RXI196620 RNM196620 RDQ196620 QTU196620 QJY196620 QAC196620 PQG196620 PGK196620 OWO196620 OMS196620 OCW196620 NTA196620 NJE196620 MZI196620 MPM196620 MFQ196620 LVU196620 LLY196620 LCC196620 KSG196620 KIK196620 JYO196620 JOS196620 JEW196620 IVA196620 ILE196620 IBI196620 HRM196620 HHQ196620 GXU196620 GNY196620 GEC196620 FUG196620 FKK196620 FAO196620 EQS196620 EGW196620 DXA196620 DNE196620 DDI196620 CTM196620 CJQ196620 BZU196620 BPY196620 BGC196620 AWG196620 AMK196620 ACO196620 SS196620 IW196620 WVI131084 WLM131084 WBQ131084 VRU131084 VHY131084 UYC131084 UOG131084 UEK131084 TUO131084 TKS131084 TAW131084 SRA131084 SHE131084 RXI131084 RNM131084 RDQ131084 QTU131084 QJY131084 QAC131084 PQG131084 PGK131084 OWO131084 OMS131084 OCW131084 NTA131084 NJE131084 MZI131084 MPM131084 MFQ131084 LVU131084 LLY131084 LCC131084 KSG131084 KIK131084 JYO131084 JOS131084 JEW131084 IVA131084 ILE131084 IBI131084 HRM131084 HHQ131084 GXU131084 GNY131084 GEC131084 FUG131084 FKK131084 FAO131084 EQS131084 EGW131084 DXA131084 DNE131084 DDI131084 CTM131084 CJQ131084 BZU131084 BPY131084 BGC131084 AWG131084 AMK131084 ACO131084 SS131084 IW131084 WVI65548 WLM65548 WBQ65548 VRU65548 VHY65548 UYC65548 UOG65548 UEK65548 TUO65548 TKS65548 TAW65548 SRA65548 SHE65548 RXI65548 RNM65548 RDQ65548 QTU65548 QJY65548 QAC65548 PQG65548 PGK65548 OWO65548 OMS65548 OCW65548 NTA65548 NJE65548 MZI65548 MPM65548 MFQ65548 LVU65548 LLY65548 LCC65548 KSG65548 KIK65548 JYO65548 JOS65548 JEW65548 IVA65548 ILE65548 IBI65548 HRM65548 HHQ65548 GXU65548 GNY65548 GEC65548 FUG65548 FKK65548 FAO65548 EQS65548 EGW65548 DXA65548 DNE65548 DDI65548 CTM65548 CJQ65548 BZU65548 BPY65548 BGC65548 AWG65548 AMK65548 ACO65548 SS65548 IW65548 I65548 WLM11 I983052 I917516 I851980 I786444 I720908 I655372 I589836 I524300 I458764 I393228 I327692 I262156 I196620 I131084" xr:uid="{00000000-0002-0000-3300-000007000000}">
      <formula1>$D$11:$G$11</formula1>
    </dataValidation>
    <dataValidation type="list" allowBlank="1" showInputMessage="1" showErrorMessage="1" sqref="WVI9:WVI10 I9 SS9:SS10 ACO9:ACO10 AMK9:AMK10 AWG9:AWG10 BGC9:BGC10 BPY9:BPY10 BZU9:BZU10 CJQ9:CJQ10 CTM9:CTM10 DDI9:DDI10 DNE9:DNE10 DXA9:DXA10 EGW9:EGW10 EQS9:EQS10 FAO9:FAO10 FKK9:FKK10 FUG9:FUG10 GEC9:GEC10 GNY9:GNY10 GXU9:GXU10 HHQ9:HHQ10 HRM9:HRM10 IBI9:IBI10 ILE9:ILE10 IVA9:IVA10 JEW9:JEW10 JOS9:JOS10 JYO9:JYO10 KIK9:KIK10 KSG9:KSG10 LCC9:LCC10 LLY9:LLY10 LVU9:LVU10 MFQ9:MFQ10 MPM9:MPM10 MZI9:MZI10 NJE9:NJE10 NTA9:NTA10 OCW9:OCW10 OMS9:OMS10 OWO9:OWO10 PGK9:PGK10 PQG9:PQG10 QAC9:QAC10 QJY9:QJY10 QTU9:QTU10 RDQ9:RDQ10 RNM9:RNM10 RXI9:RXI10 SHE9:SHE10 SRA9:SRA10 TAW9:TAW10 TKS9:TKS10 TUO9:TUO10 UEK9:UEK10 UOG9:UOG10 UYC9:UYC10 VHY9:VHY10 VRU9:VRU10 WBQ9:WBQ10 WLM9:WLM10 IW65547 SS65547 ACO65547 AMK65547 AWG65547 BGC65547 BPY65547 BZU65547 CJQ65547 CTM65547 DDI65547 DNE65547 DXA65547 EGW65547 EQS65547 FAO65547 FKK65547 FUG65547 GEC65547 GNY65547 GXU65547 HHQ65547 HRM65547 IBI65547 ILE65547 IVA65547 JEW65547 JOS65547 JYO65547 KIK65547 KSG65547 LCC65547 LLY65547 LVU65547 MFQ65547 MPM65547 MZI65547 NJE65547 NTA65547 OCW65547 OMS65547 OWO65547 PGK65547 PQG65547 QAC65547 QJY65547 QTU65547 RDQ65547 RNM65547 RXI65547 SHE65547 SRA65547 TAW65547 TKS65547 TUO65547 UEK65547 UOG65547 UYC65547 VHY65547 VRU65547 WBQ65547 WLM65547 WVI65547 IW131083 SS131083 ACO131083 AMK131083 AWG131083 BGC131083 BPY131083 BZU131083 CJQ131083 CTM131083 DDI131083 DNE131083 DXA131083 EGW131083 EQS131083 FAO131083 FKK131083 FUG131083 GEC131083 GNY131083 GXU131083 HHQ131083 HRM131083 IBI131083 ILE131083 IVA131083 JEW131083 JOS131083 JYO131083 KIK131083 KSG131083 LCC131083 LLY131083 LVU131083 MFQ131083 MPM131083 MZI131083 NJE131083 NTA131083 OCW131083 OMS131083 OWO131083 PGK131083 PQG131083 QAC131083 QJY131083 QTU131083 RDQ131083 RNM131083 RXI131083 SHE131083 SRA131083 TAW131083 TKS131083 TUO131083 UEK131083 UOG131083 UYC131083 VHY131083 VRU131083 WBQ131083 WLM131083 WVI131083 IW196619 SS196619 ACO196619 AMK196619 AWG196619 BGC196619 BPY196619 BZU196619 CJQ196619 CTM196619 DDI196619 DNE196619 DXA196619 EGW196619 EQS196619 FAO196619 FKK196619 FUG196619 GEC196619 GNY196619 GXU196619 HHQ196619 HRM196619 IBI196619 ILE196619 IVA196619 JEW196619 JOS196619 JYO196619 KIK196619 KSG196619 LCC196619 LLY196619 LVU196619 MFQ196619 MPM196619 MZI196619 NJE196619 NTA196619 OCW196619 OMS196619 OWO196619 PGK196619 PQG196619 QAC196619 QJY196619 QTU196619 RDQ196619 RNM196619 RXI196619 SHE196619 SRA196619 TAW196619 TKS196619 TUO196619 UEK196619 UOG196619 UYC196619 VHY196619 VRU196619 WBQ196619 WLM196619 WVI196619 IW262155 SS262155 ACO262155 AMK262155 AWG262155 BGC262155 BPY262155 BZU262155 CJQ262155 CTM262155 DDI262155 DNE262155 DXA262155 EGW262155 EQS262155 FAO262155 FKK262155 FUG262155 GEC262155 GNY262155 GXU262155 HHQ262155 HRM262155 IBI262155 ILE262155 IVA262155 JEW262155 JOS262155 JYO262155 KIK262155 KSG262155 LCC262155 LLY262155 LVU262155 MFQ262155 MPM262155 MZI262155 NJE262155 NTA262155 OCW262155 OMS262155 OWO262155 PGK262155 PQG262155 QAC262155 QJY262155 QTU262155 RDQ262155 RNM262155 RXI262155 SHE262155 SRA262155 TAW262155 TKS262155 TUO262155 UEK262155 UOG262155 UYC262155 VHY262155 VRU262155 WBQ262155 WLM262155 WVI262155 IW327691 SS327691 ACO327691 AMK327691 AWG327691 BGC327691 BPY327691 BZU327691 CJQ327691 CTM327691 DDI327691 DNE327691 DXA327691 EGW327691 EQS327691 FAO327691 FKK327691 FUG327691 GEC327691 GNY327691 GXU327691 HHQ327691 HRM327691 IBI327691 ILE327691 IVA327691 JEW327691 JOS327691 JYO327691 KIK327691 KSG327691 LCC327691 LLY327691 LVU327691 MFQ327691 MPM327691 MZI327691 NJE327691 NTA327691 OCW327691 OMS327691 OWO327691 PGK327691 PQG327691 QAC327691 QJY327691 QTU327691 RDQ327691 RNM327691 RXI327691 SHE327691 SRA327691 TAW327691 TKS327691 TUO327691 UEK327691 UOG327691 UYC327691 VHY327691 VRU327691 WBQ327691 WLM327691 WVI327691 IW393227 SS393227 ACO393227 AMK393227 AWG393227 BGC393227 BPY393227 BZU393227 CJQ393227 CTM393227 DDI393227 DNE393227 DXA393227 EGW393227 EQS393227 FAO393227 FKK393227 FUG393227 GEC393227 GNY393227 GXU393227 HHQ393227 HRM393227 IBI393227 ILE393227 IVA393227 JEW393227 JOS393227 JYO393227 KIK393227 KSG393227 LCC393227 LLY393227 LVU393227 MFQ393227 MPM393227 MZI393227 NJE393227 NTA393227 OCW393227 OMS393227 OWO393227 PGK393227 PQG393227 QAC393227 QJY393227 QTU393227 RDQ393227 RNM393227 RXI393227 SHE393227 SRA393227 TAW393227 TKS393227 TUO393227 UEK393227 UOG393227 UYC393227 VHY393227 VRU393227 WBQ393227 WLM393227 WVI393227 IW458763 SS458763 ACO458763 AMK458763 AWG458763 BGC458763 BPY458763 BZU458763 CJQ458763 CTM458763 DDI458763 DNE458763 DXA458763 EGW458763 EQS458763 FAO458763 FKK458763 FUG458763 GEC458763 GNY458763 GXU458763 HHQ458763 HRM458763 IBI458763 ILE458763 IVA458763 JEW458763 JOS458763 JYO458763 KIK458763 KSG458763 LCC458763 LLY458763 LVU458763 MFQ458763 MPM458763 MZI458763 NJE458763 NTA458763 OCW458763 OMS458763 OWO458763 PGK458763 PQG458763 QAC458763 QJY458763 QTU458763 RDQ458763 RNM458763 RXI458763 SHE458763 SRA458763 TAW458763 TKS458763 TUO458763 UEK458763 UOG458763 UYC458763 VHY458763 VRU458763 WBQ458763 WLM458763 WVI458763 IW524299 SS524299 ACO524299 AMK524299 AWG524299 BGC524299 BPY524299 BZU524299 CJQ524299 CTM524299 DDI524299 DNE524299 DXA524299 EGW524299 EQS524299 FAO524299 FKK524299 FUG524299 GEC524299 GNY524299 GXU524299 HHQ524299 HRM524299 IBI524299 ILE524299 IVA524299 JEW524299 JOS524299 JYO524299 KIK524299 KSG524299 LCC524299 LLY524299 LVU524299 MFQ524299 MPM524299 MZI524299 NJE524299 NTA524299 OCW524299 OMS524299 OWO524299 PGK524299 PQG524299 QAC524299 QJY524299 QTU524299 RDQ524299 RNM524299 RXI524299 SHE524299 SRA524299 TAW524299 TKS524299 TUO524299 UEK524299 UOG524299 UYC524299 VHY524299 VRU524299 WBQ524299 WLM524299 WVI524299 IW589835 SS589835 ACO589835 AMK589835 AWG589835 BGC589835 BPY589835 BZU589835 CJQ589835 CTM589835 DDI589835 DNE589835 DXA589835 EGW589835 EQS589835 FAO589835 FKK589835 FUG589835 GEC589835 GNY589835 GXU589835 HHQ589835 HRM589835 IBI589835 ILE589835 IVA589835 JEW589835 JOS589835 JYO589835 KIK589835 KSG589835 LCC589835 LLY589835 LVU589835 MFQ589835 MPM589835 MZI589835 NJE589835 NTA589835 OCW589835 OMS589835 OWO589835 PGK589835 PQG589835 QAC589835 QJY589835 QTU589835 RDQ589835 RNM589835 RXI589835 SHE589835 SRA589835 TAW589835 TKS589835 TUO589835 UEK589835 UOG589835 UYC589835 VHY589835 VRU589835 WBQ589835 WLM589835 WVI589835 IW655371 SS655371 ACO655371 AMK655371 AWG655371 BGC655371 BPY655371 BZU655371 CJQ655371 CTM655371 DDI655371 DNE655371 DXA655371 EGW655371 EQS655371 FAO655371 FKK655371 FUG655371 GEC655371 GNY655371 GXU655371 HHQ655371 HRM655371 IBI655371 ILE655371 IVA655371 JEW655371 JOS655371 JYO655371 KIK655371 KSG655371 LCC655371 LLY655371 LVU655371 MFQ655371 MPM655371 MZI655371 NJE655371 NTA655371 OCW655371 OMS655371 OWO655371 PGK655371 PQG655371 QAC655371 QJY655371 QTU655371 RDQ655371 RNM655371 RXI655371 SHE655371 SRA655371 TAW655371 TKS655371 TUO655371 UEK655371 UOG655371 UYC655371 VHY655371 VRU655371 WBQ655371 WLM655371 WVI655371 IW720907 SS720907 ACO720907 AMK720907 AWG720907 BGC720907 BPY720907 BZU720907 CJQ720907 CTM720907 DDI720907 DNE720907 DXA720907 EGW720907 EQS720907 FAO720907 FKK720907 FUG720907 GEC720907 GNY720907 GXU720907 HHQ720907 HRM720907 IBI720907 ILE720907 IVA720907 JEW720907 JOS720907 JYO720907 KIK720907 KSG720907 LCC720907 LLY720907 LVU720907 MFQ720907 MPM720907 MZI720907 NJE720907 NTA720907 OCW720907 OMS720907 OWO720907 PGK720907 PQG720907 QAC720907 QJY720907 QTU720907 RDQ720907 RNM720907 RXI720907 SHE720907 SRA720907 TAW720907 TKS720907 TUO720907 UEK720907 UOG720907 UYC720907 VHY720907 VRU720907 WBQ720907 WLM720907 WVI720907 IW786443 SS786443 ACO786443 AMK786443 AWG786443 BGC786443 BPY786443 BZU786443 CJQ786443 CTM786443 DDI786443 DNE786443 DXA786443 EGW786443 EQS786443 FAO786443 FKK786443 FUG786443 GEC786443 GNY786443 GXU786443 HHQ786443 HRM786443 IBI786443 ILE786443 IVA786443 JEW786443 JOS786443 JYO786443 KIK786443 KSG786443 LCC786443 LLY786443 LVU786443 MFQ786443 MPM786443 MZI786443 NJE786443 NTA786443 OCW786443 OMS786443 OWO786443 PGK786443 PQG786443 QAC786443 QJY786443 QTU786443 RDQ786443 RNM786443 RXI786443 SHE786443 SRA786443 TAW786443 TKS786443 TUO786443 UEK786443 UOG786443 UYC786443 VHY786443 VRU786443 WBQ786443 WLM786443 WVI786443 IW851979 SS851979 ACO851979 AMK851979 AWG851979 BGC851979 BPY851979 BZU851979 CJQ851979 CTM851979 DDI851979 DNE851979 DXA851979 EGW851979 EQS851979 FAO851979 FKK851979 FUG851979 GEC851979 GNY851979 GXU851979 HHQ851979 HRM851979 IBI851979 ILE851979 IVA851979 JEW851979 JOS851979 JYO851979 KIK851979 KSG851979 LCC851979 LLY851979 LVU851979 MFQ851979 MPM851979 MZI851979 NJE851979 NTA851979 OCW851979 OMS851979 OWO851979 PGK851979 PQG851979 QAC851979 QJY851979 QTU851979 RDQ851979 RNM851979 RXI851979 SHE851979 SRA851979 TAW851979 TKS851979 TUO851979 UEK851979 UOG851979 UYC851979 VHY851979 VRU851979 WBQ851979 WLM851979 WVI851979 IW917515 SS917515 ACO917515 AMK917515 AWG917515 BGC917515 BPY917515 BZU917515 CJQ917515 CTM917515 DDI917515 DNE917515 DXA917515 EGW917515 EQS917515 FAO917515 FKK917515 FUG917515 GEC917515 GNY917515 GXU917515 HHQ917515 HRM917515 IBI917515 ILE917515 IVA917515 JEW917515 JOS917515 JYO917515 KIK917515 KSG917515 LCC917515 LLY917515 LVU917515 MFQ917515 MPM917515 MZI917515 NJE917515 NTA917515 OCW917515 OMS917515 OWO917515 PGK917515 PQG917515 QAC917515 QJY917515 QTU917515 RDQ917515 RNM917515 RXI917515 SHE917515 SRA917515 TAW917515 TKS917515 TUO917515 UEK917515 UOG917515 UYC917515 VHY917515 VRU917515 WBQ917515 WLM917515 WVI917515 IW983051 SS983051 ACO983051 AMK983051 AWG983051 BGC983051 BPY983051 BZU983051 CJQ983051 CTM983051 DDI983051 DNE983051 DXA983051 EGW983051 EQS983051 FAO983051 FKK983051 FUG983051 GEC983051 GNY983051 GXU983051 HHQ983051 HRM983051 IBI983051 ILE983051 IVA983051 JEW983051 JOS983051 JYO983051 KIK983051 KSG983051 LCC983051 LLY983051 LVU983051 MFQ983051 MPM983051 MZI983051 NJE983051 NTA983051 OCW983051 OMS983051 OWO983051 PGK983051 PQG983051 QAC983051 QJY983051 QTU983051 RDQ983051 RNM983051 RXI983051 SHE983051 SRA983051 TAW983051 TKS983051 TUO983051 UEK983051 UOG983051 UYC983051 VHY983051 VRU983051 WBQ983051 WLM983051 WVI983051 I65547 IW9:IW10 I131083 I196619 I262155 I327691 I393227 I458763 I524299 I589835 I655371 I720907 I786443 I851979 I917515 I983051" xr:uid="{00000000-0002-0000-3300-000008000000}">
      <formula1>$D$9:$G$9</formula1>
    </dataValidation>
    <dataValidation type="list" allowBlank="1" showInputMessage="1" showErrorMessage="1" sqref="IW8 I8 ACO8 AMK8 AWG8 BGC8 BPY8 BZU8 CJQ8 CTM8 DDI8 DNE8 DXA8 EGW8 EQS8 FAO8 FKK8 FUG8 GEC8 GNY8 GXU8 HHQ8 HRM8 IBI8 ILE8 IVA8 JEW8 JOS8 JYO8 KIK8 KSG8 LCC8 LLY8 LVU8 MFQ8 MPM8 MZI8 NJE8 NTA8 OCW8 OMS8 OWO8 PGK8 PQG8 QAC8 QJY8 QTU8 RDQ8 RNM8 RXI8 SHE8 SRA8 TAW8 TKS8 TUO8 UEK8 UOG8 UYC8 VHY8 VRU8 WBQ8 WLM8 WVI8 IW65546 SS65546 ACO65546 AMK65546 AWG65546 BGC65546 BPY65546 BZU65546 CJQ65546 CTM65546 DDI65546 DNE65546 DXA65546 EGW65546 EQS65546 FAO65546 FKK65546 FUG65546 GEC65546 GNY65546 GXU65546 HHQ65546 HRM65546 IBI65546 ILE65546 IVA65546 JEW65546 JOS65546 JYO65546 KIK65546 KSG65546 LCC65546 LLY65546 LVU65546 MFQ65546 MPM65546 MZI65546 NJE65546 NTA65546 OCW65546 OMS65546 OWO65546 PGK65546 PQG65546 QAC65546 QJY65546 QTU65546 RDQ65546 RNM65546 RXI65546 SHE65546 SRA65546 TAW65546 TKS65546 TUO65546 UEK65546 UOG65546 UYC65546 VHY65546 VRU65546 WBQ65546 WLM65546 WVI65546 IW131082 SS131082 ACO131082 AMK131082 AWG131082 BGC131082 BPY131082 BZU131082 CJQ131082 CTM131082 DDI131082 DNE131082 DXA131082 EGW131082 EQS131082 FAO131082 FKK131082 FUG131082 GEC131082 GNY131082 GXU131082 HHQ131082 HRM131082 IBI131082 ILE131082 IVA131082 JEW131082 JOS131082 JYO131082 KIK131082 KSG131082 LCC131082 LLY131082 LVU131082 MFQ131082 MPM131082 MZI131082 NJE131082 NTA131082 OCW131082 OMS131082 OWO131082 PGK131082 PQG131082 QAC131082 QJY131082 QTU131082 RDQ131082 RNM131082 RXI131082 SHE131082 SRA131082 TAW131082 TKS131082 TUO131082 UEK131082 UOG131082 UYC131082 VHY131082 VRU131082 WBQ131082 WLM131082 WVI131082 IW196618 SS196618 ACO196618 AMK196618 AWG196618 BGC196618 BPY196618 BZU196618 CJQ196618 CTM196618 DDI196618 DNE196618 DXA196618 EGW196618 EQS196618 FAO196618 FKK196618 FUG196618 GEC196618 GNY196618 GXU196618 HHQ196618 HRM196618 IBI196618 ILE196618 IVA196618 JEW196618 JOS196618 JYO196618 KIK196618 KSG196618 LCC196618 LLY196618 LVU196618 MFQ196618 MPM196618 MZI196618 NJE196618 NTA196618 OCW196618 OMS196618 OWO196618 PGK196618 PQG196618 QAC196618 QJY196618 QTU196618 RDQ196618 RNM196618 RXI196618 SHE196618 SRA196618 TAW196618 TKS196618 TUO196618 UEK196618 UOG196618 UYC196618 VHY196618 VRU196618 WBQ196618 WLM196618 WVI196618 IW262154 SS262154 ACO262154 AMK262154 AWG262154 BGC262154 BPY262154 BZU262154 CJQ262154 CTM262154 DDI262154 DNE262154 DXA262154 EGW262154 EQS262154 FAO262154 FKK262154 FUG262154 GEC262154 GNY262154 GXU262154 HHQ262154 HRM262154 IBI262154 ILE262154 IVA262154 JEW262154 JOS262154 JYO262154 KIK262154 KSG262154 LCC262154 LLY262154 LVU262154 MFQ262154 MPM262154 MZI262154 NJE262154 NTA262154 OCW262154 OMS262154 OWO262154 PGK262154 PQG262154 QAC262154 QJY262154 QTU262154 RDQ262154 RNM262154 RXI262154 SHE262154 SRA262154 TAW262154 TKS262154 TUO262154 UEK262154 UOG262154 UYC262154 VHY262154 VRU262154 WBQ262154 WLM262154 WVI262154 IW327690 SS327690 ACO327690 AMK327690 AWG327690 BGC327690 BPY327690 BZU327690 CJQ327690 CTM327690 DDI327690 DNE327690 DXA327690 EGW327690 EQS327690 FAO327690 FKK327690 FUG327690 GEC327690 GNY327690 GXU327690 HHQ327690 HRM327690 IBI327690 ILE327690 IVA327690 JEW327690 JOS327690 JYO327690 KIK327690 KSG327690 LCC327690 LLY327690 LVU327690 MFQ327690 MPM327690 MZI327690 NJE327690 NTA327690 OCW327690 OMS327690 OWO327690 PGK327690 PQG327690 QAC327690 QJY327690 QTU327690 RDQ327690 RNM327690 RXI327690 SHE327690 SRA327690 TAW327690 TKS327690 TUO327690 UEK327690 UOG327690 UYC327690 VHY327690 VRU327690 WBQ327690 WLM327690 WVI327690 IW393226 SS393226 ACO393226 AMK393226 AWG393226 BGC393226 BPY393226 BZU393226 CJQ393226 CTM393226 DDI393226 DNE393226 DXA393226 EGW393226 EQS393226 FAO393226 FKK393226 FUG393226 GEC393226 GNY393226 GXU393226 HHQ393226 HRM393226 IBI393226 ILE393226 IVA393226 JEW393226 JOS393226 JYO393226 KIK393226 KSG393226 LCC393226 LLY393226 LVU393226 MFQ393226 MPM393226 MZI393226 NJE393226 NTA393226 OCW393226 OMS393226 OWO393226 PGK393226 PQG393226 QAC393226 QJY393226 QTU393226 RDQ393226 RNM393226 RXI393226 SHE393226 SRA393226 TAW393226 TKS393226 TUO393226 UEK393226 UOG393226 UYC393226 VHY393226 VRU393226 WBQ393226 WLM393226 WVI393226 IW458762 SS458762 ACO458762 AMK458762 AWG458762 BGC458762 BPY458762 BZU458762 CJQ458762 CTM458762 DDI458762 DNE458762 DXA458762 EGW458762 EQS458762 FAO458762 FKK458762 FUG458762 GEC458762 GNY458762 GXU458762 HHQ458762 HRM458762 IBI458762 ILE458762 IVA458762 JEW458762 JOS458762 JYO458762 KIK458762 KSG458762 LCC458762 LLY458762 LVU458762 MFQ458762 MPM458762 MZI458762 NJE458762 NTA458762 OCW458762 OMS458762 OWO458762 PGK458762 PQG458762 QAC458762 QJY458762 QTU458762 RDQ458762 RNM458762 RXI458762 SHE458762 SRA458762 TAW458762 TKS458762 TUO458762 UEK458762 UOG458762 UYC458762 VHY458762 VRU458762 WBQ458762 WLM458762 WVI458762 IW524298 SS524298 ACO524298 AMK524298 AWG524298 BGC524298 BPY524298 BZU524298 CJQ524298 CTM524298 DDI524298 DNE524298 DXA524298 EGW524298 EQS524298 FAO524298 FKK524298 FUG524298 GEC524298 GNY524298 GXU524298 HHQ524298 HRM524298 IBI524298 ILE524298 IVA524298 JEW524298 JOS524298 JYO524298 KIK524298 KSG524298 LCC524298 LLY524298 LVU524298 MFQ524298 MPM524298 MZI524298 NJE524298 NTA524298 OCW524298 OMS524298 OWO524298 PGK524298 PQG524298 QAC524298 QJY524298 QTU524298 RDQ524298 RNM524298 RXI524298 SHE524298 SRA524298 TAW524298 TKS524298 TUO524298 UEK524298 UOG524298 UYC524298 VHY524298 VRU524298 WBQ524298 WLM524298 WVI524298 IW589834 SS589834 ACO589834 AMK589834 AWG589834 BGC589834 BPY589834 BZU589834 CJQ589834 CTM589834 DDI589834 DNE589834 DXA589834 EGW589834 EQS589834 FAO589834 FKK589834 FUG589834 GEC589834 GNY589834 GXU589834 HHQ589834 HRM589834 IBI589834 ILE589834 IVA589834 JEW589834 JOS589834 JYO589834 KIK589834 KSG589834 LCC589834 LLY589834 LVU589834 MFQ589834 MPM589834 MZI589834 NJE589834 NTA589834 OCW589834 OMS589834 OWO589834 PGK589834 PQG589834 QAC589834 QJY589834 QTU589834 RDQ589834 RNM589834 RXI589834 SHE589834 SRA589834 TAW589834 TKS589834 TUO589834 UEK589834 UOG589834 UYC589834 VHY589834 VRU589834 WBQ589834 WLM589834 WVI589834 IW655370 SS655370 ACO655370 AMK655370 AWG655370 BGC655370 BPY655370 BZU655370 CJQ655370 CTM655370 DDI655370 DNE655370 DXA655370 EGW655370 EQS655370 FAO655370 FKK655370 FUG655370 GEC655370 GNY655370 GXU655370 HHQ655370 HRM655370 IBI655370 ILE655370 IVA655370 JEW655370 JOS655370 JYO655370 KIK655370 KSG655370 LCC655370 LLY655370 LVU655370 MFQ655370 MPM655370 MZI655370 NJE655370 NTA655370 OCW655370 OMS655370 OWO655370 PGK655370 PQG655370 QAC655370 QJY655370 QTU655370 RDQ655370 RNM655370 RXI655370 SHE655370 SRA655370 TAW655370 TKS655370 TUO655370 UEK655370 UOG655370 UYC655370 VHY655370 VRU655370 WBQ655370 WLM655370 WVI655370 IW720906 SS720906 ACO720906 AMK720906 AWG720906 BGC720906 BPY720906 BZU720906 CJQ720906 CTM720906 DDI720906 DNE720906 DXA720906 EGW720906 EQS720906 FAO720906 FKK720906 FUG720906 GEC720906 GNY720906 GXU720906 HHQ720906 HRM720906 IBI720906 ILE720906 IVA720906 JEW720906 JOS720906 JYO720906 KIK720906 KSG720906 LCC720906 LLY720906 LVU720906 MFQ720906 MPM720906 MZI720906 NJE720906 NTA720906 OCW720906 OMS720906 OWO720906 PGK720906 PQG720906 QAC720906 QJY720906 QTU720906 RDQ720906 RNM720906 RXI720906 SHE720906 SRA720906 TAW720906 TKS720906 TUO720906 UEK720906 UOG720906 UYC720906 VHY720906 VRU720906 WBQ720906 WLM720906 WVI720906 IW786442 SS786442 ACO786442 AMK786442 AWG786442 BGC786442 BPY786442 BZU786442 CJQ786442 CTM786442 DDI786442 DNE786442 DXA786442 EGW786442 EQS786442 FAO786442 FKK786442 FUG786442 GEC786442 GNY786442 GXU786442 HHQ786442 HRM786442 IBI786442 ILE786442 IVA786442 JEW786442 JOS786442 JYO786442 KIK786442 KSG786442 LCC786442 LLY786442 LVU786442 MFQ786442 MPM786442 MZI786442 NJE786442 NTA786442 OCW786442 OMS786442 OWO786442 PGK786442 PQG786442 QAC786442 QJY786442 QTU786442 RDQ786442 RNM786442 RXI786442 SHE786442 SRA786442 TAW786442 TKS786442 TUO786442 UEK786442 UOG786442 UYC786442 VHY786442 VRU786442 WBQ786442 WLM786442 WVI786442 IW851978 SS851978 ACO851978 AMK851978 AWG851978 BGC851978 BPY851978 BZU851978 CJQ851978 CTM851978 DDI851978 DNE851978 DXA851978 EGW851978 EQS851978 FAO851978 FKK851978 FUG851978 GEC851978 GNY851978 GXU851978 HHQ851978 HRM851978 IBI851978 ILE851978 IVA851978 JEW851978 JOS851978 JYO851978 KIK851978 KSG851978 LCC851978 LLY851978 LVU851978 MFQ851978 MPM851978 MZI851978 NJE851978 NTA851978 OCW851978 OMS851978 OWO851978 PGK851978 PQG851978 QAC851978 QJY851978 QTU851978 RDQ851978 RNM851978 RXI851978 SHE851978 SRA851978 TAW851978 TKS851978 TUO851978 UEK851978 UOG851978 UYC851978 VHY851978 VRU851978 WBQ851978 WLM851978 WVI851978 IW917514 SS917514 ACO917514 AMK917514 AWG917514 BGC917514 BPY917514 BZU917514 CJQ917514 CTM917514 DDI917514 DNE917514 DXA917514 EGW917514 EQS917514 FAO917514 FKK917514 FUG917514 GEC917514 GNY917514 GXU917514 HHQ917514 HRM917514 IBI917514 ILE917514 IVA917514 JEW917514 JOS917514 JYO917514 KIK917514 KSG917514 LCC917514 LLY917514 LVU917514 MFQ917514 MPM917514 MZI917514 NJE917514 NTA917514 OCW917514 OMS917514 OWO917514 PGK917514 PQG917514 QAC917514 QJY917514 QTU917514 RDQ917514 RNM917514 RXI917514 SHE917514 SRA917514 TAW917514 TKS917514 TUO917514 UEK917514 UOG917514 UYC917514 VHY917514 VRU917514 WBQ917514 WLM917514 WVI917514 IW983050 SS983050 ACO983050 AMK983050 AWG983050 BGC983050 BPY983050 BZU983050 CJQ983050 CTM983050 DDI983050 DNE983050 DXA983050 EGW983050 EQS983050 FAO983050 FKK983050 FUG983050 GEC983050 GNY983050 GXU983050 HHQ983050 HRM983050 IBI983050 ILE983050 IVA983050 JEW983050 JOS983050 JYO983050 KIK983050 KSG983050 LCC983050 LLY983050 LVU983050 MFQ983050 MPM983050 MZI983050 NJE983050 NTA983050 OCW983050 OMS983050 OWO983050 PGK983050 PQG983050 QAC983050 QJY983050 QTU983050 RDQ983050 RNM983050 RXI983050 SHE983050 SRA983050 TAW983050 TKS983050 TUO983050 UEK983050 UOG983050 UYC983050 VHY983050 VRU983050 WBQ983050 WLM983050 WVI983050 I65546 SS8 I131082 I196618 I262154 I327690 I393226 I458762 I524298 I589834 I655370 I720906 I786442 I851978 I917514 I983050" xr:uid="{00000000-0002-0000-3300-000009000000}">
      <formula1>$D$8:$G$8</formula1>
    </dataValidation>
    <dataValidation type="list" allowBlank="1" showInputMessage="1" showErrorMessage="1" sqref="JB7 SX7 ACT7 AMP7 AWL7 BGH7 BQD7 BZZ7 CJV7 CTR7 DDN7 DNJ7 DXF7 EHB7 EQX7 FAT7 FKP7 FUL7 GEH7 GOD7 GXZ7 HHV7 HRR7 IBN7 ILJ7 IVF7 JFB7 JOX7 JYT7 KIP7 KSL7 LCH7 LMD7 LVZ7 MFV7 MPR7 MZN7 NJJ7 NTF7 ODB7 OMX7 OWT7 PGP7 PQL7 QAH7 QKD7 QTZ7 RDV7 RNR7 RXN7 SHJ7 SRF7 TBB7 TKX7 TUT7 UEP7 UOL7 UYH7 VID7 VRZ7 WBV7 WLR7 WVN7 IR7:IS7 SN7:SO7 ACJ7:ACK7 AMF7:AMG7 AWB7:AWC7 BFX7:BFY7 BPT7:BPU7 BZP7:BZQ7 CJL7:CJM7 CTH7:CTI7 DDD7:DDE7 DMZ7:DNA7 DWV7:DWW7 EGR7:EGS7 EQN7:EQO7 FAJ7:FAK7 FKF7:FKG7 FUB7:FUC7 GDX7:GDY7 GNT7:GNU7 GXP7:GXQ7 HHL7:HHM7 HRH7:HRI7 IBD7:IBE7 IKZ7:ILA7 IUV7:IUW7 JER7:JES7 JON7:JOO7 JYJ7:JYK7 KIF7:KIG7 KSB7:KSC7 LBX7:LBY7 LLT7:LLU7 LVP7:LVQ7 MFL7:MFM7 MPH7:MPI7 MZD7:MZE7 NIZ7:NJA7 NSV7:NSW7 OCR7:OCS7 OMN7:OMO7 OWJ7:OWK7 PGF7:PGG7 PQB7:PQC7 PZX7:PZY7 QJT7:QJU7 QTP7:QTQ7 RDL7:RDM7 RNH7:RNI7 RXD7:RXE7 SGZ7:SHA7 SQV7:SQW7 TAR7:TAS7 TKN7:TKO7 TUJ7:TUK7 UEF7:UEG7 UOB7:UOC7 UXX7:UXY7 VHT7:VHU7 VRP7:VRQ7 WBL7:WBM7 WLH7:WLI7 WVD7:WVE7 JB65545 SX65545 ACT65545 AMP65545 AWL65545 BGH65545 BQD65545 BZZ65545 CJV65545 CTR65545 DDN65545 DNJ65545 DXF65545 EHB65545 EQX65545 FAT65545 FKP65545 FUL65545 GEH65545 GOD65545 GXZ65545 HHV65545 HRR65545 IBN65545 ILJ65545 IVF65545 JFB65545 JOX65545 JYT65545 KIP65545 KSL65545 LCH65545 LMD65545 LVZ65545 MFV65545 MPR65545 MZN65545 NJJ65545 NTF65545 ODB65545 OMX65545 OWT65545 PGP65545 PQL65545 QAH65545 QKD65545 QTZ65545 RDV65545 RNR65545 RXN65545 SHJ65545 SRF65545 TBB65545 TKX65545 TUT65545 UEP65545 UOL65545 UYH65545 VID65545 VRZ65545 WBV65545 WLR65545 WVN65545 JB131081 SX131081 ACT131081 AMP131081 AWL131081 BGH131081 BQD131081 BZZ131081 CJV131081 CTR131081 DDN131081 DNJ131081 DXF131081 EHB131081 EQX131081 FAT131081 FKP131081 FUL131081 GEH131081 GOD131081 GXZ131081 HHV131081 HRR131081 IBN131081 ILJ131081 IVF131081 JFB131081 JOX131081 JYT131081 KIP131081 KSL131081 LCH131081 LMD131081 LVZ131081 MFV131081 MPR131081 MZN131081 NJJ131081 NTF131081 ODB131081 OMX131081 OWT131081 PGP131081 PQL131081 QAH131081 QKD131081 QTZ131081 RDV131081 RNR131081 RXN131081 SHJ131081 SRF131081 TBB131081 TKX131081 TUT131081 UEP131081 UOL131081 UYH131081 VID131081 VRZ131081 WBV131081 WLR131081 WVN131081 JB196617 SX196617 ACT196617 AMP196617 AWL196617 BGH196617 BQD196617 BZZ196617 CJV196617 CTR196617 DDN196617 DNJ196617 DXF196617 EHB196617 EQX196617 FAT196617 FKP196617 FUL196617 GEH196617 GOD196617 GXZ196617 HHV196617 HRR196617 IBN196617 ILJ196617 IVF196617 JFB196617 JOX196617 JYT196617 KIP196617 KSL196617 LCH196617 LMD196617 LVZ196617 MFV196617 MPR196617 MZN196617 NJJ196617 NTF196617 ODB196617 OMX196617 OWT196617 PGP196617 PQL196617 QAH196617 QKD196617 QTZ196617 RDV196617 RNR196617 RXN196617 SHJ196617 SRF196617 TBB196617 TKX196617 TUT196617 UEP196617 UOL196617 UYH196617 VID196617 VRZ196617 WBV196617 WLR196617 WVN196617 JB262153 SX262153 ACT262153 AMP262153 AWL262153 BGH262153 BQD262153 BZZ262153 CJV262153 CTR262153 DDN262153 DNJ262153 DXF262153 EHB262153 EQX262153 FAT262153 FKP262153 FUL262153 GEH262153 GOD262153 GXZ262153 HHV262153 HRR262153 IBN262153 ILJ262153 IVF262153 JFB262153 JOX262153 JYT262153 KIP262153 KSL262153 LCH262153 LMD262153 LVZ262153 MFV262153 MPR262153 MZN262153 NJJ262153 NTF262153 ODB262153 OMX262153 OWT262153 PGP262153 PQL262153 QAH262153 QKD262153 QTZ262153 RDV262153 RNR262153 RXN262153 SHJ262153 SRF262153 TBB262153 TKX262153 TUT262153 UEP262153 UOL262153 UYH262153 VID262153 VRZ262153 WBV262153 WLR262153 WVN262153 JB327689 SX327689 ACT327689 AMP327689 AWL327689 BGH327689 BQD327689 BZZ327689 CJV327689 CTR327689 DDN327689 DNJ327689 DXF327689 EHB327689 EQX327689 FAT327689 FKP327689 FUL327689 GEH327689 GOD327689 GXZ327689 HHV327689 HRR327689 IBN327689 ILJ327689 IVF327689 JFB327689 JOX327689 JYT327689 KIP327689 KSL327689 LCH327689 LMD327689 LVZ327689 MFV327689 MPR327689 MZN327689 NJJ327689 NTF327689 ODB327689 OMX327689 OWT327689 PGP327689 PQL327689 QAH327689 QKD327689 QTZ327689 RDV327689 RNR327689 RXN327689 SHJ327689 SRF327689 TBB327689 TKX327689 TUT327689 UEP327689 UOL327689 UYH327689 VID327689 VRZ327689 WBV327689 WLR327689 WVN327689 JB393225 SX393225 ACT393225 AMP393225 AWL393225 BGH393225 BQD393225 BZZ393225 CJV393225 CTR393225 DDN393225 DNJ393225 DXF393225 EHB393225 EQX393225 FAT393225 FKP393225 FUL393225 GEH393225 GOD393225 GXZ393225 HHV393225 HRR393225 IBN393225 ILJ393225 IVF393225 JFB393225 JOX393225 JYT393225 KIP393225 KSL393225 LCH393225 LMD393225 LVZ393225 MFV393225 MPR393225 MZN393225 NJJ393225 NTF393225 ODB393225 OMX393225 OWT393225 PGP393225 PQL393225 QAH393225 QKD393225 QTZ393225 RDV393225 RNR393225 RXN393225 SHJ393225 SRF393225 TBB393225 TKX393225 TUT393225 UEP393225 UOL393225 UYH393225 VID393225 VRZ393225 WBV393225 WLR393225 WVN393225 JB458761 SX458761 ACT458761 AMP458761 AWL458761 BGH458761 BQD458761 BZZ458761 CJV458761 CTR458761 DDN458761 DNJ458761 DXF458761 EHB458761 EQX458761 FAT458761 FKP458761 FUL458761 GEH458761 GOD458761 GXZ458761 HHV458761 HRR458761 IBN458761 ILJ458761 IVF458761 JFB458761 JOX458761 JYT458761 KIP458761 KSL458761 LCH458761 LMD458761 LVZ458761 MFV458761 MPR458761 MZN458761 NJJ458761 NTF458761 ODB458761 OMX458761 OWT458761 PGP458761 PQL458761 QAH458761 QKD458761 QTZ458761 RDV458761 RNR458761 RXN458761 SHJ458761 SRF458761 TBB458761 TKX458761 TUT458761 UEP458761 UOL458761 UYH458761 VID458761 VRZ458761 WBV458761 WLR458761 WVN458761 JB524297 SX524297 ACT524297 AMP524297 AWL524297 BGH524297 BQD524297 BZZ524297 CJV524297 CTR524297 DDN524297 DNJ524297 DXF524297 EHB524297 EQX524297 FAT524297 FKP524297 FUL524297 GEH524297 GOD524297 GXZ524297 HHV524297 HRR524297 IBN524297 ILJ524297 IVF524297 JFB524297 JOX524297 JYT524297 KIP524297 KSL524297 LCH524297 LMD524297 LVZ524297 MFV524297 MPR524297 MZN524297 NJJ524297 NTF524297 ODB524297 OMX524297 OWT524297 PGP524297 PQL524297 QAH524297 QKD524297 QTZ524297 RDV524297 RNR524297 RXN524297 SHJ524297 SRF524297 TBB524297 TKX524297 TUT524297 UEP524297 UOL524297 UYH524297 VID524297 VRZ524297 WBV524297 WLR524297 WVN524297 JB589833 SX589833 ACT589833 AMP589833 AWL589833 BGH589833 BQD589833 BZZ589833 CJV589833 CTR589833 DDN589833 DNJ589833 DXF589833 EHB589833 EQX589833 FAT589833 FKP589833 FUL589833 GEH589833 GOD589833 GXZ589833 HHV589833 HRR589833 IBN589833 ILJ589833 IVF589833 JFB589833 JOX589833 JYT589833 KIP589833 KSL589833 LCH589833 LMD589833 LVZ589833 MFV589833 MPR589833 MZN589833 NJJ589833 NTF589833 ODB589833 OMX589833 OWT589833 PGP589833 PQL589833 QAH589833 QKD589833 QTZ589833 RDV589833 RNR589833 RXN589833 SHJ589833 SRF589833 TBB589833 TKX589833 TUT589833 UEP589833 UOL589833 UYH589833 VID589833 VRZ589833 WBV589833 WLR589833 WVN589833 JB655369 SX655369 ACT655369 AMP655369 AWL655369 BGH655369 BQD655369 BZZ655369 CJV655369 CTR655369 DDN655369 DNJ655369 DXF655369 EHB655369 EQX655369 FAT655369 FKP655369 FUL655369 GEH655369 GOD655369 GXZ655369 HHV655369 HRR655369 IBN655369 ILJ655369 IVF655369 JFB655369 JOX655369 JYT655369 KIP655369 KSL655369 LCH655369 LMD655369 LVZ655369 MFV655369 MPR655369 MZN655369 NJJ655369 NTF655369 ODB655369 OMX655369 OWT655369 PGP655369 PQL655369 QAH655369 QKD655369 QTZ655369 RDV655369 RNR655369 RXN655369 SHJ655369 SRF655369 TBB655369 TKX655369 TUT655369 UEP655369 UOL655369 UYH655369 VID655369 VRZ655369 WBV655369 WLR655369 WVN655369 JB720905 SX720905 ACT720905 AMP720905 AWL720905 BGH720905 BQD720905 BZZ720905 CJV720905 CTR720905 DDN720905 DNJ720905 DXF720905 EHB720905 EQX720905 FAT720905 FKP720905 FUL720905 GEH720905 GOD720905 GXZ720905 HHV720905 HRR720905 IBN720905 ILJ720905 IVF720905 JFB720905 JOX720905 JYT720905 KIP720905 KSL720905 LCH720905 LMD720905 LVZ720905 MFV720905 MPR720905 MZN720905 NJJ720905 NTF720905 ODB720905 OMX720905 OWT720905 PGP720905 PQL720905 QAH720905 QKD720905 QTZ720905 RDV720905 RNR720905 RXN720905 SHJ720905 SRF720905 TBB720905 TKX720905 TUT720905 UEP720905 UOL720905 UYH720905 VID720905 VRZ720905 WBV720905 WLR720905 WVN720905 JB786441 SX786441 ACT786441 AMP786441 AWL786441 BGH786441 BQD786441 BZZ786441 CJV786441 CTR786441 DDN786441 DNJ786441 DXF786441 EHB786441 EQX786441 FAT786441 FKP786441 FUL786441 GEH786441 GOD786441 GXZ786441 HHV786441 HRR786441 IBN786441 ILJ786441 IVF786441 JFB786441 JOX786441 JYT786441 KIP786441 KSL786441 LCH786441 LMD786441 LVZ786441 MFV786441 MPR786441 MZN786441 NJJ786441 NTF786441 ODB786441 OMX786441 OWT786441 PGP786441 PQL786441 QAH786441 QKD786441 QTZ786441 RDV786441 RNR786441 RXN786441 SHJ786441 SRF786441 TBB786441 TKX786441 TUT786441 UEP786441 UOL786441 UYH786441 VID786441 VRZ786441 WBV786441 WLR786441 WVN786441 JB851977 SX851977 ACT851977 AMP851977 AWL851977 BGH851977 BQD851977 BZZ851977 CJV851977 CTR851977 DDN851977 DNJ851977 DXF851977 EHB851977 EQX851977 FAT851977 FKP851977 FUL851977 GEH851977 GOD851977 GXZ851977 HHV851977 HRR851977 IBN851977 ILJ851977 IVF851977 JFB851977 JOX851977 JYT851977 KIP851977 KSL851977 LCH851977 LMD851977 LVZ851977 MFV851977 MPR851977 MZN851977 NJJ851977 NTF851977 ODB851977 OMX851977 OWT851977 PGP851977 PQL851977 QAH851977 QKD851977 QTZ851977 RDV851977 RNR851977 RXN851977 SHJ851977 SRF851977 TBB851977 TKX851977 TUT851977 UEP851977 UOL851977 UYH851977 VID851977 VRZ851977 WBV851977 WLR851977 WVN851977 JB917513 SX917513 ACT917513 AMP917513 AWL917513 BGH917513 BQD917513 BZZ917513 CJV917513 CTR917513 DDN917513 DNJ917513 DXF917513 EHB917513 EQX917513 FAT917513 FKP917513 FUL917513 GEH917513 GOD917513 GXZ917513 HHV917513 HRR917513 IBN917513 ILJ917513 IVF917513 JFB917513 JOX917513 JYT917513 KIP917513 KSL917513 LCH917513 LMD917513 LVZ917513 MFV917513 MPR917513 MZN917513 NJJ917513 NTF917513 ODB917513 OMX917513 OWT917513 PGP917513 PQL917513 QAH917513 QKD917513 QTZ917513 RDV917513 RNR917513 RXN917513 SHJ917513 SRF917513 TBB917513 TKX917513 TUT917513 UEP917513 UOL917513 UYH917513 VID917513 VRZ917513 WBV917513 WLR917513 WVN917513 JB983049 SX983049 ACT983049 AMP983049 AWL983049 BGH983049 BQD983049 BZZ983049 CJV983049 CTR983049 DDN983049 DNJ983049 DXF983049 EHB983049 EQX983049 FAT983049 FKP983049 FUL983049 GEH983049 GOD983049 GXZ983049 HHV983049 HRR983049 IBN983049 ILJ983049 IVF983049 JFB983049 JOX983049 JYT983049 KIP983049 KSL983049 LCH983049 LMD983049 LVZ983049 MFV983049 MPR983049 MZN983049 NJJ983049 NTF983049 ODB983049 OMX983049 OWT983049 PGP983049 PQL983049 QAH983049 QKD983049 QTZ983049 RDV983049 RNR983049 RXN983049 SHJ983049 SRF983049 TBB983049 TKX983049 TUT983049 UEP983049 UOL983049 UYH983049 VID983049 VRZ983049 WBV983049 WLR983049 WVN983049 IR65545:IS65545 SN65545:SO65545 ACJ65545:ACK65545 AMF65545:AMG65545 AWB65545:AWC65545 BFX65545:BFY65545 BPT65545:BPU65545 BZP65545:BZQ65545 CJL65545:CJM65545 CTH65545:CTI65545 DDD65545:DDE65545 DMZ65545:DNA65545 DWV65545:DWW65545 EGR65545:EGS65545 EQN65545:EQO65545 FAJ65545:FAK65545 FKF65545:FKG65545 FUB65545:FUC65545 GDX65545:GDY65545 GNT65545:GNU65545 GXP65545:GXQ65545 HHL65545:HHM65545 HRH65545:HRI65545 IBD65545:IBE65545 IKZ65545:ILA65545 IUV65545:IUW65545 JER65545:JES65545 JON65545:JOO65545 JYJ65545:JYK65545 KIF65545:KIG65545 KSB65545:KSC65545 LBX65545:LBY65545 LLT65545:LLU65545 LVP65545:LVQ65545 MFL65545:MFM65545 MPH65545:MPI65545 MZD65545:MZE65545 NIZ65545:NJA65545 NSV65545:NSW65545 OCR65545:OCS65545 OMN65545:OMO65545 OWJ65545:OWK65545 PGF65545:PGG65545 PQB65545:PQC65545 PZX65545:PZY65545 QJT65545:QJU65545 QTP65545:QTQ65545 RDL65545:RDM65545 RNH65545:RNI65545 RXD65545:RXE65545 SGZ65545:SHA65545 SQV65545:SQW65545 TAR65545:TAS65545 TKN65545:TKO65545 TUJ65545:TUK65545 UEF65545:UEG65545 UOB65545:UOC65545 UXX65545:UXY65545 VHT65545:VHU65545 VRP65545:VRQ65545 WBL65545:WBM65545 WLH65545:WLI65545 WVD65545:WVE65545 IR131081:IS131081 SN131081:SO131081 ACJ131081:ACK131081 AMF131081:AMG131081 AWB131081:AWC131081 BFX131081:BFY131081 BPT131081:BPU131081 BZP131081:BZQ131081 CJL131081:CJM131081 CTH131081:CTI131081 DDD131081:DDE131081 DMZ131081:DNA131081 DWV131081:DWW131081 EGR131081:EGS131081 EQN131081:EQO131081 FAJ131081:FAK131081 FKF131081:FKG131081 FUB131081:FUC131081 GDX131081:GDY131081 GNT131081:GNU131081 GXP131081:GXQ131081 HHL131081:HHM131081 HRH131081:HRI131081 IBD131081:IBE131081 IKZ131081:ILA131081 IUV131081:IUW131081 JER131081:JES131081 JON131081:JOO131081 JYJ131081:JYK131081 KIF131081:KIG131081 KSB131081:KSC131081 LBX131081:LBY131081 LLT131081:LLU131081 LVP131081:LVQ131081 MFL131081:MFM131081 MPH131081:MPI131081 MZD131081:MZE131081 NIZ131081:NJA131081 NSV131081:NSW131081 OCR131081:OCS131081 OMN131081:OMO131081 OWJ131081:OWK131081 PGF131081:PGG131081 PQB131081:PQC131081 PZX131081:PZY131081 QJT131081:QJU131081 QTP131081:QTQ131081 RDL131081:RDM131081 RNH131081:RNI131081 RXD131081:RXE131081 SGZ131081:SHA131081 SQV131081:SQW131081 TAR131081:TAS131081 TKN131081:TKO131081 TUJ131081:TUK131081 UEF131081:UEG131081 UOB131081:UOC131081 UXX131081:UXY131081 VHT131081:VHU131081 VRP131081:VRQ131081 WBL131081:WBM131081 WLH131081:WLI131081 WVD131081:WVE131081 IR196617:IS196617 SN196617:SO196617 ACJ196617:ACK196617 AMF196617:AMG196617 AWB196617:AWC196617 BFX196617:BFY196617 BPT196617:BPU196617 BZP196617:BZQ196617 CJL196617:CJM196617 CTH196617:CTI196617 DDD196617:DDE196617 DMZ196617:DNA196617 DWV196617:DWW196617 EGR196617:EGS196617 EQN196617:EQO196617 FAJ196617:FAK196617 FKF196617:FKG196617 FUB196617:FUC196617 GDX196617:GDY196617 GNT196617:GNU196617 GXP196617:GXQ196617 HHL196617:HHM196617 HRH196617:HRI196617 IBD196617:IBE196617 IKZ196617:ILA196617 IUV196617:IUW196617 JER196617:JES196617 JON196617:JOO196617 JYJ196617:JYK196617 KIF196617:KIG196617 KSB196617:KSC196617 LBX196617:LBY196617 LLT196617:LLU196617 LVP196617:LVQ196617 MFL196617:MFM196617 MPH196617:MPI196617 MZD196617:MZE196617 NIZ196617:NJA196617 NSV196617:NSW196617 OCR196617:OCS196617 OMN196617:OMO196617 OWJ196617:OWK196617 PGF196617:PGG196617 PQB196617:PQC196617 PZX196617:PZY196617 QJT196617:QJU196617 QTP196617:QTQ196617 RDL196617:RDM196617 RNH196617:RNI196617 RXD196617:RXE196617 SGZ196617:SHA196617 SQV196617:SQW196617 TAR196617:TAS196617 TKN196617:TKO196617 TUJ196617:TUK196617 UEF196617:UEG196617 UOB196617:UOC196617 UXX196617:UXY196617 VHT196617:VHU196617 VRP196617:VRQ196617 WBL196617:WBM196617 WLH196617:WLI196617 WVD196617:WVE196617 IR262153:IS262153 SN262153:SO262153 ACJ262153:ACK262153 AMF262153:AMG262153 AWB262153:AWC262153 BFX262153:BFY262153 BPT262153:BPU262153 BZP262153:BZQ262153 CJL262153:CJM262153 CTH262153:CTI262153 DDD262153:DDE262153 DMZ262153:DNA262153 DWV262153:DWW262153 EGR262153:EGS262153 EQN262153:EQO262153 FAJ262153:FAK262153 FKF262153:FKG262153 FUB262153:FUC262153 GDX262153:GDY262153 GNT262153:GNU262153 GXP262153:GXQ262153 HHL262153:HHM262153 HRH262153:HRI262153 IBD262153:IBE262153 IKZ262153:ILA262153 IUV262153:IUW262153 JER262153:JES262153 JON262153:JOO262153 JYJ262153:JYK262153 KIF262153:KIG262153 KSB262153:KSC262153 LBX262153:LBY262153 LLT262153:LLU262153 LVP262153:LVQ262153 MFL262153:MFM262153 MPH262153:MPI262153 MZD262153:MZE262153 NIZ262153:NJA262153 NSV262153:NSW262153 OCR262153:OCS262153 OMN262153:OMO262153 OWJ262153:OWK262153 PGF262153:PGG262153 PQB262153:PQC262153 PZX262153:PZY262153 QJT262153:QJU262153 QTP262153:QTQ262153 RDL262153:RDM262153 RNH262153:RNI262153 RXD262153:RXE262153 SGZ262153:SHA262153 SQV262153:SQW262153 TAR262153:TAS262153 TKN262153:TKO262153 TUJ262153:TUK262153 UEF262153:UEG262153 UOB262153:UOC262153 UXX262153:UXY262153 VHT262153:VHU262153 VRP262153:VRQ262153 WBL262153:WBM262153 WLH262153:WLI262153 WVD262153:WVE262153 IR327689:IS327689 SN327689:SO327689 ACJ327689:ACK327689 AMF327689:AMG327689 AWB327689:AWC327689 BFX327689:BFY327689 BPT327689:BPU327689 BZP327689:BZQ327689 CJL327689:CJM327689 CTH327689:CTI327689 DDD327689:DDE327689 DMZ327689:DNA327689 DWV327689:DWW327689 EGR327689:EGS327689 EQN327689:EQO327689 FAJ327689:FAK327689 FKF327689:FKG327689 FUB327689:FUC327689 GDX327689:GDY327689 GNT327689:GNU327689 GXP327689:GXQ327689 HHL327689:HHM327689 HRH327689:HRI327689 IBD327689:IBE327689 IKZ327689:ILA327689 IUV327689:IUW327689 JER327689:JES327689 JON327689:JOO327689 JYJ327689:JYK327689 KIF327689:KIG327689 KSB327689:KSC327689 LBX327689:LBY327689 LLT327689:LLU327689 LVP327689:LVQ327689 MFL327689:MFM327689 MPH327689:MPI327689 MZD327689:MZE327689 NIZ327689:NJA327689 NSV327689:NSW327689 OCR327689:OCS327689 OMN327689:OMO327689 OWJ327689:OWK327689 PGF327689:PGG327689 PQB327689:PQC327689 PZX327689:PZY327689 QJT327689:QJU327689 QTP327689:QTQ327689 RDL327689:RDM327689 RNH327689:RNI327689 RXD327689:RXE327689 SGZ327689:SHA327689 SQV327689:SQW327689 TAR327689:TAS327689 TKN327689:TKO327689 TUJ327689:TUK327689 UEF327689:UEG327689 UOB327689:UOC327689 UXX327689:UXY327689 VHT327689:VHU327689 VRP327689:VRQ327689 WBL327689:WBM327689 WLH327689:WLI327689 WVD327689:WVE327689 IR393225:IS393225 SN393225:SO393225 ACJ393225:ACK393225 AMF393225:AMG393225 AWB393225:AWC393225 BFX393225:BFY393225 BPT393225:BPU393225 BZP393225:BZQ393225 CJL393225:CJM393225 CTH393225:CTI393225 DDD393225:DDE393225 DMZ393225:DNA393225 DWV393225:DWW393225 EGR393225:EGS393225 EQN393225:EQO393225 FAJ393225:FAK393225 FKF393225:FKG393225 FUB393225:FUC393225 GDX393225:GDY393225 GNT393225:GNU393225 GXP393225:GXQ393225 HHL393225:HHM393225 HRH393225:HRI393225 IBD393225:IBE393225 IKZ393225:ILA393225 IUV393225:IUW393225 JER393225:JES393225 JON393225:JOO393225 JYJ393225:JYK393225 KIF393225:KIG393225 KSB393225:KSC393225 LBX393225:LBY393225 LLT393225:LLU393225 LVP393225:LVQ393225 MFL393225:MFM393225 MPH393225:MPI393225 MZD393225:MZE393225 NIZ393225:NJA393225 NSV393225:NSW393225 OCR393225:OCS393225 OMN393225:OMO393225 OWJ393225:OWK393225 PGF393225:PGG393225 PQB393225:PQC393225 PZX393225:PZY393225 QJT393225:QJU393225 QTP393225:QTQ393225 RDL393225:RDM393225 RNH393225:RNI393225 RXD393225:RXE393225 SGZ393225:SHA393225 SQV393225:SQW393225 TAR393225:TAS393225 TKN393225:TKO393225 TUJ393225:TUK393225 UEF393225:UEG393225 UOB393225:UOC393225 UXX393225:UXY393225 VHT393225:VHU393225 VRP393225:VRQ393225 WBL393225:WBM393225 WLH393225:WLI393225 WVD393225:WVE393225 IR458761:IS458761 SN458761:SO458761 ACJ458761:ACK458761 AMF458761:AMG458761 AWB458761:AWC458761 BFX458761:BFY458761 BPT458761:BPU458761 BZP458761:BZQ458761 CJL458761:CJM458761 CTH458761:CTI458761 DDD458761:DDE458761 DMZ458761:DNA458761 DWV458761:DWW458761 EGR458761:EGS458761 EQN458761:EQO458761 FAJ458761:FAK458761 FKF458761:FKG458761 FUB458761:FUC458761 GDX458761:GDY458761 GNT458761:GNU458761 GXP458761:GXQ458761 HHL458761:HHM458761 HRH458761:HRI458761 IBD458761:IBE458761 IKZ458761:ILA458761 IUV458761:IUW458761 JER458761:JES458761 JON458761:JOO458761 JYJ458761:JYK458761 KIF458761:KIG458761 KSB458761:KSC458761 LBX458761:LBY458761 LLT458761:LLU458761 LVP458761:LVQ458761 MFL458761:MFM458761 MPH458761:MPI458761 MZD458761:MZE458761 NIZ458761:NJA458761 NSV458761:NSW458761 OCR458761:OCS458761 OMN458761:OMO458761 OWJ458761:OWK458761 PGF458761:PGG458761 PQB458761:PQC458761 PZX458761:PZY458761 QJT458761:QJU458761 QTP458761:QTQ458761 RDL458761:RDM458761 RNH458761:RNI458761 RXD458761:RXE458761 SGZ458761:SHA458761 SQV458761:SQW458761 TAR458761:TAS458761 TKN458761:TKO458761 TUJ458761:TUK458761 UEF458761:UEG458761 UOB458761:UOC458761 UXX458761:UXY458761 VHT458761:VHU458761 VRP458761:VRQ458761 WBL458761:WBM458761 WLH458761:WLI458761 WVD458761:WVE458761 IR524297:IS524297 SN524297:SO524297 ACJ524297:ACK524297 AMF524297:AMG524297 AWB524297:AWC524297 BFX524297:BFY524297 BPT524297:BPU524297 BZP524297:BZQ524297 CJL524297:CJM524297 CTH524297:CTI524297 DDD524297:DDE524297 DMZ524297:DNA524297 DWV524297:DWW524297 EGR524297:EGS524297 EQN524297:EQO524297 FAJ524297:FAK524297 FKF524297:FKG524297 FUB524297:FUC524297 GDX524297:GDY524297 GNT524297:GNU524297 GXP524297:GXQ524297 HHL524297:HHM524297 HRH524297:HRI524297 IBD524297:IBE524297 IKZ524297:ILA524297 IUV524297:IUW524297 JER524297:JES524297 JON524297:JOO524297 JYJ524297:JYK524297 KIF524297:KIG524297 KSB524297:KSC524297 LBX524297:LBY524297 LLT524297:LLU524297 LVP524297:LVQ524297 MFL524297:MFM524297 MPH524297:MPI524297 MZD524297:MZE524297 NIZ524297:NJA524297 NSV524297:NSW524297 OCR524297:OCS524297 OMN524297:OMO524297 OWJ524297:OWK524297 PGF524297:PGG524297 PQB524297:PQC524297 PZX524297:PZY524297 QJT524297:QJU524297 QTP524297:QTQ524297 RDL524297:RDM524297 RNH524297:RNI524297 RXD524297:RXE524297 SGZ524297:SHA524297 SQV524297:SQW524297 TAR524297:TAS524297 TKN524297:TKO524297 TUJ524297:TUK524297 UEF524297:UEG524297 UOB524297:UOC524297 UXX524297:UXY524297 VHT524297:VHU524297 VRP524297:VRQ524297 WBL524297:WBM524297 WLH524297:WLI524297 WVD524297:WVE524297 IR589833:IS589833 SN589833:SO589833 ACJ589833:ACK589833 AMF589833:AMG589833 AWB589833:AWC589833 BFX589833:BFY589833 BPT589833:BPU589833 BZP589833:BZQ589833 CJL589833:CJM589833 CTH589833:CTI589833 DDD589833:DDE589833 DMZ589833:DNA589833 DWV589833:DWW589833 EGR589833:EGS589833 EQN589833:EQO589833 FAJ589833:FAK589833 FKF589833:FKG589833 FUB589833:FUC589833 GDX589833:GDY589833 GNT589833:GNU589833 GXP589833:GXQ589833 HHL589833:HHM589833 HRH589833:HRI589833 IBD589833:IBE589833 IKZ589833:ILA589833 IUV589833:IUW589833 JER589833:JES589833 JON589833:JOO589833 JYJ589833:JYK589833 KIF589833:KIG589833 KSB589833:KSC589833 LBX589833:LBY589833 LLT589833:LLU589833 LVP589833:LVQ589833 MFL589833:MFM589833 MPH589833:MPI589833 MZD589833:MZE589833 NIZ589833:NJA589833 NSV589833:NSW589833 OCR589833:OCS589833 OMN589833:OMO589833 OWJ589833:OWK589833 PGF589833:PGG589833 PQB589833:PQC589833 PZX589833:PZY589833 QJT589833:QJU589833 QTP589833:QTQ589833 RDL589833:RDM589833 RNH589833:RNI589833 RXD589833:RXE589833 SGZ589833:SHA589833 SQV589833:SQW589833 TAR589833:TAS589833 TKN589833:TKO589833 TUJ589833:TUK589833 UEF589833:UEG589833 UOB589833:UOC589833 UXX589833:UXY589833 VHT589833:VHU589833 VRP589833:VRQ589833 WBL589833:WBM589833 WLH589833:WLI589833 WVD589833:WVE589833 IR655369:IS655369 SN655369:SO655369 ACJ655369:ACK655369 AMF655369:AMG655369 AWB655369:AWC655369 BFX655369:BFY655369 BPT655369:BPU655369 BZP655369:BZQ655369 CJL655369:CJM655369 CTH655369:CTI655369 DDD655369:DDE655369 DMZ655369:DNA655369 DWV655369:DWW655369 EGR655369:EGS655369 EQN655369:EQO655369 FAJ655369:FAK655369 FKF655369:FKG655369 FUB655369:FUC655369 GDX655369:GDY655369 GNT655369:GNU655369 GXP655369:GXQ655369 HHL655369:HHM655369 HRH655369:HRI655369 IBD655369:IBE655369 IKZ655369:ILA655369 IUV655369:IUW655369 JER655369:JES655369 JON655369:JOO655369 JYJ655369:JYK655369 KIF655369:KIG655369 KSB655369:KSC655369 LBX655369:LBY655369 LLT655369:LLU655369 LVP655369:LVQ655369 MFL655369:MFM655369 MPH655369:MPI655369 MZD655369:MZE655369 NIZ655369:NJA655369 NSV655369:NSW655369 OCR655369:OCS655369 OMN655369:OMO655369 OWJ655369:OWK655369 PGF655369:PGG655369 PQB655369:PQC655369 PZX655369:PZY655369 QJT655369:QJU655369 QTP655369:QTQ655369 RDL655369:RDM655369 RNH655369:RNI655369 RXD655369:RXE655369 SGZ655369:SHA655369 SQV655369:SQW655369 TAR655369:TAS655369 TKN655369:TKO655369 TUJ655369:TUK655369 UEF655369:UEG655369 UOB655369:UOC655369 UXX655369:UXY655369 VHT655369:VHU655369 VRP655369:VRQ655369 WBL655369:WBM655369 WLH655369:WLI655369 WVD655369:WVE655369 IR720905:IS720905 SN720905:SO720905 ACJ720905:ACK720905 AMF720905:AMG720905 AWB720905:AWC720905 BFX720905:BFY720905 BPT720905:BPU720905 BZP720905:BZQ720905 CJL720905:CJM720905 CTH720905:CTI720905 DDD720905:DDE720905 DMZ720905:DNA720905 DWV720905:DWW720905 EGR720905:EGS720905 EQN720905:EQO720905 FAJ720905:FAK720905 FKF720905:FKG720905 FUB720905:FUC720905 GDX720905:GDY720905 GNT720905:GNU720905 GXP720905:GXQ720905 HHL720905:HHM720905 HRH720905:HRI720905 IBD720905:IBE720905 IKZ720905:ILA720905 IUV720905:IUW720905 JER720905:JES720905 JON720905:JOO720905 JYJ720905:JYK720905 KIF720905:KIG720905 KSB720905:KSC720905 LBX720905:LBY720905 LLT720905:LLU720905 LVP720905:LVQ720905 MFL720905:MFM720905 MPH720905:MPI720905 MZD720905:MZE720905 NIZ720905:NJA720905 NSV720905:NSW720905 OCR720905:OCS720905 OMN720905:OMO720905 OWJ720905:OWK720905 PGF720905:PGG720905 PQB720905:PQC720905 PZX720905:PZY720905 QJT720905:QJU720905 QTP720905:QTQ720905 RDL720905:RDM720905 RNH720905:RNI720905 RXD720905:RXE720905 SGZ720905:SHA720905 SQV720905:SQW720905 TAR720905:TAS720905 TKN720905:TKO720905 TUJ720905:TUK720905 UEF720905:UEG720905 UOB720905:UOC720905 UXX720905:UXY720905 VHT720905:VHU720905 VRP720905:VRQ720905 WBL720905:WBM720905 WLH720905:WLI720905 WVD720905:WVE720905 IR786441:IS786441 SN786441:SO786441 ACJ786441:ACK786441 AMF786441:AMG786441 AWB786441:AWC786441 BFX786441:BFY786441 BPT786441:BPU786441 BZP786441:BZQ786441 CJL786441:CJM786441 CTH786441:CTI786441 DDD786441:DDE786441 DMZ786441:DNA786441 DWV786441:DWW786441 EGR786441:EGS786441 EQN786441:EQO786441 FAJ786441:FAK786441 FKF786441:FKG786441 FUB786441:FUC786441 GDX786441:GDY786441 GNT786441:GNU786441 GXP786441:GXQ786441 HHL786441:HHM786441 HRH786441:HRI786441 IBD786441:IBE786441 IKZ786441:ILA786441 IUV786441:IUW786441 JER786441:JES786441 JON786441:JOO786441 JYJ786441:JYK786441 KIF786441:KIG786441 KSB786441:KSC786441 LBX786441:LBY786441 LLT786441:LLU786441 LVP786441:LVQ786441 MFL786441:MFM786441 MPH786441:MPI786441 MZD786441:MZE786441 NIZ786441:NJA786441 NSV786441:NSW786441 OCR786441:OCS786441 OMN786441:OMO786441 OWJ786441:OWK786441 PGF786441:PGG786441 PQB786441:PQC786441 PZX786441:PZY786441 QJT786441:QJU786441 QTP786441:QTQ786441 RDL786441:RDM786441 RNH786441:RNI786441 RXD786441:RXE786441 SGZ786441:SHA786441 SQV786441:SQW786441 TAR786441:TAS786441 TKN786441:TKO786441 TUJ786441:TUK786441 UEF786441:UEG786441 UOB786441:UOC786441 UXX786441:UXY786441 VHT786441:VHU786441 VRP786441:VRQ786441 WBL786441:WBM786441 WLH786441:WLI786441 WVD786441:WVE786441 IR851977:IS851977 SN851977:SO851977 ACJ851977:ACK851977 AMF851977:AMG851977 AWB851977:AWC851977 BFX851977:BFY851977 BPT851977:BPU851977 BZP851977:BZQ851977 CJL851977:CJM851977 CTH851977:CTI851977 DDD851977:DDE851977 DMZ851977:DNA851977 DWV851977:DWW851977 EGR851977:EGS851977 EQN851977:EQO851977 FAJ851977:FAK851977 FKF851977:FKG851977 FUB851977:FUC851977 GDX851977:GDY851977 GNT851977:GNU851977 GXP851977:GXQ851977 HHL851977:HHM851977 HRH851977:HRI851977 IBD851977:IBE851977 IKZ851977:ILA851977 IUV851977:IUW851977 JER851977:JES851977 JON851977:JOO851977 JYJ851977:JYK851977 KIF851977:KIG851977 KSB851977:KSC851977 LBX851977:LBY851977 LLT851977:LLU851977 LVP851977:LVQ851977 MFL851977:MFM851977 MPH851977:MPI851977 MZD851977:MZE851977 NIZ851977:NJA851977 NSV851977:NSW851977 OCR851977:OCS851977 OMN851977:OMO851977 OWJ851977:OWK851977 PGF851977:PGG851977 PQB851977:PQC851977 PZX851977:PZY851977 QJT851977:QJU851977 QTP851977:QTQ851977 RDL851977:RDM851977 RNH851977:RNI851977 RXD851977:RXE851977 SGZ851977:SHA851977 SQV851977:SQW851977 TAR851977:TAS851977 TKN851977:TKO851977 TUJ851977:TUK851977 UEF851977:UEG851977 UOB851977:UOC851977 UXX851977:UXY851977 VHT851977:VHU851977 VRP851977:VRQ851977 WBL851977:WBM851977 WLH851977:WLI851977 WVD851977:WVE851977 IR917513:IS917513 SN917513:SO917513 ACJ917513:ACK917513 AMF917513:AMG917513 AWB917513:AWC917513 BFX917513:BFY917513 BPT917513:BPU917513 BZP917513:BZQ917513 CJL917513:CJM917513 CTH917513:CTI917513 DDD917513:DDE917513 DMZ917513:DNA917513 DWV917513:DWW917513 EGR917513:EGS917513 EQN917513:EQO917513 FAJ917513:FAK917513 FKF917513:FKG917513 FUB917513:FUC917513 GDX917513:GDY917513 GNT917513:GNU917513 GXP917513:GXQ917513 HHL917513:HHM917513 HRH917513:HRI917513 IBD917513:IBE917513 IKZ917513:ILA917513 IUV917513:IUW917513 JER917513:JES917513 JON917513:JOO917513 JYJ917513:JYK917513 KIF917513:KIG917513 KSB917513:KSC917513 LBX917513:LBY917513 LLT917513:LLU917513 LVP917513:LVQ917513 MFL917513:MFM917513 MPH917513:MPI917513 MZD917513:MZE917513 NIZ917513:NJA917513 NSV917513:NSW917513 OCR917513:OCS917513 OMN917513:OMO917513 OWJ917513:OWK917513 PGF917513:PGG917513 PQB917513:PQC917513 PZX917513:PZY917513 QJT917513:QJU917513 QTP917513:QTQ917513 RDL917513:RDM917513 RNH917513:RNI917513 RXD917513:RXE917513 SGZ917513:SHA917513 SQV917513:SQW917513 TAR917513:TAS917513 TKN917513:TKO917513 TUJ917513:TUK917513 UEF917513:UEG917513 UOB917513:UOC917513 UXX917513:UXY917513 VHT917513:VHU917513 VRP917513:VRQ917513 WBL917513:WBM917513 WLH917513:WLI917513 WVD917513:WVE917513 IR983049:IS983049 SN983049:SO983049 ACJ983049:ACK983049 AMF983049:AMG983049 AWB983049:AWC983049 BFX983049:BFY983049 BPT983049:BPU983049 BZP983049:BZQ983049 CJL983049:CJM983049 CTH983049:CTI983049 DDD983049:DDE983049 DMZ983049:DNA983049 DWV983049:DWW983049 EGR983049:EGS983049 EQN983049:EQO983049 FAJ983049:FAK983049 FKF983049:FKG983049 FUB983049:FUC983049 GDX983049:GDY983049 GNT983049:GNU983049 GXP983049:GXQ983049 HHL983049:HHM983049 HRH983049:HRI983049 IBD983049:IBE983049 IKZ983049:ILA983049 IUV983049:IUW983049 JER983049:JES983049 JON983049:JOO983049 JYJ983049:JYK983049 KIF983049:KIG983049 KSB983049:KSC983049 LBX983049:LBY983049 LLT983049:LLU983049 LVP983049:LVQ983049 MFL983049:MFM983049 MPH983049:MPI983049 MZD983049:MZE983049 NIZ983049:NJA983049 NSV983049:NSW983049 OCR983049:OCS983049 OMN983049:OMO983049 OWJ983049:OWK983049 PGF983049:PGG983049 PQB983049:PQC983049 PZX983049:PZY983049 QJT983049:QJU983049 QTP983049:QTQ983049 RDL983049:RDM983049 RNH983049:RNI983049 RXD983049:RXE983049 SGZ983049:SHA983049 SQV983049:SQW983049 TAR983049:TAS983049 TKN983049:TKO983049 TUJ983049:TUK983049 UEF983049:UEG983049 UOB983049:UOC983049 UXX983049:UXY983049 VHT983049:VHU983049 VRP983049:VRQ983049 WBL983049:WBM983049 WLH983049:WLI983049 WVD983049:WVE983049 D7:E7 D65545:E65545 D131081:E131081 D196617:E196617 D262153:E262153 D327689:E327689 D393225:E393225 D458761:E458761 D524297:E524297 D589833:E589833 D655369:E655369 D720905:E720905 D786441:E786441 D851977:E851977 D917513:E917513 D983049:E983049" xr:uid="{00000000-0002-0000-3300-00000A000000}">
      <formula1>$D$7:$F$7</formula1>
    </dataValidation>
    <dataValidation type="list" allowBlank="1" showInputMessage="1" showErrorMessage="1" sqref="IW16 I16 ACO16 AMK16 AWG16 BGC16 BPY16 BZU16 CJQ16 CTM16 DDI16 DNE16 DXA16 EGW16 EQS16 FAO16 FKK16 FUG16 GEC16 GNY16 GXU16 HHQ16 HRM16 IBI16 ILE16 IVA16 JEW16 JOS16 JYO16 KIK16 KSG16 LCC16 LLY16 LVU16 MFQ16 MPM16 MZI16 NJE16 NTA16 OCW16 OMS16 OWO16 PGK16 PQG16 QAC16 QJY16 QTU16 RDQ16 RNM16 RXI16 SHE16 SRA16 TAW16 TKS16 TUO16 UEK16 UOG16 UYC16 VHY16 VRU16 WBQ16 WLM16 WVI16 IW65552 SS65552 ACO65552 AMK65552 AWG65552 BGC65552 BPY65552 BZU65552 CJQ65552 CTM65552 DDI65552 DNE65552 DXA65552 EGW65552 EQS65552 FAO65552 FKK65552 FUG65552 GEC65552 GNY65552 GXU65552 HHQ65552 HRM65552 IBI65552 ILE65552 IVA65552 JEW65552 JOS65552 JYO65552 KIK65552 KSG65552 LCC65552 LLY65552 LVU65552 MFQ65552 MPM65552 MZI65552 NJE65552 NTA65552 OCW65552 OMS65552 OWO65552 PGK65552 PQG65552 QAC65552 QJY65552 QTU65552 RDQ65552 RNM65552 RXI65552 SHE65552 SRA65552 TAW65552 TKS65552 TUO65552 UEK65552 UOG65552 UYC65552 VHY65552 VRU65552 WBQ65552 WLM65552 WVI65552 IW131088 SS131088 ACO131088 AMK131088 AWG131088 BGC131088 BPY131088 BZU131088 CJQ131088 CTM131088 DDI131088 DNE131088 DXA131088 EGW131088 EQS131088 FAO131088 FKK131088 FUG131088 GEC131088 GNY131088 GXU131088 HHQ131088 HRM131088 IBI131088 ILE131088 IVA131088 JEW131088 JOS131088 JYO131088 KIK131088 KSG131088 LCC131088 LLY131088 LVU131088 MFQ131088 MPM131088 MZI131088 NJE131088 NTA131088 OCW131088 OMS131088 OWO131088 PGK131088 PQG131088 QAC131088 QJY131088 QTU131088 RDQ131088 RNM131088 RXI131088 SHE131088 SRA131088 TAW131088 TKS131088 TUO131088 UEK131088 UOG131088 UYC131088 VHY131088 VRU131088 WBQ131088 WLM131088 WVI131088 IW196624 SS196624 ACO196624 AMK196624 AWG196624 BGC196624 BPY196624 BZU196624 CJQ196624 CTM196624 DDI196624 DNE196624 DXA196624 EGW196624 EQS196624 FAO196624 FKK196624 FUG196624 GEC196624 GNY196624 GXU196624 HHQ196624 HRM196624 IBI196624 ILE196624 IVA196624 JEW196624 JOS196624 JYO196624 KIK196624 KSG196624 LCC196624 LLY196624 LVU196624 MFQ196624 MPM196624 MZI196624 NJE196624 NTA196624 OCW196624 OMS196624 OWO196624 PGK196624 PQG196624 QAC196624 QJY196624 QTU196624 RDQ196624 RNM196624 RXI196624 SHE196624 SRA196624 TAW196624 TKS196624 TUO196624 UEK196624 UOG196624 UYC196624 VHY196624 VRU196624 WBQ196624 WLM196624 WVI196624 IW262160 SS262160 ACO262160 AMK262160 AWG262160 BGC262160 BPY262160 BZU262160 CJQ262160 CTM262160 DDI262160 DNE262160 DXA262160 EGW262160 EQS262160 FAO262160 FKK262160 FUG262160 GEC262160 GNY262160 GXU262160 HHQ262160 HRM262160 IBI262160 ILE262160 IVA262160 JEW262160 JOS262160 JYO262160 KIK262160 KSG262160 LCC262160 LLY262160 LVU262160 MFQ262160 MPM262160 MZI262160 NJE262160 NTA262160 OCW262160 OMS262160 OWO262160 PGK262160 PQG262160 QAC262160 QJY262160 QTU262160 RDQ262160 RNM262160 RXI262160 SHE262160 SRA262160 TAW262160 TKS262160 TUO262160 UEK262160 UOG262160 UYC262160 VHY262160 VRU262160 WBQ262160 WLM262160 WVI262160 IW327696 SS327696 ACO327696 AMK327696 AWG327696 BGC327696 BPY327696 BZU327696 CJQ327696 CTM327696 DDI327696 DNE327696 DXA327696 EGW327696 EQS327696 FAO327696 FKK327696 FUG327696 GEC327696 GNY327696 GXU327696 HHQ327696 HRM327696 IBI327696 ILE327696 IVA327696 JEW327696 JOS327696 JYO327696 KIK327696 KSG327696 LCC327696 LLY327696 LVU327696 MFQ327696 MPM327696 MZI327696 NJE327696 NTA327696 OCW327696 OMS327696 OWO327696 PGK327696 PQG327696 QAC327696 QJY327696 QTU327696 RDQ327696 RNM327696 RXI327696 SHE327696 SRA327696 TAW327696 TKS327696 TUO327696 UEK327696 UOG327696 UYC327696 VHY327696 VRU327696 WBQ327696 WLM327696 WVI327696 IW393232 SS393232 ACO393232 AMK393232 AWG393232 BGC393232 BPY393232 BZU393232 CJQ393232 CTM393232 DDI393232 DNE393232 DXA393232 EGW393232 EQS393232 FAO393232 FKK393232 FUG393232 GEC393232 GNY393232 GXU393232 HHQ393232 HRM393232 IBI393232 ILE393232 IVA393232 JEW393232 JOS393232 JYO393232 KIK393232 KSG393232 LCC393232 LLY393232 LVU393232 MFQ393232 MPM393232 MZI393232 NJE393232 NTA393232 OCW393232 OMS393232 OWO393232 PGK393232 PQG393232 QAC393232 QJY393232 QTU393232 RDQ393232 RNM393232 RXI393232 SHE393232 SRA393232 TAW393232 TKS393232 TUO393232 UEK393232 UOG393232 UYC393232 VHY393232 VRU393232 WBQ393232 WLM393232 WVI393232 IW458768 SS458768 ACO458768 AMK458768 AWG458768 BGC458768 BPY458768 BZU458768 CJQ458768 CTM458768 DDI458768 DNE458768 DXA458768 EGW458768 EQS458768 FAO458768 FKK458768 FUG458768 GEC458768 GNY458768 GXU458768 HHQ458768 HRM458768 IBI458768 ILE458768 IVA458768 JEW458768 JOS458768 JYO458768 KIK458768 KSG458768 LCC458768 LLY458768 LVU458768 MFQ458768 MPM458768 MZI458768 NJE458768 NTA458768 OCW458768 OMS458768 OWO458768 PGK458768 PQG458768 QAC458768 QJY458768 QTU458768 RDQ458768 RNM458768 RXI458768 SHE458768 SRA458768 TAW458768 TKS458768 TUO458768 UEK458768 UOG458768 UYC458768 VHY458768 VRU458768 WBQ458768 WLM458768 WVI458768 IW524304 SS524304 ACO524304 AMK524304 AWG524304 BGC524304 BPY524304 BZU524304 CJQ524304 CTM524304 DDI524304 DNE524304 DXA524304 EGW524304 EQS524304 FAO524304 FKK524304 FUG524304 GEC524304 GNY524304 GXU524304 HHQ524304 HRM524304 IBI524304 ILE524304 IVA524304 JEW524304 JOS524304 JYO524304 KIK524304 KSG524304 LCC524304 LLY524304 LVU524304 MFQ524304 MPM524304 MZI524304 NJE524304 NTA524304 OCW524304 OMS524304 OWO524304 PGK524304 PQG524304 QAC524304 QJY524304 QTU524304 RDQ524304 RNM524304 RXI524304 SHE524304 SRA524304 TAW524304 TKS524304 TUO524304 UEK524304 UOG524304 UYC524304 VHY524304 VRU524304 WBQ524304 WLM524304 WVI524304 IW589840 SS589840 ACO589840 AMK589840 AWG589840 BGC589840 BPY589840 BZU589840 CJQ589840 CTM589840 DDI589840 DNE589840 DXA589840 EGW589840 EQS589840 FAO589840 FKK589840 FUG589840 GEC589840 GNY589840 GXU589840 HHQ589840 HRM589840 IBI589840 ILE589840 IVA589840 JEW589840 JOS589840 JYO589840 KIK589840 KSG589840 LCC589840 LLY589840 LVU589840 MFQ589840 MPM589840 MZI589840 NJE589840 NTA589840 OCW589840 OMS589840 OWO589840 PGK589840 PQG589840 QAC589840 QJY589840 QTU589840 RDQ589840 RNM589840 RXI589840 SHE589840 SRA589840 TAW589840 TKS589840 TUO589840 UEK589840 UOG589840 UYC589840 VHY589840 VRU589840 WBQ589840 WLM589840 WVI589840 IW655376 SS655376 ACO655376 AMK655376 AWG655376 BGC655376 BPY655376 BZU655376 CJQ655376 CTM655376 DDI655376 DNE655376 DXA655376 EGW655376 EQS655376 FAO655376 FKK655376 FUG655376 GEC655376 GNY655376 GXU655376 HHQ655376 HRM655376 IBI655376 ILE655376 IVA655376 JEW655376 JOS655376 JYO655376 KIK655376 KSG655376 LCC655376 LLY655376 LVU655376 MFQ655376 MPM655376 MZI655376 NJE655376 NTA655376 OCW655376 OMS655376 OWO655376 PGK655376 PQG655376 QAC655376 QJY655376 QTU655376 RDQ655376 RNM655376 RXI655376 SHE655376 SRA655376 TAW655376 TKS655376 TUO655376 UEK655376 UOG655376 UYC655376 VHY655376 VRU655376 WBQ655376 WLM655376 WVI655376 IW720912 SS720912 ACO720912 AMK720912 AWG720912 BGC720912 BPY720912 BZU720912 CJQ720912 CTM720912 DDI720912 DNE720912 DXA720912 EGW720912 EQS720912 FAO720912 FKK720912 FUG720912 GEC720912 GNY720912 GXU720912 HHQ720912 HRM720912 IBI720912 ILE720912 IVA720912 JEW720912 JOS720912 JYO720912 KIK720912 KSG720912 LCC720912 LLY720912 LVU720912 MFQ720912 MPM720912 MZI720912 NJE720912 NTA720912 OCW720912 OMS720912 OWO720912 PGK720912 PQG720912 QAC720912 QJY720912 QTU720912 RDQ720912 RNM720912 RXI720912 SHE720912 SRA720912 TAW720912 TKS720912 TUO720912 UEK720912 UOG720912 UYC720912 VHY720912 VRU720912 WBQ720912 WLM720912 WVI720912 IW786448 SS786448 ACO786448 AMK786448 AWG786448 BGC786448 BPY786448 BZU786448 CJQ786448 CTM786448 DDI786448 DNE786448 DXA786448 EGW786448 EQS786448 FAO786448 FKK786448 FUG786448 GEC786448 GNY786448 GXU786448 HHQ786448 HRM786448 IBI786448 ILE786448 IVA786448 JEW786448 JOS786448 JYO786448 KIK786448 KSG786448 LCC786448 LLY786448 LVU786448 MFQ786448 MPM786448 MZI786448 NJE786448 NTA786448 OCW786448 OMS786448 OWO786448 PGK786448 PQG786448 QAC786448 QJY786448 QTU786448 RDQ786448 RNM786448 RXI786448 SHE786448 SRA786448 TAW786448 TKS786448 TUO786448 UEK786448 UOG786448 UYC786448 VHY786448 VRU786448 WBQ786448 WLM786448 WVI786448 IW851984 SS851984 ACO851984 AMK851984 AWG851984 BGC851984 BPY851984 BZU851984 CJQ851984 CTM851984 DDI851984 DNE851984 DXA851984 EGW851984 EQS851984 FAO851984 FKK851984 FUG851984 GEC851984 GNY851984 GXU851984 HHQ851984 HRM851984 IBI851984 ILE851984 IVA851984 JEW851984 JOS851984 JYO851984 KIK851984 KSG851984 LCC851984 LLY851984 LVU851984 MFQ851984 MPM851984 MZI851984 NJE851984 NTA851984 OCW851984 OMS851984 OWO851984 PGK851984 PQG851984 QAC851984 QJY851984 QTU851984 RDQ851984 RNM851984 RXI851984 SHE851984 SRA851984 TAW851984 TKS851984 TUO851984 UEK851984 UOG851984 UYC851984 VHY851984 VRU851984 WBQ851984 WLM851984 WVI851984 IW917520 SS917520 ACO917520 AMK917520 AWG917520 BGC917520 BPY917520 BZU917520 CJQ917520 CTM917520 DDI917520 DNE917520 DXA917520 EGW917520 EQS917520 FAO917520 FKK917520 FUG917520 GEC917520 GNY917520 GXU917520 HHQ917520 HRM917520 IBI917520 ILE917520 IVA917520 JEW917520 JOS917520 JYO917520 KIK917520 KSG917520 LCC917520 LLY917520 LVU917520 MFQ917520 MPM917520 MZI917520 NJE917520 NTA917520 OCW917520 OMS917520 OWO917520 PGK917520 PQG917520 QAC917520 QJY917520 QTU917520 RDQ917520 RNM917520 RXI917520 SHE917520 SRA917520 TAW917520 TKS917520 TUO917520 UEK917520 UOG917520 UYC917520 VHY917520 VRU917520 WBQ917520 WLM917520 WVI917520 IW983056 SS983056 ACO983056 AMK983056 AWG983056 BGC983056 BPY983056 BZU983056 CJQ983056 CTM983056 DDI983056 DNE983056 DXA983056 EGW983056 EQS983056 FAO983056 FKK983056 FUG983056 GEC983056 GNY983056 GXU983056 HHQ983056 HRM983056 IBI983056 ILE983056 IVA983056 JEW983056 JOS983056 JYO983056 KIK983056 KSG983056 LCC983056 LLY983056 LVU983056 MFQ983056 MPM983056 MZI983056 NJE983056 NTA983056 OCW983056 OMS983056 OWO983056 PGK983056 PQG983056 QAC983056 QJY983056 QTU983056 RDQ983056 RNM983056 RXI983056 SHE983056 SRA983056 TAW983056 TKS983056 TUO983056 UEK983056 UOG983056 UYC983056 VHY983056 VRU983056 WBQ983056 WLM983056 WVI983056 I65552 SS16 I131088 I196624 I262160 I327696 I393232 I458768 I524304 I589840 I655376 I720912 I786448 I851984 I917520 I983056" xr:uid="{00000000-0002-0000-3300-00000B000000}">
      <formula1>$D$16:$G$16</formula1>
    </dataValidation>
    <dataValidation type="list" allowBlank="1" showInputMessage="1" showErrorMessage="1" sqref="WVI23 I23 SS23 ACO23 AMK23 AWG23 BGC23 BPY23 BZU23 CJQ23 CTM23 DDI23 DNE23 DXA23 EGW23 EQS23 FAO23 FKK23 FUG23 GEC23 GNY23 GXU23 HHQ23 HRM23 IBI23 ILE23 IVA23 JEW23 JOS23 JYO23 KIK23 KSG23 LCC23 LLY23 LVU23 MFQ23 MPM23 MZI23 NJE23 NTA23 OCW23 OMS23 OWO23 PGK23 PQG23 QAC23 QJY23 QTU23 RDQ23 RNM23 RXI23 SHE23 SRA23 TAW23 TKS23 TUO23 UEK23 UOG23 UYC23 VHY23 VRU23 WBQ23 WLM23 WVI983060 WLM983060 WBQ983060 VRU983060 VHY983060 UYC983060 UOG983060 UEK983060 TUO983060 TKS983060 TAW983060 SRA983060 SHE983060 RXI983060 RNM983060 RDQ983060 QTU983060 QJY983060 QAC983060 PQG983060 PGK983060 OWO983060 OMS983060 OCW983060 NTA983060 NJE983060 MZI983060 MPM983060 MFQ983060 LVU983060 LLY983060 LCC983060 KSG983060 KIK983060 JYO983060 JOS983060 JEW983060 IVA983060 ILE983060 IBI983060 HRM983060 HHQ983060 GXU983060 GNY983060 GEC983060 FUG983060 FKK983060 FAO983060 EQS983060 EGW983060 DXA983060 DNE983060 DDI983060 CTM983060 CJQ983060 BZU983060 BPY983060 BGC983060 AWG983060 AMK983060 ACO983060 SS983060 IW983060 WVI917524 WLM917524 WBQ917524 VRU917524 VHY917524 UYC917524 UOG917524 UEK917524 TUO917524 TKS917524 TAW917524 SRA917524 SHE917524 RXI917524 RNM917524 RDQ917524 QTU917524 QJY917524 QAC917524 PQG917524 PGK917524 OWO917524 OMS917524 OCW917524 NTA917524 NJE917524 MZI917524 MPM917524 MFQ917524 LVU917524 LLY917524 LCC917524 KSG917524 KIK917524 JYO917524 JOS917524 JEW917524 IVA917524 ILE917524 IBI917524 HRM917524 HHQ917524 GXU917524 GNY917524 GEC917524 FUG917524 FKK917524 FAO917524 EQS917524 EGW917524 DXA917524 DNE917524 DDI917524 CTM917524 CJQ917524 BZU917524 BPY917524 BGC917524 AWG917524 AMK917524 ACO917524 SS917524 IW917524 WVI851988 WLM851988 WBQ851988 VRU851988 VHY851988 UYC851988 UOG851988 UEK851988 TUO851988 TKS851988 TAW851988 SRA851988 SHE851988 RXI851988 RNM851988 RDQ851988 QTU851988 QJY851988 QAC851988 PQG851988 PGK851988 OWO851988 OMS851988 OCW851988 NTA851988 NJE851988 MZI851988 MPM851988 MFQ851988 LVU851988 LLY851988 LCC851988 KSG851988 KIK851988 JYO851988 JOS851988 JEW851988 IVA851988 ILE851988 IBI851988 HRM851988 HHQ851988 GXU851988 GNY851988 GEC851988 FUG851988 FKK851988 FAO851988 EQS851988 EGW851988 DXA851988 DNE851988 DDI851988 CTM851988 CJQ851988 BZU851988 BPY851988 BGC851988 AWG851988 AMK851988 ACO851988 SS851988 IW851988 WVI786452 WLM786452 WBQ786452 VRU786452 VHY786452 UYC786452 UOG786452 UEK786452 TUO786452 TKS786452 TAW786452 SRA786452 SHE786452 RXI786452 RNM786452 RDQ786452 QTU786452 QJY786452 QAC786452 PQG786452 PGK786452 OWO786452 OMS786452 OCW786452 NTA786452 NJE786452 MZI786452 MPM786452 MFQ786452 LVU786452 LLY786452 LCC786452 KSG786452 KIK786452 JYO786452 JOS786452 JEW786452 IVA786452 ILE786452 IBI786452 HRM786452 HHQ786452 GXU786452 GNY786452 GEC786452 FUG786452 FKK786452 FAO786452 EQS786452 EGW786452 DXA786452 DNE786452 DDI786452 CTM786452 CJQ786452 BZU786452 BPY786452 BGC786452 AWG786452 AMK786452 ACO786452 SS786452 IW786452 WVI720916 WLM720916 WBQ720916 VRU720916 VHY720916 UYC720916 UOG720916 UEK720916 TUO720916 TKS720916 TAW720916 SRA720916 SHE720916 RXI720916 RNM720916 RDQ720916 QTU720916 QJY720916 QAC720916 PQG720916 PGK720916 OWO720916 OMS720916 OCW720916 NTA720916 NJE720916 MZI720916 MPM720916 MFQ720916 LVU720916 LLY720916 LCC720916 KSG720916 KIK720916 JYO720916 JOS720916 JEW720916 IVA720916 ILE720916 IBI720916 HRM720916 HHQ720916 GXU720916 GNY720916 GEC720916 FUG720916 FKK720916 FAO720916 EQS720916 EGW720916 DXA720916 DNE720916 DDI720916 CTM720916 CJQ720916 BZU720916 BPY720916 BGC720916 AWG720916 AMK720916 ACO720916 SS720916 IW720916 WVI655380 WLM655380 WBQ655380 VRU655380 VHY655380 UYC655380 UOG655380 UEK655380 TUO655380 TKS655380 TAW655380 SRA655380 SHE655380 RXI655380 RNM655380 RDQ655380 QTU655380 QJY655380 QAC655380 PQG655380 PGK655380 OWO655380 OMS655380 OCW655380 NTA655380 NJE655380 MZI655380 MPM655380 MFQ655380 LVU655380 LLY655380 LCC655380 KSG655380 KIK655380 JYO655380 JOS655380 JEW655380 IVA655380 ILE655380 IBI655380 HRM655380 HHQ655380 GXU655380 GNY655380 GEC655380 FUG655380 FKK655380 FAO655380 EQS655380 EGW655380 DXA655380 DNE655380 DDI655380 CTM655380 CJQ655380 BZU655380 BPY655380 BGC655380 AWG655380 AMK655380 ACO655380 SS655380 IW655380 WVI589844 WLM589844 WBQ589844 VRU589844 VHY589844 UYC589844 UOG589844 UEK589844 TUO589844 TKS589844 TAW589844 SRA589844 SHE589844 RXI589844 RNM589844 RDQ589844 QTU589844 QJY589844 QAC589844 PQG589844 PGK589844 OWO589844 OMS589844 OCW589844 NTA589844 NJE589844 MZI589844 MPM589844 MFQ589844 LVU589844 LLY589844 LCC589844 KSG589844 KIK589844 JYO589844 JOS589844 JEW589844 IVA589844 ILE589844 IBI589844 HRM589844 HHQ589844 GXU589844 GNY589844 GEC589844 FUG589844 FKK589844 FAO589844 EQS589844 EGW589844 DXA589844 DNE589844 DDI589844 CTM589844 CJQ589844 BZU589844 BPY589844 BGC589844 AWG589844 AMK589844 ACO589844 SS589844 IW589844 WVI524308 WLM524308 WBQ524308 VRU524308 VHY524308 UYC524308 UOG524308 UEK524308 TUO524308 TKS524308 TAW524308 SRA524308 SHE524308 RXI524308 RNM524308 RDQ524308 QTU524308 QJY524308 QAC524308 PQG524308 PGK524308 OWO524308 OMS524308 OCW524308 NTA524308 NJE524308 MZI524308 MPM524308 MFQ524308 LVU524308 LLY524308 LCC524308 KSG524308 KIK524308 JYO524308 JOS524308 JEW524308 IVA524308 ILE524308 IBI524308 HRM524308 HHQ524308 GXU524308 GNY524308 GEC524308 FUG524308 FKK524308 FAO524308 EQS524308 EGW524308 DXA524308 DNE524308 DDI524308 CTM524308 CJQ524308 BZU524308 BPY524308 BGC524308 AWG524308 AMK524308 ACO524308 SS524308 IW524308 WVI458772 WLM458772 WBQ458772 VRU458772 VHY458772 UYC458772 UOG458772 UEK458772 TUO458772 TKS458772 TAW458772 SRA458772 SHE458772 RXI458772 RNM458772 RDQ458772 QTU458772 QJY458772 QAC458772 PQG458772 PGK458772 OWO458772 OMS458772 OCW458772 NTA458772 NJE458772 MZI458772 MPM458772 MFQ458772 LVU458772 LLY458772 LCC458772 KSG458772 KIK458772 JYO458772 JOS458772 JEW458772 IVA458772 ILE458772 IBI458772 HRM458772 HHQ458772 GXU458772 GNY458772 GEC458772 FUG458772 FKK458772 FAO458772 EQS458772 EGW458772 DXA458772 DNE458772 DDI458772 CTM458772 CJQ458772 BZU458772 BPY458772 BGC458772 AWG458772 AMK458772 ACO458772 SS458772 IW458772 WVI393236 WLM393236 WBQ393236 VRU393236 VHY393236 UYC393236 UOG393236 UEK393236 TUO393236 TKS393236 TAW393236 SRA393236 SHE393236 RXI393236 RNM393236 RDQ393236 QTU393236 QJY393236 QAC393236 PQG393236 PGK393236 OWO393236 OMS393236 OCW393236 NTA393236 NJE393236 MZI393236 MPM393236 MFQ393236 LVU393236 LLY393236 LCC393236 KSG393236 KIK393236 JYO393236 JOS393236 JEW393236 IVA393236 ILE393236 IBI393236 HRM393236 HHQ393236 GXU393236 GNY393236 GEC393236 FUG393236 FKK393236 FAO393236 EQS393236 EGW393236 DXA393236 DNE393236 DDI393236 CTM393236 CJQ393236 BZU393236 BPY393236 BGC393236 AWG393236 AMK393236 ACO393236 SS393236 IW393236 WVI327700 WLM327700 WBQ327700 VRU327700 VHY327700 UYC327700 UOG327700 UEK327700 TUO327700 TKS327700 TAW327700 SRA327700 SHE327700 RXI327700 RNM327700 RDQ327700 QTU327700 QJY327700 QAC327700 PQG327700 PGK327700 OWO327700 OMS327700 OCW327700 NTA327700 NJE327700 MZI327700 MPM327700 MFQ327700 LVU327700 LLY327700 LCC327700 KSG327700 KIK327700 JYO327700 JOS327700 JEW327700 IVA327700 ILE327700 IBI327700 HRM327700 HHQ327700 GXU327700 GNY327700 GEC327700 FUG327700 FKK327700 FAO327700 EQS327700 EGW327700 DXA327700 DNE327700 DDI327700 CTM327700 CJQ327700 BZU327700 BPY327700 BGC327700 AWG327700 AMK327700 ACO327700 SS327700 IW327700 WVI262164 WLM262164 WBQ262164 VRU262164 VHY262164 UYC262164 UOG262164 UEK262164 TUO262164 TKS262164 TAW262164 SRA262164 SHE262164 RXI262164 RNM262164 RDQ262164 QTU262164 QJY262164 QAC262164 PQG262164 PGK262164 OWO262164 OMS262164 OCW262164 NTA262164 NJE262164 MZI262164 MPM262164 MFQ262164 LVU262164 LLY262164 LCC262164 KSG262164 KIK262164 JYO262164 JOS262164 JEW262164 IVA262164 ILE262164 IBI262164 HRM262164 HHQ262164 GXU262164 GNY262164 GEC262164 FUG262164 FKK262164 FAO262164 EQS262164 EGW262164 DXA262164 DNE262164 DDI262164 CTM262164 CJQ262164 BZU262164 BPY262164 BGC262164 AWG262164 AMK262164 ACO262164 SS262164 IW262164 WVI196628 WLM196628 WBQ196628 VRU196628 VHY196628 UYC196628 UOG196628 UEK196628 TUO196628 TKS196628 TAW196628 SRA196628 SHE196628 RXI196628 RNM196628 RDQ196628 QTU196628 QJY196628 QAC196628 PQG196628 PGK196628 OWO196628 OMS196628 OCW196628 NTA196628 NJE196628 MZI196628 MPM196628 MFQ196628 LVU196628 LLY196628 LCC196628 KSG196628 KIK196628 JYO196628 JOS196628 JEW196628 IVA196628 ILE196628 IBI196628 HRM196628 HHQ196628 GXU196628 GNY196628 GEC196628 FUG196628 FKK196628 FAO196628 EQS196628 EGW196628 DXA196628 DNE196628 DDI196628 CTM196628 CJQ196628 BZU196628 BPY196628 BGC196628 AWG196628 AMK196628 ACO196628 SS196628 IW196628 WVI131092 WLM131092 WBQ131092 VRU131092 VHY131092 UYC131092 UOG131092 UEK131092 TUO131092 TKS131092 TAW131092 SRA131092 SHE131092 RXI131092 RNM131092 RDQ131092 QTU131092 QJY131092 QAC131092 PQG131092 PGK131092 OWO131092 OMS131092 OCW131092 NTA131092 NJE131092 MZI131092 MPM131092 MFQ131092 LVU131092 LLY131092 LCC131092 KSG131092 KIK131092 JYO131092 JOS131092 JEW131092 IVA131092 ILE131092 IBI131092 HRM131092 HHQ131092 GXU131092 GNY131092 GEC131092 FUG131092 FKK131092 FAO131092 EQS131092 EGW131092 DXA131092 DNE131092 DDI131092 CTM131092 CJQ131092 BZU131092 BPY131092 BGC131092 AWG131092 AMK131092 ACO131092 SS131092 IW131092 WVI65556 WLM65556 WBQ65556 VRU65556 VHY65556 UYC65556 UOG65556 UEK65556 TUO65556 TKS65556 TAW65556 SRA65556 SHE65556 RXI65556 RNM65556 RDQ65556 QTU65556 QJY65556 QAC65556 PQG65556 PGK65556 OWO65556 OMS65556 OCW65556 NTA65556 NJE65556 MZI65556 MPM65556 MFQ65556 LVU65556 LLY65556 LCC65556 KSG65556 KIK65556 JYO65556 JOS65556 JEW65556 IVA65556 ILE65556 IBI65556 HRM65556 HHQ65556 GXU65556 GNY65556 GEC65556 FUG65556 FKK65556 FAO65556 EQS65556 EGW65556 DXA65556 DNE65556 DDI65556 CTM65556 CJQ65556 BZU65556 BPY65556 BGC65556 AWG65556 AMK65556 ACO65556 SS65556 IW65556 I65556 IW23 I983060 I917524 I851988 I786452 I720916 I655380 I589844 I524308 I458772 I393236 I327700 I262164 I196628 I131092" xr:uid="{00000000-0002-0000-3300-00000C000000}">
      <formula1>$D$23:$G$23</formula1>
    </dataValidation>
    <dataValidation type="list" allowBlank="1" showInputMessage="1" showErrorMessage="1" sqref="WVI18:WVI22 I18 SS18:SS22 ACO18:ACO22 AMK18:AMK22 AWG18:AWG22 BGC18:BGC22 BPY18:BPY22 BZU18:BZU22 CJQ18:CJQ22 CTM18:CTM22 DDI18:DDI22 DNE18:DNE22 DXA18:DXA22 EGW18:EGW22 EQS18:EQS22 FAO18:FAO22 FKK18:FKK22 FUG18:FUG22 GEC18:GEC22 GNY18:GNY22 GXU18:GXU22 HHQ18:HHQ22 HRM18:HRM22 IBI18:IBI22 ILE18:ILE22 IVA18:IVA22 JEW18:JEW22 JOS18:JOS22 JYO18:JYO22 KIK18:KIK22 KSG18:KSG22 LCC18:LCC22 LLY18:LLY22 LVU18:LVU22 MFQ18:MFQ22 MPM18:MPM22 MZI18:MZI22 NJE18:NJE22 NTA18:NTA22 OCW18:OCW22 OMS18:OMS22 OWO18:OWO22 PGK18:PGK22 PQG18:PQG22 QAC18:QAC22 QJY18:QJY22 QTU18:QTU22 RDQ18:RDQ22 RNM18:RNM22 RXI18:RXI22 SHE18:SHE22 SRA18:SRA22 TAW18:TAW22 TKS18:TKS22 TUO18:TUO22 UEK18:UEK22 UOG18:UOG22 UYC18:UYC22 VHY18:VHY22 VRU18:VRU22 WBQ18:WBQ22 WLM18:WLM22 IW65555 WVI983059 WLM983059 WBQ983059 VRU983059 VHY983059 UYC983059 UOG983059 UEK983059 TUO983059 TKS983059 TAW983059 SRA983059 SHE983059 RXI983059 RNM983059 RDQ983059 QTU983059 QJY983059 QAC983059 PQG983059 PGK983059 OWO983059 OMS983059 OCW983059 NTA983059 NJE983059 MZI983059 MPM983059 MFQ983059 LVU983059 LLY983059 LCC983059 KSG983059 KIK983059 JYO983059 JOS983059 JEW983059 IVA983059 ILE983059 IBI983059 HRM983059 HHQ983059 GXU983059 GNY983059 GEC983059 FUG983059 FKK983059 FAO983059 EQS983059 EGW983059 DXA983059 DNE983059 DDI983059 CTM983059 CJQ983059 BZU983059 BPY983059 BGC983059 AWG983059 AMK983059 ACO983059 SS983059 IW983059 WVI917523 WLM917523 WBQ917523 VRU917523 VHY917523 UYC917523 UOG917523 UEK917523 TUO917523 TKS917523 TAW917523 SRA917523 SHE917523 RXI917523 RNM917523 RDQ917523 QTU917523 QJY917523 QAC917523 PQG917523 PGK917523 OWO917523 OMS917523 OCW917523 NTA917523 NJE917523 MZI917523 MPM917523 MFQ917523 LVU917523 LLY917523 LCC917523 KSG917523 KIK917523 JYO917523 JOS917523 JEW917523 IVA917523 ILE917523 IBI917523 HRM917523 HHQ917523 GXU917523 GNY917523 GEC917523 FUG917523 FKK917523 FAO917523 EQS917523 EGW917523 DXA917523 DNE917523 DDI917523 CTM917523 CJQ917523 BZU917523 BPY917523 BGC917523 AWG917523 AMK917523 ACO917523 SS917523 IW917523 WVI851987 WLM851987 WBQ851987 VRU851987 VHY851987 UYC851987 UOG851987 UEK851987 TUO851987 TKS851987 TAW851987 SRA851987 SHE851987 RXI851987 RNM851987 RDQ851987 QTU851987 QJY851987 QAC851987 PQG851987 PGK851987 OWO851987 OMS851987 OCW851987 NTA851987 NJE851987 MZI851987 MPM851987 MFQ851987 LVU851987 LLY851987 LCC851987 KSG851987 KIK851987 JYO851987 JOS851987 JEW851987 IVA851987 ILE851987 IBI851987 HRM851987 HHQ851987 GXU851987 GNY851987 GEC851987 FUG851987 FKK851987 FAO851987 EQS851987 EGW851987 DXA851987 DNE851987 DDI851987 CTM851987 CJQ851987 BZU851987 BPY851987 BGC851987 AWG851987 AMK851987 ACO851987 SS851987 IW851987 WVI786451 WLM786451 WBQ786451 VRU786451 VHY786451 UYC786451 UOG786451 UEK786451 TUO786451 TKS786451 TAW786451 SRA786451 SHE786451 RXI786451 RNM786451 RDQ786451 QTU786451 QJY786451 QAC786451 PQG786451 PGK786451 OWO786451 OMS786451 OCW786451 NTA786451 NJE786451 MZI786451 MPM786451 MFQ786451 LVU786451 LLY786451 LCC786451 KSG786451 KIK786451 JYO786451 JOS786451 JEW786451 IVA786451 ILE786451 IBI786451 HRM786451 HHQ786451 GXU786451 GNY786451 GEC786451 FUG786451 FKK786451 FAO786451 EQS786451 EGW786451 DXA786451 DNE786451 DDI786451 CTM786451 CJQ786451 BZU786451 BPY786451 BGC786451 AWG786451 AMK786451 ACO786451 SS786451 IW786451 WVI720915 WLM720915 WBQ720915 VRU720915 VHY720915 UYC720915 UOG720915 UEK720915 TUO720915 TKS720915 TAW720915 SRA720915 SHE720915 RXI720915 RNM720915 RDQ720915 QTU720915 QJY720915 QAC720915 PQG720915 PGK720915 OWO720915 OMS720915 OCW720915 NTA720915 NJE720915 MZI720915 MPM720915 MFQ720915 LVU720915 LLY720915 LCC720915 KSG720915 KIK720915 JYO720915 JOS720915 JEW720915 IVA720915 ILE720915 IBI720915 HRM720915 HHQ720915 GXU720915 GNY720915 GEC720915 FUG720915 FKK720915 FAO720915 EQS720915 EGW720915 DXA720915 DNE720915 DDI720915 CTM720915 CJQ720915 BZU720915 BPY720915 BGC720915 AWG720915 AMK720915 ACO720915 SS720915 IW720915 WVI655379 WLM655379 WBQ655379 VRU655379 VHY655379 UYC655379 UOG655379 UEK655379 TUO655379 TKS655379 TAW655379 SRA655379 SHE655379 RXI655379 RNM655379 RDQ655379 QTU655379 QJY655379 QAC655379 PQG655379 PGK655379 OWO655379 OMS655379 OCW655379 NTA655379 NJE655379 MZI655379 MPM655379 MFQ655379 LVU655379 LLY655379 LCC655379 KSG655379 KIK655379 JYO655379 JOS655379 JEW655379 IVA655379 ILE655379 IBI655379 HRM655379 HHQ655379 GXU655379 GNY655379 GEC655379 FUG655379 FKK655379 FAO655379 EQS655379 EGW655379 DXA655379 DNE655379 DDI655379 CTM655379 CJQ655379 BZU655379 BPY655379 BGC655379 AWG655379 AMK655379 ACO655379 SS655379 IW655379 WVI589843 WLM589843 WBQ589843 VRU589843 VHY589843 UYC589843 UOG589843 UEK589843 TUO589843 TKS589843 TAW589843 SRA589843 SHE589843 RXI589843 RNM589843 RDQ589843 QTU589843 QJY589843 QAC589843 PQG589843 PGK589843 OWO589843 OMS589843 OCW589843 NTA589843 NJE589843 MZI589843 MPM589843 MFQ589843 LVU589843 LLY589843 LCC589843 KSG589843 KIK589843 JYO589843 JOS589843 JEW589843 IVA589843 ILE589843 IBI589843 HRM589843 HHQ589843 GXU589843 GNY589843 GEC589843 FUG589843 FKK589843 FAO589843 EQS589843 EGW589843 DXA589843 DNE589843 DDI589843 CTM589843 CJQ589843 BZU589843 BPY589843 BGC589843 AWG589843 AMK589843 ACO589843 SS589843 IW589843 WVI524307 WLM524307 WBQ524307 VRU524307 VHY524307 UYC524307 UOG524307 UEK524307 TUO524307 TKS524307 TAW524307 SRA524307 SHE524307 RXI524307 RNM524307 RDQ524307 QTU524307 QJY524307 QAC524307 PQG524307 PGK524307 OWO524307 OMS524307 OCW524307 NTA524307 NJE524307 MZI524307 MPM524307 MFQ524307 LVU524307 LLY524307 LCC524307 KSG524307 KIK524307 JYO524307 JOS524307 JEW524307 IVA524307 ILE524307 IBI524307 HRM524307 HHQ524307 GXU524307 GNY524307 GEC524307 FUG524307 FKK524307 FAO524307 EQS524307 EGW524307 DXA524307 DNE524307 DDI524307 CTM524307 CJQ524307 BZU524307 BPY524307 BGC524307 AWG524307 AMK524307 ACO524307 SS524307 IW524307 WVI458771 WLM458771 WBQ458771 VRU458771 VHY458771 UYC458771 UOG458771 UEK458771 TUO458771 TKS458771 TAW458771 SRA458771 SHE458771 RXI458771 RNM458771 RDQ458771 QTU458771 QJY458771 QAC458771 PQG458771 PGK458771 OWO458771 OMS458771 OCW458771 NTA458771 NJE458771 MZI458771 MPM458771 MFQ458771 LVU458771 LLY458771 LCC458771 KSG458771 KIK458771 JYO458771 JOS458771 JEW458771 IVA458771 ILE458771 IBI458771 HRM458771 HHQ458771 GXU458771 GNY458771 GEC458771 FUG458771 FKK458771 FAO458771 EQS458771 EGW458771 DXA458771 DNE458771 DDI458771 CTM458771 CJQ458771 BZU458771 BPY458771 BGC458771 AWG458771 AMK458771 ACO458771 SS458771 IW458771 WVI393235 WLM393235 WBQ393235 VRU393235 VHY393235 UYC393235 UOG393235 UEK393235 TUO393235 TKS393235 TAW393235 SRA393235 SHE393235 RXI393235 RNM393235 RDQ393235 QTU393235 QJY393235 QAC393235 PQG393235 PGK393235 OWO393235 OMS393235 OCW393235 NTA393235 NJE393235 MZI393235 MPM393235 MFQ393235 LVU393235 LLY393235 LCC393235 KSG393235 KIK393235 JYO393235 JOS393235 JEW393235 IVA393235 ILE393235 IBI393235 HRM393235 HHQ393235 GXU393235 GNY393235 GEC393235 FUG393235 FKK393235 FAO393235 EQS393235 EGW393235 DXA393235 DNE393235 DDI393235 CTM393235 CJQ393235 BZU393235 BPY393235 BGC393235 AWG393235 AMK393235 ACO393235 SS393235 IW393235 WVI327699 WLM327699 WBQ327699 VRU327699 VHY327699 UYC327699 UOG327699 UEK327699 TUO327699 TKS327699 TAW327699 SRA327699 SHE327699 RXI327699 RNM327699 RDQ327699 QTU327699 QJY327699 QAC327699 PQG327699 PGK327699 OWO327699 OMS327699 OCW327699 NTA327699 NJE327699 MZI327699 MPM327699 MFQ327699 LVU327699 LLY327699 LCC327699 KSG327699 KIK327699 JYO327699 JOS327699 JEW327699 IVA327699 ILE327699 IBI327699 HRM327699 HHQ327699 GXU327699 GNY327699 GEC327699 FUG327699 FKK327699 FAO327699 EQS327699 EGW327699 DXA327699 DNE327699 DDI327699 CTM327699 CJQ327699 BZU327699 BPY327699 BGC327699 AWG327699 AMK327699 ACO327699 SS327699 IW327699 WVI262163 WLM262163 WBQ262163 VRU262163 VHY262163 UYC262163 UOG262163 UEK262163 TUO262163 TKS262163 TAW262163 SRA262163 SHE262163 RXI262163 RNM262163 RDQ262163 QTU262163 QJY262163 QAC262163 PQG262163 PGK262163 OWO262163 OMS262163 OCW262163 NTA262163 NJE262163 MZI262163 MPM262163 MFQ262163 LVU262163 LLY262163 LCC262163 KSG262163 KIK262163 JYO262163 JOS262163 JEW262163 IVA262163 ILE262163 IBI262163 HRM262163 HHQ262163 GXU262163 GNY262163 GEC262163 FUG262163 FKK262163 FAO262163 EQS262163 EGW262163 DXA262163 DNE262163 DDI262163 CTM262163 CJQ262163 BZU262163 BPY262163 BGC262163 AWG262163 AMK262163 ACO262163 SS262163 IW262163 WVI196627 WLM196627 WBQ196627 VRU196627 VHY196627 UYC196627 UOG196627 UEK196627 TUO196627 TKS196627 TAW196627 SRA196627 SHE196627 RXI196627 RNM196627 RDQ196627 QTU196627 QJY196627 QAC196627 PQG196627 PGK196627 OWO196627 OMS196627 OCW196627 NTA196627 NJE196627 MZI196627 MPM196627 MFQ196627 LVU196627 LLY196627 LCC196627 KSG196627 KIK196627 JYO196627 JOS196627 JEW196627 IVA196627 ILE196627 IBI196627 HRM196627 HHQ196627 GXU196627 GNY196627 GEC196627 FUG196627 FKK196627 FAO196627 EQS196627 EGW196627 DXA196627 DNE196627 DDI196627 CTM196627 CJQ196627 BZU196627 BPY196627 BGC196627 AWG196627 AMK196627 ACO196627 SS196627 IW196627 WVI131091 WLM131091 WBQ131091 VRU131091 VHY131091 UYC131091 UOG131091 UEK131091 TUO131091 TKS131091 TAW131091 SRA131091 SHE131091 RXI131091 RNM131091 RDQ131091 QTU131091 QJY131091 QAC131091 PQG131091 PGK131091 OWO131091 OMS131091 OCW131091 NTA131091 NJE131091 MZI131091 MPM131091 MFQ131091 LVU131091 LLY131091 LCC131091 KSG131091 KIK131091 JYO131091 JOS131091 JEW131091 IVA131091 ILE131091 IBI131091 HRM131091 HHQ131091 GXU131091 GNY131091 GEC131091 FUG131091 FKK131091 FAO131091 EQS131091 EGW131091 DXA131091 DNE131091 DDI131091 CTM131091 CJQ131091 BZU131091 BPY131091 BGC131091 AWG131091 AMK131091 ACO131091 SS131091 IW131091 WVI65555 WLM65555 WBQ65555 VRU65555 VHY65555 UYC65555 UOG65555 UEK65555 TUO65555 TKS65555 TAW65555 SRA65555 SHE65555 RXI65555 RNM65555 RDQ65555 QTU65555 QJY65555 QAC65555 PQG65555 PGK65555 OWO65555 OMS65555 OCW65555 NTA65555 NJE65555 MZI65555 MPM65555 MFQ65555 LVU65555 LLY65555 LCC65555 KSG65555 KIK65555 JYO65555 JOS65555 JEW65555 IVA65555 ILE65555 IBI65555 HRM65555 HHQ65555 GXU65555 GNY65555 GEC65555 FUG65555 FKK65555 FAO65555 EQS65555 EGW65555 DXA65555 DNE65555 DDI65555 CTM65555 CJQ65555 BZU65555 BPY65555 BGC65555 AWG65555 AMK65555 ACO65555 SS65555 I65555 IW18:IW22 I983059 I917523 I851987 I786451 I720915 I655379 I589843 I524307 I458771 I393235 I327699 I262163 I196627 I131091" xr:uid="{00000000-0002-0000-3300-00000D000000}">
      <formula1>$D$18:$G$18</formula1>
    </dataValidation>
    <dataValidation type="list" allowBlank="1" showInputMessage="1" showErrorMessage="1" sqref="IW17 I17 ACO17 AMK17 AWG17 BGC17 BPY17 BZU17 CJQ17 CTM17 DDI17 DNE17 DXA17 EGW17 EQS17 FAO17 FKK17 FUG17 GEC17 GNY17 GXU17 HHQ17 HRM17 IBI17 ILE17 IVA17 JEW17 JOS17 JYO17 KIK17 KSG17 LCC17 LLY17 LVU17 MFQ17 MPM17 MZI17 NJE17 NTA17 OCW17 OMS17 OWO17 PGK17 PQG17 QAC17 QJY17 QTU17 RDQ17 RNM17 RXI17 SHE17 SRA17 TAW17 TKS17 TUO17 UEK17 UOG17 UYC17 VHY17 VRU17 WBQ17 WLM17 WVI17 IW65553 SS65553 ACO65553 AMK65553 AWG65553 BGC65553 BPY65553 BZU65553 CJQ65553 CTM65553 DDI65553 DNE65553 DXA65553 EGW65553 EQS65553 FAO65553 FKK65553 FUG65553 GEC65553 GNY65553 GXU65553 HHQ65553 HRM65553 IBI65553 ILE65553 IVA65553 JEW65553 JOS65553 JYO65553 KIK65553 KSG65553 LCC65553 LLY65553 LVU65553 MFQ65553 MPM65553 MZI65553 NJE65553 NTA65553 OCW65553 OMS65553 OWO65553 PGK65553 PQG65553 QAC65553 QJY65553 QTU65553 RDQ65553 RNM65553 RXI65553 SHE65553 SRA65553 TAW65553 TKS65553 TUO65553 UEK65553 UOG65553 UYC65553 VHY65553 VRU65553 WBQ65553 WLM65553 WVI65553 IW131089 SS131089 ACO131089 AMK131089 AWG131089 BGC131089 BPY131089 BZU131089 CJQ131089 CTM131089 DDI131089 DNE131089 DXA131089 EGW131089 EQS131089 FAO131089 FKK131089 FUG131089 GEC131089 GNY131089 GXU131089 HHQ131089 HRM131089 IBI131089 ILE131089 IVA131089 JEW131089 JOS131089 JYO131089 KIK131089 KSG131089 LCC131089 LLY131089 LVU131089 MFQ131089 MPM131089 MZI131089 NJE131089 NTA131089 OCW131089 OMS131089 OWO131089 PGK131089 PQG131089 QAC131089 QJY131089 QTU131089 RDQ131089 RNM131089 RXI131089 SHE131089 SRA131089 TAW131089 TKS131089 TUO131089 UEK131089 UOG131089 UYC131089 VHY131089 VRU131089 WBQ131089 WLM131089 WVI131089 IW196625 SS196625 ACO196625 AMK196625 AWG196625 BGC196625 BPY196625 BZU196625 CJQ196625 CTM196625 DDI196625 DNE196625 DXA196625 EGW196625 EQS196625 FAO196625 FKK196625 FUG196625 GEC196625 GNY196625 GXU196625 HHQ196625 HRM196625 IBI196625 ILE196625 IVA196625 JEW196625 JOS196625 JYO196625 KIK196625 KSG196625 LCC196625 LLY196625 LVU196625 MFQ196625 MPM196625 MZI196625 NJE196625 NTA196625 OCW196625 OMS196625 OWO196625 PGK196625 PQG196625 QAC196625 QJY196625 QTU196625 RDQ196625 RNM196625 RXI196625 SHE196625 SRA196625 TAW196625 TKS196625 TUO196625 UEK196625 UOG196625 UYC196625 VHY196625 VRU196625 WBQ196625 WLM196625 WVI196625 IW262161 SS262161 ACO262161 AMK262161 AWG262161 BGC262161 BPY262161 BZU262161 CJQ262161 CTM262161 DDI262161 DNE262161 DXA262161 EGW262161 EQS262161 FAO262161 FKK262161 FUG262161 GEC262161 GNY262161 GXU262161 HHQ262161 HRM262161 IBI262161 ILE262161 IVA262161 JEW262161 JOS262161 JYO262161 KIK262161 KSG262161 LCC262161 LLY262161 LVU262161 MFQ262161 MPM262161 MZI262161 NJE262161 NTA262161 OCW262161 OMS262161 OWO262161 PGK262161 PQG262161 QAC262161 QJY262161 QTU262161 RDQ262161 RNM262161 RXI262161 SHE262161 SRA262161 TAW262161 TKS262161 TUO262161 UEK262161 UOG262161 UYC262161 VHY262161 VRU262161 WBQ262161 WLM262161 WVI262161 IW327697 SS327697 ACO327697 AMK327697 AWG327697 BGC327697 BPY327697 BZU327697 CJQ327697 CTM327697 DDI327697 DNE327697 DXA327697 EGW327697 EQS327697 FAO327697 FKK327697 FUG327697 GEC327697 GNY327697 GXU327697 HHQ327697 HRM327697 IBI327697 ILE327697 IVA327697 JEW327697 JOS327697 JYO327697 KIK327697 KSG327697 LCC327697 LLY327697 LVU327697 MFQ327697 MPM327697 MZI327697 NJE327697 NTA327697 OCW327697 OMS327697 OWO327697 PGK327697 PQG327697 QAC327697 QJY327697 QTU327697 RDQ327697 RNM327697 RXI327697 SHE327697 SRA327697 TAW327697 TKS327697 TUO327697 UEK327697 UOG327697 UYC327697 VHY327697 VRU327697 WBQ327697 WLM327697 WVI327697 IW393233 SS393233 ACO393233 AMK393233 AWG393233 BGC393233 BPY393233 BZU393233 CJQ393233 CTM393233 DDI393233 DNE393233 DXA393233 EGW393233 EQS393233 FAO393233 FKK393233 FUG393233 GEC393233 GNY393233 GXU393233 HHQ393233 HRM393233 IBI393233 ILE393233 IVA393233 JEW393233 JOS393233 JYO393233 KIK393233 KSG393233 LCC393233 LLY393233 LVU393233 MFQ393233 MPM393233 MZI393233 NJE393233 NTA393233 OCW393233 OMS393233 OWO393233 PGK393233 PQG393233 QAC393233 QJY393233 QTU393233 RDQ393233 RNM393233 RXI393233 SHE393233 SRA393233 TAW393233 TKS393233 TUO393233 UEK393233 UOG393233 UYC393233 VHY393233 VRU393233 WBQ393233 WLM393233 WVI393233 IW458769 SS458769 ACO458769 AMK458769 AWG458769 BGC458769 BPY458769 BZU458769 CJQ458769 CTM458769 DDI458769 DNE458769 DXA458769 EGW458769 EQS458769 FAO458769 FKK458769 FUG458769 GEC458769 GNY458769 GXU458769 HHQ458769 HRM458769 IBI458769 ILE458769 IVA458769 JEW458769 JOS458769 JYO458769 KIK458769 KSG458769 LCC458769 LLY458769 LVU458769 MFQ458769 MPM458769 MZI458769 NJE458769 NTA458769 OCW458769 OMS458769 OWO458769 PGK458769 PQG458769 QAC458769 QJY458769 QTU458769 RDQ458769 RNM458769 RXI458769 SHE458769 SRA458769 TAW458769 TKS458769 TUO458769 UEK458769 UOG458769 UYC458769 VHY458769 VRU458769 WBQ458769 WLM458769 WVI458769 IW524305 SS524305 ACO524305 AMK524305 AWG524305 BGC524305 BPY524305 BZU524305 CJQ524305 CTM524305 DDI524305 DNE524305 DXA524305 EGW524305 EQS524305 FAO524305 FKK524305 FUG524305 GEC524305 GNY524305 GXU524305 HHQ524305 HRM524305 IBI524305 ILE524305 IVA524305 JEW524305 JOS524305 JYO524305 KIK524305 KSG524305 LCC524305 LLY524305 LVU524305 MFQ524305 MPM524305 MZI524305 NJE524305 NTA524305 OCW524305 OMS524305 OWO524305 PGK524305 PQG524305 QAC524305 QJY524305 QTU524305 RDQ524305 RNM524305 RXI524305 SHE524305 SRA524305 TAW524305 TKS524305 TUO524305 UEK524305 UOG524305 UYC524305 VHY524305 VRU524305 WBQ524305 WLM524305 WVI524305 IW589841 SS589841 ACO589841 AMK589841 AWG589841 BGC589841 BPY589841 BZU589841 CJQ589841 CTM589841 DDI589841 DNE589841 DXA589841 EGW589841 EQS589841 FAO589841 FKK589841 FUG589841 GEC589841 GNY589841 GXU589841 HHQ589841 HRM589841 IBI589841 ILE589841 IVA589841 JEW589841 JOS589841 JYO589841 KIK589841 KSG589841 LCC589841 LLY589841 LVU589841 MFQ589841 MPM589841 MZI589841 NJE589841 NTA589841 OCW589841 OMS589841 OWO589841 PGK589841 PQG589841 QAC589841 QJY589841 QTU589841 RDQ589841 RNM589841 RXI589841 SHE589841 SRA589841 TAW589841 TKS589841 TUO589841 UEK589841 UOG589841 UYC589841 VHY589841 VRU589841 WBQ589841 WLM589841 WVI589841 IW655377 SS655377 ACO655377 AMK655377 AWG655377 BGC655377 BPY655377 BZU655377 CJQ655377 CTM655377 DDI655377 DNE655377 DXA655377 EGW655377 EQS655377 FAO655377 FKK655377 FUG655377 GEC655377 GNY655377 GXU655377 HHQ655377 HRM655377 IBI655377 ILE655377 IVA655377 JEW655377 JOS655377 JYO655377 KIK655377 KSG655377 LCC655377 LLY655377 LVU655377 MFQ655377 MPM655377 MZI655377 NJE655377 NTA655377 OCW655377 OMS655377 OWO655377 PGK655377 PQG655377 QAC655377 QJY655377 QTU655377 RDQ655377 RNM655377 RXI655377 SHE655377 SRA655377 TAW655377 TKS655377 TUO655377 UEK655377 UOG655377 UYC655377 VHY655377 VRU655377 WBQ655377 WLM655377 WVI655377 IW720913 SS720913 ACO720913 AMK720913 AWG720913 BGC720913 BPY720913 BZU720913 CJQ720913 CTM720913 DDI720913 DNE720913 DXA720913 EGW720913 EQS720913 FAO720913 FKK720913 FUG720913 GEC720913 GNY720913 GXU720913 HHQ720913 HRM720913 IBI720913 ILE720913 IVA720913 JEW720913 JOS720913 JYO720913 KIK720913 KSG720913 LCC720913 LLY720913 LVU720913 MFQ720913 MPM720913 MZI720913 NJE720913 NTA720913 OCW720913 OMS720913 OWO720913 PGK720913 PQG720913 QAC720913 QJY720913 QTU720913 RDQ720913 RNM720913 RXI720913 SHE720913 SRA720913 TAW720913 TKS720913 TUO720913 UEK720913 UOG720913 UYC720913 VHY720913 VRU720913 WBQ720913 WLM720913 WVI720913 IW786449 SS786449 ACO786449 AMK786449 AWG786449 BGC786449 BPY786449 BZU786449 CJQ786449 CTM786449 DDI786449 DNE786449 DXA786449 EGW786449 EQS786449 FAO786449 FKK786449 FUG786449 GEC786449 GNY786449 GXU786449 HHQ786449 HRM786449 IBI786449 ILE786449 IVA786449 JEW786449 JOS786449 JYO786449 KIK786449 KSG786449 LCC786449 LLY786449 LVU786449 MFQ786449 MPM786449 MZI786449 NJE786449 NTA786449 OCW786449 OMS786449 OWO786449 PGK786449 PQG786449 QAC786449 QJY786449 QTU786449 RDQ786449 RNM786449 RXI786449 SHE786449 SRA786449 TAW786449 TKS786449 TUO786449 UEK786449 UOG786449 UYC786449 VHY786449 VRU786449 WBQ786449 WLM786449 WVI786449 IW851985 SS851985 ACO851985 AMK851985 AWG851985 BGC851985 BPY851985 BZU851985 CJQ851985 CTM851985 DDI851985 DNE851985 DXA851985 EGW851985 EQS851985 FAO851985 FKK851985 FUG851985 GEC851985 GNY851985 GXU851985 HHQ851985 HRM851985 IBI851985 ILE851985 IVA851985 JEW851985 JOS851985 JYO851985 KIK851985 KSG851985 LCC851985 LLY851985 LVU851985 MFQ851985 MPM851985 MZI851985 NJE851985 NTA851985 OCW851985 OMS851985 OWO851985 PGK851985 PQG851985 QAC851985 QJY851985 QTU851985 RDQ851985 RNM851985 RXI851985 SHE851985 SRA851985 TAW851985 TKS851985 TUO851985 UEK851985 UOG851985 UYC851985 VHY851985 VRU851985 WBQ851985 WLM851985 WVI851985 IW917521 SS917521 ACO917521 AMK917521 AWG917521 BGC917521 BPY917521 BZU917521 CJQ917521 CTM917521 DDI917521 DNE917521 DXA917521 EGW917521 EQS917521 FAO917521 FKK917521 FUG917521 GEC917521 GNY917521 GXU917521 HHQ917521 HRM917521 IBI917521 ILE917521 IVA917521 JEW917521 JOS917521 JYO917521 KIK917521 KSG917521 LCC917521 LLY917521 LVU917521 MFQ917521 MPM917521 MZI917521 NJE917521 NTA917521 OCW917521 OMS917521 OWO917521 PGK917521 PQG917521 QAC917521 QJY917521 QTU917521 RDQ917521 RNM917521 RXI917521 SHE917521 SRA917521 TAW917521 TKS917521 TUO917521 UEK917521 UOG917521 UYC917521 VHY917521 VRU917521 WBQ917521 WLM917521 WVI917521 IW983057 SS983057 ACO983057 AMK983057 AWG983057 BGC983057 BPY983057 BZU983057 CJQ983057 CTM983057 DDI983057 DNE983057 DXA983057 EGW983057 EQS983057 FAO983057 FKK983057 FUG983057 GEC983057 GNY983057 GXU983057 HHQ983057 HRM983057 IBI983057 ILE983057 IVA983057 JEW983057 JOS983057 JYO983057 KIK983057 KSG983057 LCC983057 LLY983057 LVU983057 MFQ983057 MPM983057 MZI983057 NJE983057 NTA983057 OCW983057 OMS983057 OWO983057 PGK983057 PQG983057 QAC983057 QJY983057 QTU983057 RDQ983057 RNM983057 RXI983057 SHE983057 SRA983057 TAW983057 TKS983057 TUO983057 UEK983057 UOG983057 UYC983057 VHY983057 VRU983057 WBQ983057 WLM983057 WVI983057 I65553 SS17 I131089 I196625 I262161 I327697 I393233 I458769 I524305 I589841 I655377 I720913 I786449 I851985 I917521 I983057" xr:uid="{00000000-0002-0000-3300-00000E000000}">
      <formula1>$D$17:$G$17</formula1>
    </dataValidation>
    <dataValidation type="list" allowBlank="1" showInputMessage="1" showErrorMessage="1" sqref="SS65559 I25 AMK65559 AWG65559 BGC65559 BPY65559 BZU65559 CJQ65559 CTM65559 DDI65559 DNE65559 DXA65559 EGW65559 EQS65559 FAO65559 FKK65559 FUG65559 GEC65559 GNY65559 GXU65559 HHQ65559 HRM65559 IBI65559 ILE65559 IVA65559 JEW65559 JOS65559 JYO65559 KIK65559 KSG65559 LCC65559 LLY65559 LVU65559 MFQ65559 MPM65559 MZI65559 NJE65559 NTA65559 OCW65559 OMS65559 OWO65559 PGK65559 PQG65559 QAC65559 QJY65559 QTU65559 RDQ65559 RNM65559 RXI65559 SHE65559 SRA65559 TAW65559 TKS65559 TUO65559 UEK65559 UOG65559 UYC65559 VHY65559 VRU65559 WBQ65559 WLM65559 WVI65559 IW131095 SS131095 ACO131095 AMK131095 AWG131095 BGC131095 BPY131095 BZU131095 CJQ131095 CTM131095 DDI131095 DNE131095 DXA131095 EGW131095 EQS131095 FAO131095 FKK131095 FUG131095 GEC131095 GNY131095 GXU131095 HHQ131095 HRM131095 IBI131095 ILE131095 IVA131095 JEW131095 JOS131095 JYO131095 KIK131095 KSG131095 LCC131095 LLY131095 LVU131095 MFQ131095 MPM131095 MZI131095 NJE131095 NTA131095 OCW131095 OMS131095 OWO131095 PGK131095 PQG131095 QAC131095 QJY131095 QTU131095 RDQ131095 RNM131095 RXI131095 SHE131095 SRA131095 TAW131095 TKS131095 TUO131095 UEK131095 UOG131095 UYC131095 VHY131095 VRU131095 WBQ131095 WLM131095 WVI131095 IW196631 SS196631 ACO196631 AMK196631 AWG196631 BGC196631 BPY196631 BZU196631 CJQ196631 CTM196631 DDI196631 DNE196631 DXA196631 EGW196631 EQS196631 FAO196631 FKK196631 FUG196631 GEC196631 GNY196631 GXU196631 HHQ196631 HRM196631 IBI196631 ILE196631 IVA196631 JEW196631 JOS196631 JYO196631 KIK196631 KSG196631 LCC196631 LLY196631 LVU196631 MFQ196631 MPM196631 MZI196631 NJE196631 NTA196631 OCW196631 OMS196631 OWO196631 PGK196631 PQG196631 QAC196631 QJY196631 QTU196631 RDQ196631 RNM196631 RXI196631 SHE196631 SRA196631 TAW196631 TKS196631 TUO196631 UEK196631 UOG196631 UYC196631 VHY196631 VRU196631 WBQ196631 WLM196631 WVI196631 IW262167 SS262167 ACO262167 AMK262167 AWG262167 BGC262167 BPY262167 BZU262167 CJQ262167 CTM262167 DDI262167 DNE262167 DXA262167 EGW262167 EQS262167 FAO262167 FKK262167 FUG262167 GEC262167 GNY262167 GXU262167 HHQ262167 HRM262167 IBI262167 ILE262167 IVA262167 JEW262167 JOS262167 JYO262167 KIK262167 KSG262167 LCC262167 LLY262167 LVU262167 MFQ262167 MPM262167 MZI262167 NJE262167 NTA262167 OCW262167 OMS262167 OWO262167 PGK262167 PQG262167 QAC262167 QJY262167 QTU262167 RDQ262167 RNM262167 RXI262167 SHE262167 SRA262167 TAW262167 TKS262167 TUO262167 UEK262167 UOG262167 UYC262167 VHY262167 VRU262167 WBQ262167 WLM262167 WVI262167 IW327703 SS327703 ACO327703 AMK327703 AWG327703 BGC327703 BPY327703 BZU327703 CJQ327703 CTM327703 DDI327703 DNE327703 DXA327703 EGW327703 EQS327703 FAO327703 FKK327703 FUG327703 GEC327703 GNY327703 GXU327703 HHQ327703 HRM327703 IBI327703 ILE327703 IVA327703 JEW327703 JOS327703 JYO327703 KIK327703 KSG327703 LCC327703 LLY327703 LVU327703 MFQ327703 MPM327703 MZI327703 NJE327703 NTA327703 OCW327703 OMS327703 OWO327703 PGK327703 PQG327703 QAC327703 QJY327703 QTU327703 RDQ327703 RNM327703 RXI327703 SHE327703 SRA327703 TAW327703 TKS327703 TUO327703 UEK327703 UOG327703 UYC327703 VHY327703 VRU327703 WBQ327703 WLM327703 WVI327703 IW393239 SS393239 ACO393239 AMK393239 AWG393239 BGC393239 BPY393239 BZU393239 CJQ393239 CTM393239 DDI393239 DNE393239 DXA393239 EGW393239 EQS393239 FAO393239 FKK393239 FUG393239 GEC393239 GNY393239 GXU393239 HHQ393239 HRM393239 IBI393239 ILE393239 IVA393239 JEW393239 JOS393239 JYO393239 KIK393239 KSG393239 LCC393239 LLY393239 LVU393239 MFQ393239 MPM393239 MZI393239 NJE393239 NTA393239 OCW393239 OMS393239 OWO393239 PGK393239 PQG393239 QAC393239 QJY393239 QTU393239 RDQ393239 RNM393239 RXI393239 SHE393239 SRA393239 TAW393239 TKS393239 TUO393239 UEK393239 UOG393239 UYC393239 VHY393239 VRU393239 WBQ393239 WLM393239 WVI393239 IW458775 SS458775 ACO458775 AMK458775 AWG458775 BGC458775 BPY458775 BZU458775 CJQ458775 CTM458775 DDI458775 DNE458775 DXA458775 EGW458775 EQS458775 FAO458775 FKK458775 FUG458775 GEC458775 GNY458775 GXU458775 HHQ458775 HRM458775 IBI458775 ILE458775 IVA458775 JEW458775 JOS458775 JYO458775 KIK458775 KSG458775 LCC458775 LLY458775 LVU458775 MFQ458775 MPM458775 MZI458775 NJE458775 NTA458775 OCW458775 OMS458775 OWO458775 PGK458775 PQG458775 QAC458775 QJY458775 QTU458775 RDQ458775 RNM458775 RXI458775 SHE458775 SRA458775 TAW458775 TKS458775 TUO458775 UEK458775 UOG458775 UYC458775 VHY458775 VRU458775 WBQ458775 WLM458775 WVI458775 IW524311 SS524311 ACO524311 AMK524311 AWG524311 BGC524311 BPY524311 BZU524311 CJQ524311 CTM524311 DDI524311 DNE524311 DXA524311 EGW524311 EQS524311 FAO524311 FKK524311 FUG524311 GEC524311 GNY524311 GXU524311 HHQ524311 HRM524311 IBI524311 ILE524311 IVA524311 JEW524311 JOS524311 JYO524311 KIK524311 KSG524311 LCC524311 LLY524311 LVU524311 MFQ524311 MPM524311 MZI524311 NJE524311 NTA524311 OCW524311 OMS524311 OWO524311 PGK524311 PQG524311 QAC524311 QJY524311 QTU524311 RDQ524311 RNM524311 RXI524311 SHE524311 SRA524311 TAW524311 TKS524311 TUO524311 UEK524311 UOG524311 UYC524311 VHY524311 VRU524311 WBQ524311 WLM524311 WVI524311 IW589847 SS589847 ACO589847 AMK589847 AWG589847 BGC589847 BPY589847 BZU589847 CJQ589847 CTM589847 DDI589847 DNE589847 DXA589847 EGW589847 EQS589847 FAO589847 FKK589847 FUG589847 GEC589847 GNY589847 GXU589847 HHQ589847 HRM589847 IBI589847 ILE589847 IVA589847 JEW589847 JOS589847 JYO589847 KIK589847 KSG589847 LCC589847 LLY589847 LVU589847 MFQ589847 MPM589847 MZI589847 NJE589847 NTA589847 OCW589847 OMS589847 OWO589847 PGK589847 PQG589847 QAC589847 QJY589847 QTU589847 RDQ589847 RNM589847 RXI589847 SHE589847 SRA589847 TAW589847 TKS589847 TUO589847 UEK589847 UOG589847 UYC589847 VHY589847 VRU589847 WBQ589847 WLM589847 WVI589847 IW655383 SS655383 ACO655383 AMK655383 AWG655383 BGC655383 BPY655383 BZU655383 CJQ655383 CTM655383 DDI655383 DNE655383 DXA655383 EGW655383 EQS655383 FAO655383 FKK655383 FUG655383 GEC655383 GNY655383 GXU655383 HHQ655383 HRM655383 IBI655383 ILE655383 IVA655383 JEW655383 JOS655383 JYO655383 KIK655383 KSG655383 LCC655383 LLY655383 LVU655383 MFQ655383 MPM655383 MZI655383 NJE655383 NTA655383 OCW655383 OMS655383 OWO655383 PGK655383 PQG655383 QAC655383 QJY655383 QTU655383 RDQ655383 RNM655383 RXI655383 SHE655383 SRA655383 TAW655383 TKS655383 TUO655383 UEK655383 UOG655383 UYC655383 VHY655383 VRU655383 WBQ655383 WLM655383 WVI655383 IW720919 SS720919 ACO720919 AMK720919 AWG720919 BGC720919 BPY720919 BZU720919 CJQ720919 CTM720919 DDI720919 DNE720919 DXA720919 EGW720919 EQS720919 FAO720919 FKK720919 FUG720919 GEC720919 GNY720919 GXU720919 HHQ720919 HRM720919 IBI720919 ILE720919 IVA720919 JEW720919 JOS720919 JYO720919 KIK720919 KSG720919 LCC720919 LLY720919 LVU720919 MFQ720919 MPM720919 MZI720919 NJE720919 NTA720919 OCW720919 OMS720919 OWO720919 PGK720919 PQG720919 QAC720919 QJY720919 QTU720919 RDQ720919 RNM720919 RXI720919 SHE720919 SRA720919 TAW720919 TKS720919 TUO720919 UEK720919 UOG720919 UYC720919 VHY720919 VRU720919 WBQ720919 WLM720919 WVI720919 IW786455 SS786455 ACO786455 AMK786455 AWG786455 BGC786455 BPY786455 BZU786455 CJQ786455 CTM786455 DDI786455 DNE786455 DXA786455 EGW786455 EQS786455 FAO786455 FKK786455 FUG786455 GEC786455 GNY786455 GXU786455 HHQ786455 HRM786455 IBI786455 ILE786455 IVA786455 JEW786455 JOS786455 JYO786455 KIK786455 KSG786455 LCC786455 LLY786455 LVU786455 MFQ786455 MPM786455 MZI786455 NJE786455 NTA786455 OCW786455 OMS786455 OWO786455 PGK786455 PQG786455 QAC786455 QJY786455 QTU786455 RDQ786455 RNM786455 RXI786455 SHE786455 SRA786455 TAW786455 TKS786455 TUO786455 UEK786455 UOG786455 UYC786455 VHY786455 VRU786455 WBQ786455 WLM786455 WVI786455 IW851991 SS851991 ACO851991 AMK851991 AWG851991 BGC851991 BPY851991 BZU851991 CJQ851991 CTM851991 DDI851991 DNE851991 DXA851991 EGW851991 EQS851991 FAO851991 FKK851991 FUG851991 GEC851991 GNY851991 GXU851991 HHQ851991 HRM851991 IBI851991 ILE851991 IVA851991 JEW851991 JOS851991 JYO851991 KIK851991 KSG851991 LCC851991 LLY851991 LVU851991 MFQ851991 MPM851991 MZI851991 NJE851991 NTA851991 OCW851991 OMS851991 OWO851991 PGK851991 PQG851991 QAC851991 QJY851991 QTU851991 RDQ851991 RNM851991 RXI851991 SHE851991 SRA851991 TAW851991 TKS851991 TUO851991 UEK851991 UOG851991 UYC851991 VHY851991 VRU851991 WBQ851991 WLM851991 WVI851991 IW917527 SS917527 ACO917527 AMK917527 AWG917527 BGC917527 BPY917527 BZU917527 CJQ917527 CTM917527 DDI917527 DNE917527 DXA917527 EGW917527 EQS917527 FAO917527 FKK917527 FUG917527 GEC917527 GNY917527 GXU917527 HHQ917527 HRM917527 IBI917527 ILE917527 IVA917527 JEW917527 JOS917527 JYO917527 KIK917527 KSG917527 LCC917527 LLY917527 LVU917527 MFQ917527 MPM917527 MZI917527 NJE917527 NTA917527 OCW917527 OMS917527 OWO917527 PGK917527 PQG917527 QAC917527 QJY917527 QTU917527 RDQ917527 RNM917527 RXI917527 SHE917527 SRA917527 TAW917527 TKS917527 TUO917527 UEK917527 UOG917527 UYC917527 VHY917527 VRU917527 WBQ917527 WLM917527 WVI917527 IW983063 SS983063 ACO983063 AMK983063 AWG983063 BGC983063 BPY983063 BZU983063 CJQ983063 CTM983063 DDI983063 DNE983063 DXA983063 EGW983063 EQS983063 FAO983063 FKK983063 FUG983063 GEC983063 GNY983063 GXU983063 HHQ983063 HRM983063 IBI983063 ILE983063 IVA983063 JEW983063 JOS983063 JYO983063 KIK983063 KSG983063 LCC983063 LLY983063 LVU983063 MFQ983063 MPM983063 MZI983063 NJE983063 NTA983063 OCW983063 OMS983063 OWO983063 PGK983063 PQG983063 QAC983063 QJY983063 QTU983063 RDQ983063 RNM983063 RXI983063 SHE983063 SRA983063 TAW983063 TKS983063 TUO983063 UEK983063 UOG983063 UYC983063 VHY983063 VRU983063 WBQ983063 WLM983063 WVI983063 IW65559 I65559 ACO65559 I131095 I196631 I262167 I327703 I393239 I458775 I524311 I589847 I655383 I720919 I786455 I851991 I917527 I983063 WVI25:WVI31 WLM25:WLM31 WBQ25:WBQ31 VRU25:VRU31 VHY25:VHY31 UYC25:UYC31 UOG25:UOG31 UEK25:UEK31 TUO25:TUO31 TKS25:TKS31 TAW25:TAW31 SRA25:SRA31 SHE25:SHE31 RXI25:RXI31 RNM25:RNM31 RDQ25:RDQ31 QTU25:QTU31 QJY25:QJY31 QAC25:QAC31 PQG25:PQG31 PGK25:PGK31 OWO25:OWO31 OMS25:OMS31 OCW25:OCW31 NTA25:NTA31 NJE25:NJE31 MZI25:MZI31 MPM25:MPM31 MFQ25:MFQ31 LVU25:LVU31 LLY25:LLY31 LCC25:LCC31 KSG25:KSG31 KIK25:KIK31 JYO25:JYO31 JOS25:JOS31 JEW25:JEW31 IVA25:IVA31 ILE25:ILE31 IBI25:IBI31 HRM25:HRM31 HHQ25:HHQ31 GXU25:GXU31 GNY25:GNY31 GEC25:GEC31 FUG25:FUG31 FKK25:FKK31 FAO25:FAO31 EQS25:EQS31 EGW25:EGW31 DXA25:DXA31 DNE25:DNE31 DDI25:DDI31 CTM25:CTM31 CJQ25:CJQ31 BZU25:BZU31 BPY25:BPY31 BGC25:BGC31 AWG25:AWG31 AMK25:AMK31 ACO25:ACO31 SS25:SS31 IW25:IW31" xr:uid="{00000000-0002-0000-3300-00000F000000}">
      <formula1>$D$25:$G$25</formula1>
    </dataValidation>
    <dataValidation type="list" allowBlank="1" showInputMessage="1" showErrorMessage="1" sqref="IW24 I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IW65558 SS65558 ACO65558 AMK65558 AWG65558 BGC65558 BPY65558 BZU65558 CJQ65558 CTM65558 DDI65558 DNE65558 DXA65558 EGW65558 EQS65558 FAO65558 FKK65558 FUG65558 GEC65558 GNY65558 GXU65558 HHQ65558 HRM65558 IBI65558 ILE65558 IVA65558 JEW65558 JOS65558 JYO65558 KIK65558 KSG65558 LCC65558 LLY65558 LVU65558 MFQ65558 MPM65558 MZI65558 NJE65558 NTA65558 OCW65558 OMS65558 OWO65558 PGK65558 PQG65558 QAC65558 QJY65558 QTU65558 RDQ65558 RNM65558 RXI65558 SHE65558 SRA65558 TAW65558 TKS65558 TUO65558 UEK65558 UOG65558 UYC65558 VHY65558 VRU65558 WBQ65558 WLM65558 WVI65558 IW131094 SS131094 ACO131094 AMK131094 AWG131094 BGC131094 BPY131094 BZU131094 CJQ131094 CTM131094 DDI131094 DNE131094 DXA131094 EGW131094 EQS131094 FAO131094 FKK131094 FUG131094 GEC131094 GNY131094 GXU131094 HHQ131094 HRM131094 IBI131094 ILE131094 IVA131094 JEW131094 JOS131094 JYO131094 KIK131094 KSG131094 LCC131094 LLY131094 LVU131094 MFQ131094 MPM131094 MZI131094 NJE131094 NTA131094 OCW131094 OMS131094 OWO131094 PGK131094 PQG131094 QAC131094 QJY131094 QTU131094 RDQ131094 RNM131094 RXI131094 SHE131094 SRA131094 TAW131094 TKS131094 TUO131094 UEK131094 UOG131094 UYC131094 VHY131094 VRU131094 WBQ131094 WLM131094 WVI131094 IW196630 SS196630 ACO196630 AMK196630 AWG196630 BGC196630 BPY196630 BZU196630 CJQ196630 CTM196630 DDI196630 DNE196630 DXA196630 EGW196630 EQS196630 FAO196630 FKK196630 FUG196630 GEC196630 GNY196630 GXU196630 HHQ196630 HRM196630 IBI196630 ILE196630 IVA196630 JEW196630 JOS196630 JYO196630 KIK196630 KSG196630 LCC196630 LLY196630 LVU196630 MFQ196630 MPM196630 MZI196630 NJE196630 NTA196630 OCW196630 OMS196630 OWO196630 PGK196630 PQG196630 QAC196630 QJY196630 QTU196630 RDQ196630 RNM196630 RXI196630 SHE196630 SRA196630 TAW196630 TKS196630 TUO196630 UEK196630 UOG196630 UYC196630 VHY196630 VRU196630 WBQ196630 WLM196630 WVI196630 IW262166 SS262166 ACO262166 AMK262166 AWG262166 BGC262166 BPY262166 BZU262166 CJQ262166 CTM262166 DDI262166 DNE262166 DXA262166 EGW262166 EQS262166 FAO262166 FKK262166 FUG262166 GEC262166 GNY262166 GXU262166 HHQ262166 HRM262166 IBI262166 ILE262166 IVA262166 JEW262166 JOS262166 JYO262166 KIK262166 KSG262166 LCC262166 LLY262166 LVU262166 MFQ262166 MPM262166 MZI262166 NJE262166 NTA262166 OCW262166 OMS262166 OWO262166 PGK262166 PQG262166 QAC262166 QJY262166 QTU262166 RDQ262166 RNM262166 RXI262166 SHE262166 SRA262166 TAW262166 TKS262166 TUO262166 UEK262166 UOG262166 UYC262166 VHY262166 VRU262166 WBQ262166 WLM262166 WVI262166 IW327702 SS327702 ACO327702 AMK327702 AWG327702 BGC327702 BPY327702 BZU327702 CJQ327702 CTM327702 DDI327702 DNE327702 DXA327702 EGW327702 EQS327702 FAO327702 FKK327702 FUG327702 GEC327702 GNY327702 GXU327702 HHQ327702 HRM327702 IBI327702 ILE327702 IVA327702 JEW327702 JOS327702 JYO327702 KIK327702 KSG327702 LCC327702 LLY327702 LVU327702 MFQ327702 MPM327702 MZI327702 NJE327702 NTA327702 OCW327702 OMS327702 OWO327702 PGK327702 PQG327702 QAC327702 QJY327702 QTU327702 RDQ327702 RNM327702 RXI327702 SHE327702 SRA327702 TAW327702 TKS327702 TUO327702 UEK327702 UOG327702 UYC327702 VHY327702 VRU327702 WBQ327702 WLM327702 WVI327702 IW393238 SS393238 ACO393238 AMK393238 AWG393238 BGC393238 BPY393238 BZU393238 CJQ393238 CTM393238 DDI393238 DNE393238 DXA393238 EGW393238 EQS393238 FAO393238 FKK393238 FUG393238 GEC393238 GNY393238 GXU393238 HHQ393238 HRM393238 IBI393238 ILE393238 IVA393238 JEW393238 JOS393238 JYO393238 KIK393238 KSG393238 LCC393238 LLY393238 LVU393238 MFQ393238 MPM393238 MZI393238 NJE393238 NTA393238 OCW393238 OMS393238 OWO393238 PGK393238 PQG393238 QAC393238 QJY393238 QTU393238 RDQ393238 RNM393238 RXI393238 SHE393238 SRA393238 TAW393238 TKS393238 TUO393238 UEK393238 UOG393238 UYC393238 VHY393238 VRU393238 WBQ393238 WLM393238 WVI393238 IW458774 SS458774 ACO458774 AMK458774 AWG458774 BGC458774 BPY458774 BZU458774 CJQ458774 CTM458774 DDI458774 DNE458774 DXA458774 EGW458774 EQS458774 FAO458774 FKK458774 FUG458774 GEC458774 GNY458774 GXU458774 HHQ458774 HRM458774 IBI458774 ILE458774 IVA458774 JEW458774 JOS458774 JYO458774 KIK458774 KSG458774 LCC458774 LLY458774 LVU458774 MFQ458774 MPM458774 MZI458774 NJE458774 NTA458774 OCW458774 OMS458774 OWO458774 PGK458774 PQG458774 QAC458774 QJY458774 QTU458774 RDQ458774 RNM458774 RXI458774 SHE458774 SRA458774 TAW458774 TKS458774 TUO458774 UEK458774 UOG458774 UYC458774 VHY458774 VRU458774 WBQ458774 WLM458774 WVI458774 IW524310 SS524310 ACO524310 AMK524310 AWG524310 BGC524310 BPY524310 BZU524310 CJQ524310 CTM524310 DDI524310 DNE524310 DXA524310 EGW524310 EQS524310 FAO524310 FKK524310 FUG524310 GEC524310 GNY524310 GXU524310 HHQ524310 HRM524310 IBI524310 ILE524310 IVA524310 JEW524310 JOS524310 JYO524310 KIK524310 KSG524310 LCC524310 LLY524310 LVU524310 MFQ524310 MPM524310 MZI524310 NJE524310 NTA524310 OCW524310 OMS524310 OWO524310 PGK524310 PQG524310 QAC524310 QJY524310 QTU524310 RDQ524310 RNM524310 RXI524310 SHE524310 SRA524310 TAW524310 TKS524310 TUO524310 UEK524310 UOG524310 UYC524310 VHY524310 VRU524310 WBQ524310 WLM524310 WVI524310 IW589846 SS589846 ACO589846 AMK589846 AWG589846 BGC589846 BPY589846 BZU589846 CJQ589846 CTM589846 DDI589846 DNE589846 DXA589846 EGW589846 EQS589846 FAO589846 FKK589846 FUG589846 GEC589846 GNY589846 GXU589846 HHQ589846 HRM589846 IBI589846 ILE589846 IVA589846 JEW589846 JOS589846 JYO589846 KIK589846 KSG589846 LCC589846 LLY589846 LVU589846 MFQ589846 MPM589846 MZI589846 NJE589846 NTA589846 OCW589846 OMS589846 OWO589846 PGK589846 PQG589846 QAC589846 QJY589846 QTU589846 RDQ589846 RNM589846 RXI589846 SHE589846 SRA589846 TAW589846 TKS589846 TUO589846 UEK589846 UOG589846 UYC589846 VHY589846 VRU589846 WBQ589846 WLM589846 WVI589846 IW655382 SS655382 ACO655382 AMK655382 AWG655382 BGC655382 BPY655382 BZU655382 CJQ655382 CTM655382 DDI655382 DNE655382 DXA655382 EGW655382 EQS655382 FAO655382 FKK655382 FUG655382 GEC655382 GNY655382 GXU655382 HHQ655382 HRM655382 IBI655382 ILE655382 IVA655382 JEW655382 JOS655382 JYO655382 KIK655382 KSG655382 LCC655382 LLY655382 LVU655382 MFQ655382 MPM655382 MZI655382 NJE655382 NTA655382 OCW655382 OMS655382 OWO655382 PGK655382 PQG655382 QAC655382 QJY655382 QTU655382 RDQ655382 RNM655382 RXI655382 SHE655382 SRA655382 TAW655382 TKS655382 TUO655382 UEK655382 UOG655382 UYC655382 VHY655382 VRU655382 WBQ655382 WLM655382 WVI655382 IW720918 SS720918 ACO720918 AMK720918 AWG720918 BGC720918 BPY720918 BZU720918 CJQ720918 CTM720918 DDI720918 DNE720918 DXA720918 EGW720918 EQS720918 FAO720918 FKK720918 FUG720918 GEC720918 GNY720918 GXU720918 HHQ720918 HRM720918 IBI720918 ILE720918 IVA720918 JEW720918 JOS720918 JYO720918 KIK720918 KSG720918 LCC720918 LLY720918 LVU720918 MFQ720918 MPM720918 MZI720918 NJE720918 NTA720918 OCW720918 OMS720918 OWO720918 PGK720918 PQG720918 QAC720918 QJY720918 QTU720918 RDQ720918 RNM720918 RXI720918 SHE720918 SRA720918 TAW720918 TKS720918 TUO720918 UEK720918 UOG720918 UYC720918 VHY720918 VRU720918 WBQ720918 WLM720918 WVI720918 IW786454 SS786454 ACO786454 AMK786454 AWG786454 BGC786454 BPY786454 BZU786454 CJQ786454 CTM786454 DDI786454 DNE786454 DXA786454 EGW786454 EQS786454 FAO786454 FKK786454 FUG786454 GEC786454 GNY786454 GXU786454 HHQ786454 HRM786454 IBI786454 ILE786454 IVA786454 JEW786454 JOS786454 JYO786454 KIK786454 KSG786454 LCC786454 LLY786454 LVU786454 MFQ786454 MPM786454 MZI786454 NJE786454 NTA786454 OCW786454 OMS786454 OWO786454 PGK786454 PQG786454 QAC786454 QJY786454 QTU786454 RDQ786454 RNM786454 RXI786454 SHE786454 SRA786454 TAW786454 TKS786454 TUO786454 UEK786454 UOG786454 UYC786454 VHY786454 VRU786454 WBQ786454 WLM786454 WVI786454 IW851990 SS851990 ACO851990 AMK851990 AWG851990 BGC851990 BPY851990 BZU851990 CJQ851990 CTM851990 DDI851990 DNE851990 DXA851990 EGW851990 EQS851990 FAO851990 FKK851990 FUG851990 GEC851990 GNY851990 GXU851990 HHQ851990 HRM851990 IBI851990 ILE851990 IVA851990 JEW851990 JOS851990 JYO851990 KIK851990 KSG851990 LCC851990 LLY851990 LVU851990 MFQ851990 MPM851990 MZI851990 NJE851990 NTA851990 OCW851990 OMS851990 OWO851990 PGK851990 PQG851990 QAC851990 QJY851990 QTU851990 RDQ851990 RNM851990 RXI851990 SHE851990 SRA851990 TAW851990 TKS851990 TUO851990 UEK851990 UOG851990 UYC851990 VHY851990 VRU851990 WBQ851990 WLM851990 WVI851990 IW917526 SS917526 ACO917526 AMK917526 AWG917526 BGC917526 BPY917526 BZU917526 CJQ917526 CTM917526 DDI917526 DNE917526 DXA917526 EGW917526 EQS917526 FAO917526 FKK917526 FUG917526 GEC917526 GNY917526 GXU917526 HHQ917526 HRM917526 IBI917526 ILE917526 IVA917526 JEW917526 JOS917526 JYO917526 KIK917526 KSG917526 LCC917526 LLY917526 LVU917526 MFQ917526 MPM917526 MZI917526 NJE917526 NTA917526 OCW917526 OMS917526 OWO917526 PGK917526 PQG917526 QAC917526 QJY917526 QTU917526 RDQ917526 RNM917526 RXI917526 SHE917526 SRA917526 TAW917526 TKS917526 TUO917526 UEK917526 UOG917526 UYC917526 VHY917526 VRU917526 WBQ917526 WLM917526 WVI917526 IW983062 SS983062 ACO983062 AMK983062 AWG983062 BGC983062 BPY983062 BZU983062 CJQ983062 CTM983062 DDI983062 DNE983062 DXA983062 EGW983062 EQS983062 FAO983062 FKK983062 FUG983062 GEC983062 GNY983062 GXU983062 HHQ983062 HRM983062 IBI983062 ILE983062 IVA983062 JEW983062 JOS983062 JYO983062 KIK983062 KSG983062 LCC983062 LLY983062 LVU983062 MFQ983062 MPM983062 MZI983062 NJE983062 NTA983062 OCW983062 OMS983062 OWO983062 PGK983062 PQG983062 QAC983062 QJY983062 QTU983062 RDQ983062 RNM983062 RXI983062 SHE983062 SRA983062 TAW983062 TKS983062 TUO983062 UEK983062 UOG983062 UYC983062 VHY983062 VRU983062 WBQ983062 WLM983062 WVI983062 I65558 SS24 I131094 I196630 I262166 I327702 I393238 I458774 I524310 I589846 I655382 I720918 I786454 I851990 I917526 I983062" xr:uid="{00000000-0002-0000-3300-000010000000}">
      <formula1>$D$24:$G$24</formula1>
    </dataValidation>
    <dataValidation type="list" allowBlank="1" showInputMessage="1" showErrorMessage="1" sqref="WVI983064 WLM983064 WBQ983064 VRU983064 VHY983064 UYC983064 UOG983064 UEK983064 TUO983064 TKS983064 TAW983064 SRA983064 SHE983064 RXI983064 RNM983064 RDQ983064 QTU983064 QJY983064 QAC983064 PQG983064 PGK983064 OWO983064 OMS983064 OCW983064 NTA983064 NJE983064 MZI983064 MPM983064 MFQ983064 LVU983064 LLY983064 LCC983064 KSG983064 KIK983064 JYO983064 JOS983064 JEW983064 IVA983064 ILE983064 IBI983064 HRM983064 HHQ983064 GXU983064 GNY983064 GEC983064 FUG983064 FKK983064 FAO983064 EQS983064 EGW983064 DXA983064 DNE983064 DDI983064 CTM983064 CJQ983064 BZU983064 BPY983064 BGC983064 AWG983064 AMK983064 ACO983064 SS983064 IW983064 WVI917528 WLM917528 WBQ917528 VRU917528 VHY917528 UYC917528 UOG917528 UEK917528 TUO917528 TKS917528 TAW917528 SRA917528 SHE917528 RXI917528 RNM917528 RDQ917528 QTU917528 QJY917528 QAC917528 PQG917528 PGK917528 OWO917528 OMS917528 OCW917528 NTA917528 NJE917528 MZI917528 MPM917528 MFQ917528 LVU917528 LLY917528 LCC917528 KSG917528 KIK917528 JYO917528 JOS917528 JEW917528 IVA917528 ILE917528 IBI917528 HRM917528 HHQ917528 GXU917528 GNY917528 GEC917528 FUG917528 FKK917528 FAO917528 EQS917528 EGW917528 DXA917528 DNE917528 DDI917528 CTM917528 CJQ917528 BZU917528 BPY917528 BGC917528 AWG917528 AMK917528 ACO917528 SS917528 IW917528 WVI851992 WLM851992 WBQ851992 VRU851992 VHY851992 UYC851992 UOG851992 UEK851992 TUO851992 TKS851992 TAW851992 SRA851992 SHE851992 RXI851992 RNM851992 RDQ851992 QTU851992 QJY851992 QAC851992 PQG851992 PGK851992 OWO851992 OMS851992 OCW851992 NTA851992 NJE851992 MZI851992 MPM851992 MFQ851992 LVU851992 LLY851992 LCC851992 KSG851992 KIK851992 JYO851992 JOS851992 JEW851992 IVA851992 ILE851992 IBI851992 HRM851992 HHQ851992 GXU851992 GNY851992 GEC851992 FUG851992 FKK851992 FAO851992 EQS851992 EGW851992 DXA851992 DNE851992 DDI851992 CTM851992 CJQ851992 BZU851992 BPY851992 BGC851992 AWG851992 AMK851992 ACO851992 SS851992 IW851992 WVI786456 WLM786456 WBQ786456 VRU786456 VHY786456 UYC786456 UOG786456 UEK786456 TUO786456 TKS786456 TAW786456 SRA786456 SHE786456 RXI786456 RNM786456 RDQ786456 QTU786456 QJY786456 QAC786456 PQG786456 PGK786456 OWO786456 OMS786456 OCW786456 NTA786456 NJE786456 MZI786456 MPM786456 MFQ786456 LVU786456 LLY786456 LCC786456 KSG786456 KIK786456 JYO786456 JOS786456 JEW786456 IVA786456 ILE786456 IBI786456 HRM786456 HHQ786456 GXU786456 GNY786456 GEC786456 FUG786456 FKK786456 FAO786456 EQS786456 EGW786456 DXA786456 DNE786456 DDI786456 CTM786456 CJQ786456 BZU786456 BPY786456 BGC786456 AWG786456 AMK786456 ACO786456 SS786456 IW786456 WVI720920 WLM720920 WBQ720920 VRU720920 VHY720920 UYC720920 UOG720920 UEK720920 TUO720920 TKS720920 TAW720920 SRA720920 SHE720920 RXI720920 RNM720920 RDQ720920 QTU720920 QJY720920 QAC720920 PQG720920 PGK720920 OWO720920 OMS720920 OCW720920 NTA720920 NJE720920 MZI720920 MPM720920 MFQ720920 LVU720920 LLY720920 LCC720920 KSG720920 KIK720920 JYO720920 JOS720920 JEW720920 IVA720920 ILE720920 IBI720920 HRM720920 HHQ720920 GXU720920 GNY720920 GEC720920 FUG720920 FKK720920 FAO720920 EQS720920 EGW720920 DXA720920 DNE720920 DDI720920 CTM720920 CJQ720920 BZU720920 BPY720920 BGC720920 AWG720920 AMK720920 ACO720920 SS720920 IW720920 WVI655384 WLM655384 WBQ655384 VRU655384 VHY655384 UYC655384 UOG655384 UEK655384 TUO655384 TKS655384 TAW655384 SRA655384 SHE655384 RXI655384 RNM655384 RDQ655384 QTU655384 QJY655384 QAC655384 PQG655384 PGK655384 OWO655384 OMS655384 OCW655384 NTA655384 NJE655384 MZI655384 MPM655384 MFQ655384 LVU655384 LLY655384 LCC655384 KSG655384 KIK655384 JYO655384 JOS655384 JEW655384 IVA655384 ILE655384 IBI655384 HRM655384 HHQ655384 GXU655384 GNY655384 GEC655384 FUG655384 FKK655384 FAO655384 EQS655384 EGW655384 DXA655384 DNE655384 DDI655384 CTM655384 CJQ655384 BZU655384 BPY655384 BGC655384 AWG655384 AMK655384 ACO655384 SS655384 IW655384 WVI589848 WLM589848 WBQ589848 VRU589848 VHY589848 UYC589848 UOG589848 UEK589848 TUO589848 TKS589848 TAW589848 SRA589848 SHE589848 RXI589848 RNM589848 RDQ589848 QTU589848 QJY589848 QAC589848 PQG589848 PGK589848 OWO589848 OMS589848 OCW589848 NTA589848 NJE589848 MZI589848 MPM589848 MFQ589848 LVU589848 LLY589848 LCC589848 KSG589848 KIK589848 JYO589848 JOS589848 JEW589848 IVA589848 ILE589848 IBI589848 HRM589848 HHQ589848 GXU589848 GNY589848 GEC589848 FUG589848 FKK589848 FAO589848 EQS589848 EGW589848 DXA589848 DNE589848 DDI589848 CTM589848 CJQ589848 BZU589848 BPY589848 BGC589848 AWG589848 AMK589848 ACO589848 SS589848 IW589848 WVI524312 WLM524312 WBQ524312 VRU524312 VHY524312 UYC524312 UOG524312 UEK524312 TUO524312 TKS524312 TAW524312 SRA524312 SHE524312 RXI524312 RNM524312 RDQ524312 QTU524312 QJY524312 QAC524312 PQG524312 PGK524312 OWO524312 OMS524312 OCW524312 NTA524312 NJE524312 MZI524312 MPM524312 MFQ524312 LVU524312 LLY524312 LCC524312 KSG524312 KIK524312 JYO524312 JOS524312 JEW524312 IVA524312 ILE524312 IBI524312 HRM524312 HHQ524312 GXU524312 GNY524312 GEC524312 FUG524312 FKK524312 FAO524312 EQS524312 EGW524312 DXA524312 DNE524312 DDI524312 CTM524312 CJQ524312 BZU524312 BPY524312 BGC524312 AWG524312 AMK524312 ACO524312 SS524312 IW524312 WVI458776 WLM458776 WBQ458776 VRU458776 VHY458776 UYC458776 UOG458776 UEK458776 TUO458776 TKS458776 TAW458776 SRA458776 SHE458776 RXI458776 RNM458776 RDQ458776 QTU458776 QJY458776 QAC458776 PQG458776 PGK458776 OWO458776 OMS458776 OCW458776 NTA458776 NJE458776 MZI458776 MPM458776 MFQ458776 LVU458776 LLY458776 LCC458776 KSG458776 KIK458776 JYO458776 JOS458776 JEW458776 IVA458776 ILE458776 IBI458776 HRM458776 HHQ458776 GXU458776 GNY458776 GEC458776 FUG458776 FKK458776 FAO458776 EQS458776 EGW458776 DXA458776 DNE458776 DDI458776 CTM458776 CJQ458776 BZU458776 BPY458776 BGC458776 AWG458776 AMK458776 ACO458776 SS458776 IW458776 WVI393240 WLM393240 WBQ393240 VRU393240 VHY393240 UYC393240 UOG393240 UEK393240 TUO393240 TKS393240 TAW393240 SRA393240 SHE393240 RXI393240 RNM393240 RDQ393240 QTU393240 QJY393240 QAC393240 PQG393240 PGK393240 OWO393240 OMS393240 OCW393240 NTA393240 NJE393240 MZI393240 MPM393240 MFQ393240 LVU393240 LLY393240 LCC393240 KSG393240 KIK393240 JYO393240 JOS393240 JEW393240 IVA393240 ILE393240 IBI393240 HRM393240 HHQ393240 GXU393240 GNY393240 GEC393240 FUG393240 FKK393240 FAO393240 EQS393240 EGW393240 DXA393240 DNE393240 DDI393240 CTM393240 CJQ393240 BZU393240 BPY393240 BGC393240 AWG393240 AMK393240 ACO393240 SS393240 IW393240 WVI327704 WLM327704 WBQ327704 VRU327704 VHY327704 UYC327704 UOG327704 UEK327704 TUO327704 TKS327704 TAW327704 SRA327704 SHE327704 RXI327704 RNM327704 RDQ327704 QTU327704 QJY327704 QAC327704 PQG327704 PGK327704 OWO327704 OMS327704 OCW327704 NTA327704 NJE327704 MZI327704 MPM327704 MFQ327704 LVU327704 LLY327704 LCC327704 KSG327704 KIK327704 JYO327704 JOS327704 JEW327704 IVA327704 ILE327704 IBI327704 HRM327704 HHQ327704 GXU327704 GNY327704 GEC327704 FUG327704 FKK327704 FAO327704 EQS327704 EGW327704 DXA327704 DNE327704 DDI327704 CTM327704 CJQ327704 BZU327704 BPY327704 BGC327704 AWG327704 AMK327704 ACO327704 SS327704 IW327704 WVI262168 WLM262168 WBQ262168 VRU262168 VHY262168 UYC262168 UOG262168 UEK262168 TUO262168 TKS262168 TAW262168 SRA262168 SHE262168 RXI262168 RNM262168 RDQ262168 QTU262168 QJY262168 QAC262168 PQG262168 PGK262168 OWO262168 OMS262168 OCW262168 NTA262168 NJE262168 MZI262168 MPM262168 MFQ262168 LVU262168 LLY262168 LCC262168 KSG262168 KIK262168 JYO262168 JOS262168 JEW262168 IVA262168 ILE262168 IBI262168 HRM262168 HHQ262168 GXU262168 GNY262168 GEC262168 FUG262168 FKK262168 FAO262168 EQS262168 EGW262168 DXA262168 DNE262168 DDI262168 CTM262168 CJQ262168 BZU262168 BPY262168 BGC262168 AWG262168 AMK262168 ACO262168 SS262168 IW262168 WVI196632 WLM196632 WBQ196632 VRU196632 VHY196632 UYC196632 UOG196632 UEK196632 TUO196632 TKS196632 TAW196632 SRA196632 SHE196632 RXI196632 RNM196632 RDQ196632 QTU196632 QJY196632 QAC196632 PQG196632 PGK196632 OWO196632 OMS196632 OCW196632 NTA196632 NJE196632 MZI196632 MPM196632 MFQ196632 LVU196632 LLY196632 LCC196632 KSG196632 KIK196632 JYO196632 JOS196632 JEW196632 IVA196632 ILE196632 IBI196632 HRM196632 HHQ196632 GXU196632 GNY196632 GEC196632 FUG196632 FKK196632 FAO196632 EQS196632 EGW196632 DXA196632 DNE196632 DDI196632 CTM196632 CJQ196632 BZU196632 BPY196632 BGC196632 AWG196632 AMK196632 ACO196632 SS196632 IW196632 WVI131096 WLM131096 WBQ131096 VRU131096 VHY131096 UYC131096 UOG131096 UEK131096 TUO131096 TKS131096 TAW131096 SRA131096 SHE131096 RXI131096 RNM131096 RDQ131096 QTU131096 QJY131096 QAC131096 PQG131096 PGK131096 OWO131096 OMS131096 OCW131096 NTA131096 NJE131096 MZI131096 MPM131096 MFQ131096 LVU131096 LLY131096 LCC131096 KSG131096 KIK131096 JYO131096 JOS131096 JEW131096 IVA131096 ILE131096 IBI131096 HRM131096 HHQ131096 GXU131096 GNY131096 GEC131096 FUG131096 FKK131096 FAO131096 EQS131096 EGW131096 DXA131096 DNE131096 DDI131096 CTM131096 CJQ131096 BZU131096 BPY131096 BGC131096 AWG131096 AMK131096 ACO131096 SS131096 IW131096 WVI65560 WLM65560 WBQ65560 VRU65560 VHY65560 UYC65560 UOG65560 UEK65560 TUO65560 TKS65560 TAW65560 SRA65560 SHE65560 RXI65560 RNM65560 RDQ65560 QTU65560 QJY65560 QAC65560 PQG65560 PGK65560 OWO65560 OMS65560 OCW65560 NTA65560 NJE65560 MZI65560 MPM65560 MFQ65560 LVU65560 LLY65560 LCC65560 KSG65560 KIK65560 JYO65560 JOS65560 JEW65560 IVA65560 ILE65560 IBI65560 HRM65560 HHQ65560 GXU65560 GNY65560 GEC65560 FUG65560 FKK65560 FAO65560 EQS65560 EGW65560 DXA65560 DNE65560 DDI65560 CTM65560 CJQ65560 BZU65560 BPY65560 BGC65560 AWG65560 AMK65560 ACO65560 SS65560 IW65560 I65560 I983064 I917528 I851992 I786456 I720920 I655384 I589848 I524312 I458776 I393240 I327704 I262168 I196632 I131096" xr:uid="{00000000-0002-0000-3300-000011000000}">
      <formula1>#REF!</formula1>
    </dataValidation>
    <dataValidation type="list" allowBlank="1" showInputMessage="1" showErrorMessage="1" sqref="I20" xr:uid="{00000000-0002-0000-3300-000012000000}">
      <formula1>$D$20:$G$20</formula1>
    </dataValidation>
    <dataValidation type="list" allowBlank="1" showInputMessage="1" showErrorMessage="1" sqref="I19" xr:uid="{00000000-0002-0000-3300-000013000000}">
      <formula1>$D$19:$G$19</formula1>
    </dataValidation>
    <dataValidation type="list" allowBlank="1" showInputMessage="1" showErrorMessage="1" sqref="I15" xr:uid="{00000000-0002-0000-3300-000014000000}">
      <formula1>$D$15:$G$15</formula1>
    </dataValidation>
    <dataValidation type="list" allowBlank="1" showInputMessage="1" showErrorMessage="1" sqref="I10" xr:uid="{00000000-0002-0000-3300-000015000000}">
      <formula1>$D$10:$G$10</formula1>
    </dataValidation>
    <dataValidation type="list" allowBlank="1" showInputMessage="1" showErrorMessage="1" sqref="I28" xr:uid="{00000000-0002-0000-3300-000016000000}">
      <formula1>"No adverse remark, Adverse remark"</formula1>
    </dataValidation>
    <dataValidation type="list" allowBlank="1" showInputMessage="1" showErrorMessage="1" sqref="I29" xr:uid="{00000000-0002-0000-3300-000017000000}">
      <formula1>$D$29:$G$29</formula1>
    </dataValidation>
    <dataValidation type="list" allowBlank="1" showInputMessage="1" showErrorMessage="1" sqref="I31" xr:uid="{00000000-0002-0000-3300-000018000000}">
      <formula1>$D$31:$G$31</formula1>
    </dataValidation>
    <dataValidation type="list" allowBlank="1" showInputMessage="1" showErrorMessage="1" sqref="I30" xr:uid="{00000000-0002-0000-3300-000019000000}">
      <formula1>$D$30:$G$30</formula1>
    </dataValidation>
    <dataValidation type="list" allowBlank="1" showInputMessage="1" showErrorMessage="1" sqref="I27" xr:uid="{00000000-0002-0000-3300-00001A000000}">
      <formula1>"Office owned, Office rented, NA"</formula1>
    </dataValidation>
  </dataValidations>
  <pageMargins left="0.7" right="0.7" top="0.75" bottom="0.75" header="0.3" footer="0.3"/>
  <pageSetup paperSize="9" scale="56" orientation="portrait" horizontalDpi="4294967292" verticalDpi="4294967292" r:id="rId1"/>
  <headerFooter>
    <oddFooter>&amp;C&amp;"arial unicode ms,Regular"For internal use only</oddFooter>
    <evenFooter>&amp;C&amp;"arial unicode ms,Regular"For internal use only</evenFooter>
    <firstFooter>&amp;C&amp;"arial unicode ms,Regular"For internal use only</firstFooter>
  </headerFooter>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2">
    <pageSetUpPr fitToPage="1"/>
  </sheetPr>
  <dimension ref="A1:H186"/>
  <sheetViews>
    <sheetView zoomScale="80" zoomScaleNormal="80" workbookViewId="0">
      <selection sqref="A1:F2"/>
    </sheetView>
  </sheetViews>
  <sheetFormatPr defaultColWidth="0" defaultRowHeight="15" zeroHeight="1" x14ac:dyDescent="0.25"/>
  <cols>
    <col min="1" max="1" width="43.28515625" style="212" customWidth="1"/>
    <col min="2" max="2" width="46.42578125" style="212" customWidth="1"/>
    <col min="3" max="3" width="34.28515625" style="211" customWidth="1"/>
    <col min="4" max="4" width="37.42578125" style="211" customWidth="1"/>
    <col min="5" max="5" width="9.28515625" style="212" customWidth="1"/>
    <col min="6" max="6" width="20.5703125" style="212" customWidth="1"/>
    <col min="7" max="8" width="9.28515625" style="212" customWidth="1"/>
    <col min="9" max="16384" width="9.28515625" style="212" hidden="1"/>
  </cols>
  <sheetData>
    <row r="1" spans="1:8" ht="15" customHeight="1" x14ac:dyDescent="0.25">
      <c r="A1" s="2142" t="str">
        <f>'Borrower Details'!A2</f>
        <v>Mortgage-Magnus-Unsecured</v>
      </c>
      <c r="B1" s="2153"/>
      <c r="C1" s="2153"/>
      <c r="D1" s="2835" t="s">
        <v>3</v>
      </c>
    </row>
    <row r="2" spans="1:8" ht="15" customHeight="1" x14ac:dyDescent="0.25">
      <c r="A2" s="2142"/>
      <c r="B2" s="2153"/>
      <c r="C2" s="2153"/>
      <c r="D2" s="2835"/>
    </row>
    <row r="3" spans="1:8" ht="16.5" customHeight="1" x14ac:dyDescent="0.25">
      <c r="A3" s="2143"/>
      <c r="B3" s="2837"/>
      <c r="C3" s="2837"/>
      <c r="D3" s="2836"/>
    </row>
    <row r="4" spans="1:8" ht="16.5" customHeight="1" x14ac:dyDescent="0.25">
      <c r="A4" s="2834" t="s">
        <v>2503</v>
      </c>
      <c r="B4" s="2834"/>
      <c r="C4" s="2834"/>
      <c r="D4" s="2834"/>
    </row>
    <row r="5" spans="1:8" ht="35.25" customHeight="1" x14ac:dyDescent="0.25">
      <c r="A5" s="2838" t="s">
        <v>1395</v>
      </c>
      <c r="B5" s="2839"/>
      <c r="C5" s="2839"/>
      <c r="D5" s="210"/>
      <c r="E5" s="2838" t="s">
        <v>1396</v>
      </c>
      <c r="F5" s="2839"/>
      <c r="G5" s="2839"/>
      <c r="H5" s="211"/>
    </row>
    <row r="6" spans="1:8" ht="18" x14ac:dyDescent="0.25">
      <c r="A6" s="2840" t="s">
        <v>1397</v>
      </c>
      <c r="B6" s="2840"/>
      <c r="C6" s="2840"/>
      <c r="D6" s="213"/>
      <c r="E6" s="211"/>
      <c r="F6" s="211"/>
      <c r="G6" s="211"/>
      <c r="H6" s="211"/>
    </row>
    <row r="7" spans="1:8" ht="32.25" customHeight="1" x14ac:dyDescent="0.25">
      <c r="A7" s="2841" t="s">
        <v>1398</v>
      </c>
      <c r="B7" s="2841"/>
      <c r="C7" s="2841"/>
      <c r="D7" s="214"/>
      <c r="E7" s="2842" t="s">
        <v>1399</v>
      </c>
      <c r="F7" s="2843"/>
      <c r="G7" s="211"/>
      <c r="H7" s="211"/>
    </row>
    <row r="8" spans="1:8" ht="49.5" customHeight="1" x14ac:dyDescent="0.25">
      <c r="A8" s="2841" t="s">
        <v>1400</v>
      </c>
      <c r="B8" s="2841"/>
      <c r="C8" s="2841"/>
      <c r="D8" s="214"/>
      <c r="E8" s="2842"/>
      <c r="F8" s="2843"/>
      <c r="G8" s="211"/>
      <c r="H8" s="211"/>
    </row>
    <row r="9" spans="1:8" x14ac:dyDescent="0.25">
      <c r="A9" s="2841" t="s">
        <v>1401</v>
      </c>
      <c r="B9" s="2841"/>
      <c r="C9" s="2841"/>
      <c r="D9" s="215"/>
      <c r="E9" s="211"/>
      <c r="F9" s="211"/>
      <c r="G9" s="211"/>
      <c r="H9" s="211"/>
    </row>
    <row r="10" spans="1:8" x14ac:dyDescent="0.25">
      <c r="A10" s="2841" t="s">
        <v>1402</v>
      </c>
      <c r="B10" s="2841"/>
      <c r="C10" s="2841"/>
      <c r="D10" s="214"/>
      <c r="E10" s="216" t="s">
        <v>1403</v>
      </c>
      <c r="F10" s="216"/>
      <c r="G10" s="211"/>
      <c r="H10" s="211"/>
    </row>
    <row r="11" spans="1:8" x14ac:dyDescent="0.25">
      <c r="A11" s="2841" t="s">
        <v>1404</v>
      </c>
      <c r="B11" s="2841"/>
      <c r="C11" s="2841"/>
      <c r="D11" s="214"/>
      <c r="E11" s="211"/>
      <c r="F11" s="211"/>
      <c r="G11" s="211"/>
      <c r="H11" s="211" t="s">
        <v>1405</v>
      </c>
    </row>
    <row r="12" spans="1:8" x14ac:dyDescent="0.25">
      <c r="A12" s="2841" t="s">
        <v>1406</v>
      </c>
      <c r="B12" s="2841"/>
      <c r="C12" s="2841"/>
      <c r="D12" s="214"/>
      <c r="E12" s="217" t="s">
        <v>1407</v>
      </c>
      <c r="F12" s="211"/>
      <c r="G12" s="211"/>
      <c r="H12" s="211"/>
    </row>
    <row r="13" spans="1:8" x14ac:dyDescent="0.25">
      <c r="A13" s="2841" t="s">
        <v>1408</v>
      </c>
      <c r="B13" s="2841"/>
      <c r="C13" s="2841"/>
      <c r="D13" s="214"/>
      <c r="E13" s="211"/>
      <c r="F13" s="211"/>
      <c r="G13" s="211"/>
      <c r="H13" s="211"/>
    </row>
    <row r="14" spans="1:8" x14ac:dyDescent="0.25">
      <c r="A14" s="2841" t="s">
        <v>1409</v>
      </c>
      <c r="B14" s="2841"/>
      <c r="C14" s="2841"/>
      <c r="D14" s="214"/>
      <c r="E14" s="2846" t="s">
        <v>1410</v>
      </c>
      <c r="F14" s="2847"/>
      <c r="G14" s="2847"/>
      <c r="H14" s="211"/>
    </row>
    <row r="15" spans="1:8" x14ac:dyDescent="0.25">
      <c r="A15" s="2841" t="s">
        <v>1411</v>
      </c>
      <c r="B15" s="2841"/>
      <c r="C15" s="2841"/>
      <c r="D15" s="214"/>
      <c r="E15" s="2846" t="s">
        <v>1412</v>
      </c>
      <c r="F15" s="2847"/>
      <c r="G15" s="2847"/>
      <c r="H15" s="211"/>
    </row>
    <row r="16" spans="1:8" x14ac:dyDescent="0.25">
      <c r="A16" s="2841" t="s">
        <v>1413</v>
      </c>
      <c r="B16" s="2841"/>
      <c r="C16" s="2841"/>
      <c r="D16" s="214"/>
      <c r="E16" s="2846" t="s">
        <v>1414</v>
      </c>
      <c r="F16" s="2847"/>
      <c r="G16" s="2847"/>
      <c r="H16" s="211"/>
    </row>
    <row r="17" spans="1:8" ht="42" customHeight="1" x14ac:dyDescent="0.25">
      <c r="A17" s="2841" t="s">
        <v>1415</v>
      </c>
      <c r="B17" s="2841"/>
      <c r="C17" s="2841"/>
      <c r="D17" s="218"/>
      <c r="E17" s="2848" t="s">
        <v>1416</v>
      </c>
      <c r="F17" s="2849"/>
      <c r="G17" s="2849"/>
      <c r="H17" s="211"/>
    </row>
    <row r="18" spans="1:8" x14ac:dyDescent="0.25">
      <c r="A18" s="2841" t="s">
        <v>1417</v>
      </c>
      <c r="B18" s="2841"/>
      <c r="C18" s="2841"/>
      <c r="D18" s="214"/>
      <c r="E18" s="2846" t="s">
        <v>1418</v>
      </c>
      <c r="F18" s="2847"/>
      <c r="G18" s="2847"/>
      <c r="H18" s="211"/>
    </row>
    <row r="19" spans="1:8" ht="18" x14ac:dyDescent="0.25">
      <c r="A19" s="2840" t="s">
        <v>1419</v>
      </c>
      <c r="B19" s="2840"/>
      <c r="C19" s="2840"/>
      <c r="D19" s="213"/>
      <c r="E19" s="211"/>
      <c r="F19" s="211"/>
      <c r="G19" s="211"/>
      <c r="H19" s="211"/>
    </row>
    <row r="20" spans="1:8" x14ac:dyDescent="0.25">
      <c r="A20" s="2841" t="s">
        <v>1420</v>
      </c>
      <c r="B20" s="2841"/>
      <c r="C20" s="2841"/>
      <c r="D20" s="214"/>
      <c r="E20" s="211"/>
      <c r="F20" s="211"/>
      <c r="G20" s="211"/>
      <c r="H20" s="211"/>
    </row>
    <row r="21" spans="1:8" x14ac:dyDescent="0.25">
      <c r="A21" s="2850" t="s">
        <v>1421</v>
      </c>
      <c r="B21" s="2851"/>
      <c r="C21" s="2852"/>
      <c r="D21" s="214"/>
      <c r="E21" s="211"/>
      <c r="F21" s="211"/>
      <c r="G21" s="211"/>
      <c r="H21" s="211"/>
    </row>
    <row r="22" spans="1:8" ht="30" customHeight="1" x14ac:dyDescent="0.25">
      <c r="A22" s="2841" t="s">
        <v>1422</v>
      </c>
      <c r="B22" s="2841"/>
      <c r="C22" s="2841"/>
      <c r="D22" s="214"/>
      <c r="E22" s="2844" t="s">
        <v>1423</v>
      </c>
      <c r="F22" s="2845"/>
      <c r="G22" s="2845"/>
      <c r="H22" s="211"/>
    </row>
    <row r="23" spans="1:8" ht="35.25" customHeight="1" x14ac:dyDescent="0.25">
      <c r="A23" s="2841" t="s">
        <v>1424</v>
      </c>
      <c r="B23" s="2841"/>
      <c r="C23" s="2841"/>
      <c r="D23" s="214"/>
      <c r="E23" s="211"/>
      <c r="F23" s="211"/>
      <c r="G23" s="211"/>
      <c r="H23" s="211"/>
    </row>
    <row r="24" spans="1:8" ht="30.75" customHeight="1" x14ac:dyDescent="0.25">
      <c r="A24" s="2841" t="s">
        <v>1425</v>
      </c>
      <c r="B24" s="2841"/>
      <c r="C24" s="2841"/>
      <c r="D24" s="214"/>
      <c r="E24" s="2846" t="s">
        <v>1426</v>
      </c>
      <c r="F24" s="2847"/>
      <c r="G24" s="2847"/>
      <c r="H24" s="2847"/>
    </row>
    <row r="25" spans="1:8" ht="18.75" customHeight="1" x14ac:dyDescent="0.25">
      <c r="A25" s="2841" t="s">
        <v>1427</v>
      </c>
      <c r="B25" s="2841"/>
      <c r="C25" s="2841"/>
      <c r="D25" s="214"/>
      <c r="E25" s="211"/>
      <c r="F25" s="211"/>
      <c r="G25" s="211"/>
      <c r="H25" s="211"/>
    </row>
    <row r="26" spans="1:8" ht="15.75" x14ac:dyDescent="0.25">
      <c r="A26" s="2841" t="s">
        <v>1428</v>
      </c>
      <c r="B26" s="2841"/>
      <c r="C26" s="2841"/>
      <c r="D26" s="214"/>
      <c r="E26" s="2844" t="s">
        <v>1429</v>
      </c>
      <c r="F26" s="2845"/>
      <c r="G26" s="2845"/>
      <c r="H26" s="211"/>
    </row>
    <row r="27" spans="1:8" x14ac:dyDescent="0.25">
      <c r="A27" s="2841" t="s">
        <v>1430</v>
      </c>
      <c r="B27" s="2841"/>
      <c r="C27" s="2841"/>
      <c r="D27" s="214"/>
      <c r="E27" s="211"/>
      <c r="F27" s="211"/>
      <c r="G27" s="211"/>
      <c r="H27" s="211"/>
    </row>
    <row r="28" spans="1:8" x14ac:dyDescent="0.25">
      <c r="A28" s="2841" t="s">
        <v>1431</v>
      </c>
      <c r="B28" s="2841"/>
      <c r="C28" s="2841"/>
      <c r="D28" s="214"/>
      <c r="E28" s="211"/>
      <c r="F28" s="211"/>
      <c r="G28" s="211"/>
      <c r="H28" s="211"/>
    </row>
    <row r="29" spans="1:8" ht="35.25" customHeight="1" x14ac:dyDescent="0.25">
      <c r="A29" s="2841" t="s">
        <v>1432</v>
      </c>
      <c r="B29" s="2841"/>
      <c r="C29" s="2841"/>
      <c r="D29" s="214"/>
      <c r="E29" s="211"/>
      <c r="F29" s="211"/>
      <c r="G29" s="211"/>
      <c r="H29" s="211"/>
    </row>
    <row r="30" spans="1:8" x14ac:dyDescent="0.25">
      <c r="A30" s="2841" t="s">
        <v>1433</v>
      </c>
      <c r="B30" s="2841"/>
      <c r="C30" s="2841"/>
      <c r="D30" s="214"/>
      <c r="E30" s="211"/>
      <c r="F30" s="211"/>
      <c r="G30" s="211"/>
      <c r="H30" s="211"/>
    </row>
    <row r="31" spans="1:8" x14ac:dyDescent="0.25">
      <c r="A31" s="2841" t="s">
        <v>1434</v>
      </c>
      <c r="B31" s="2841"/>
      <c r="C31" s="2841"/>
      <c r="D31" s="214"/>
      <c r="E31" s="2853" t="s">
        <v>1435</v>
      </c>
      <c r="F31" s="2854"/>
      <c r="G31" s="2854"/>
      <c r="H31" s="211"/>
    </row>
    <row r="32" spans="1:8" ht="26.25" customHeight="1" x14ac:dyDescent="0.25">
      <c r="A32" s="2841" t="s">
        <v>1436</v>
      </c>
      <c r="B32" s="2841"/>
      <c r="C32" s="2841"/>
      <c r="D32" s="214"/>
      <c r="E32" s="2846" t="s">
        <v>1437</v>
      </c>
      <c r="F32" s="2847"/>
      <c r="G32" s="2847"/>
      <c r="H32" s="211"/>
    </row>
    <row r="33" spans="1:8" ht="26.25" customHeight="1" x14ac:dyDescent="0.25">
      <c r="A33" s="2841" t="s">
        <v>1438</v>
      </c>
      <c r="B33" s="2841"/>
      <c r="C33" s="2841"/>
      <c r="D33" s="214"/>
      <c r="E33" s="2846" t="s">
        <v>1439</v>
      </c>
      <c r="F33" s="2847"/>
      <c r="G33" s="2847"/>
      <c r="H33" s="211"/>
    </row>
    <row r="34" spans="1:8" ht="26.25" customHeight="1" x14ac:dyDescent="0.25">
      <c r="A34" s="2841" t="s">
        <v>1440</v>
      </c>
      <c r="B34" s="2841"/>
      <c r="C34" s="2841"/>
      <c r="D34" s="214"/>
      <c r="E34" s="2846" t="s">
        <v>1439</v>
      </c>
      <c r="F34" s="2847"/>
      <c r="G34" s="2847"/>
      <c r="H34" s="211"/>
    </row>
    <row r="35" spans="1:8" ht="26.25" customHeight="1" x14ac:dyDescent="0.25">
      <c r="A35" s="2838" t="s">
        <v>1441</v>
      </c>
      <c r="B35" s="2839"/>
      <c r="C35" s="2839"/>
      <c r="D35" s="210"/>
      <c r="E35" s="219"/>
      <c r="F35" s="219"/>
      <c r="G35" s="219"/>
      <c r="H35" s="211"/>
    </row>
    <row r="36" spans="1:8" ht="26.25" customHeight="1" x14ac:dyDescent="0.25">
      <c r="A36" s="2855" t="s">
        <v>1442</v>
      </c>
      <c r="B36" s="2855"/>
      <c r="C36" s="2855"/>
      <c r="D36" s="214"/>
      <c r="E36" s="219"/>
      <c r="F36" s="219"/>
      <c r="G36" s="219"/>
      <c r="H36" s="211"/>
    </row>
    <row r="37" spans="1:8" ht="26.25" customHeight="1" x14ac:dyDescent="0.25">
      <c r="A37" s="2855" t="s">
        <v>1443</v>
      </c>
      <c r="B37" s="2855"/>
      <c r="C37" s="2855"/>
      <c r="D37" s="214"/>
      <c r="E37" s="219"/>
      <c r="F37" s="219"/>
      <c r="G37" s="219"/>
      <c r="H37" s="211"/>
    </row>
    <row r="38" spans="1:8" ht="26.25" customHeight="1" x14ac:dyDescent="0.25">
      <c r="A38" s="2855" t="s">
        <v>1444</v>
      </c>
      <c r="B38" s="2855"/>
      <c r="C38" s="2855"/>
      <c r="D38" s="214"/>
      <c r="E38" s="219"/>
      <c r="F38" s="219"/>
      <c r="G38" s="219"/>
      <c r="H38" s="211"/>
    </row>
    <row r="39" spans="1:8" ht="26.25" customHeight="1" x14ac:dyDescent="0.25">
      <c r="A39" s="2855" t="s">
        <v>1445</v>
      </c>
      <c r="B39" s="2855"/>
      <c r="C39" s="2855"/>
      <c r="D39" s="214"/>
      <c r="E39" s="219"/>
      <c r="F39" s="219"/>
      <c r="G39" s="219"/>
      <c r="H39" s="211"/>
    </row>
    <row r="40" spans="1:8" ht="26.25" customHeight="1" x14ac:dyDescent="0.25">
      <c r="A40" s="2855"/>
      <c r="B40" s="2855"/>
      <c r="C40" s="2855"/>
      <c r="D40" s="214"/>
      <c r="E40" s="219"/>
      <c r="F40" s="219"/>
      <c r="G40" s="219"/>
      <c r="H40" s="211"/>
    </row>
    <row r="41" spans="1:8" ht="33.75" customHeight="1" x14ac:dyDescent="0.25">
      <c r="A41" s="2856" t="s">
        <v>1446</v>
      </c>
      <c r="B41" s="2857"/>
      <c r="C41" s="2857"/>
      <c r="D41" s="210"/>
      <c r="E41" s="219"/>
      <c r="F41" s="219"/>
      <c r="G41" s="219"/>
      <c r="H41" s="211"/>
    </row>
    <row r="42" spans="1:8" ht="20.25" customHeight="1" x14ac:dyDescent="0.25">
      <c r="A42" s="2858"/>
      <c r="B42" s="2859"/>
      <c r="C42" s="2859"/>
      <c r="D42" s="220"/>
      <c r="E42" s="2860" t="s">
        <v>1447</v>
      </c>
      <c r="F42" s="2861"/>
      <c r="G42" s="2861"/>
      <c r="H42" s="211"/>
    </row>
    <row r="43" spans="1:8" ht="20.25" customHeight="1" x14ac:dyDescent="0.25">
      <c r="A43" s="2858"/>
      <c r="B43" s="2859"/>
      <c r="C43" s="2859"/>
      <c r="D43" s="220"/>
      <c r="E43" s="2860"/>
      <c r="F43" s="2861"/>
      <c r="G43" s="2861"/>
      <c r="H43" s="211"/>
    </row>
    <row r="44" spans="1:8" ht="20.25" customHeight="1" x14ac:dyDescent="0.25">
      <c r="A44" s="2858"/>
      <c r="B44" s="2859"/>
      <c r="C44" s="2859"/>
      <c r="D44" s="220"/>
      <c r="E44" s="2860"/>
      <c r="F44" s="2861"/>
      <c r="G44" s="2861"/>
      <c r="H44" s="211"/>
    </row>
    <row r="45" spans="1:8" ht="20.25" customHeight="1" x14ac:dyDescent="0.25">
      <c r="A45" s="2858"/>
      <c r="B45" s="2859"/>
      <c r="C45" s="2859"/>
      <c r="D45" s="220"/>
      <c r="E45" s="2860"/>
      <c r="F45" s="2861"/>
      <c r="G45" s="2861"/>
      <c r="H45" s="211"/>
    </row>
    <row r="46" spans="1:8" ht="20.25" customHeight="1" x14ac:dyDescent="0.25">
      <c r="A46" s="2858"/>
      <c r="B46" s="2859"/>
      <c r="C46" s="2859"/>
      <c r="D46" s="220"/>
      <c r="E46" s="2860"/>
      <c r="F46" s="2861"/>
      <c r="G46" s="2861"/>
      <c r="H46" s="211"/>
    </row>
    <row r="47" spans="1:8" ht="20.25" customHeight="1" x14ac:dyDescent="0.25">
      <c r="A47" s="2858"/>
      <c r="B47" s="2859"/>
      <c r="C47" s="2859"/>
      <c r="D47" s="220"/>
      <c r="E47" s="2860"/>
      <c r="F47" s="2861"/>
      <c r="G47" s="2861"/>
      <c r="H47" s="211"/>
    </row>
    <row r="48" spans="1:8" x14ac:dyDescent="0.25">
      <c r="C48" s="212"/>
      <c r="D48" s="212"/>
      <c r="E48" s="211"/>
      <c r="F48" s="211"/>
      <c r="G48" s="211"/>
      <c r="H48" s="211"/>
    </row>
    <row r="49" spans="1:8" x14ac:dyDescent="0.25">
      <c r="C49" s="212"/>
      <c r="D49" s="212"/>
      <c r="E49" s="211"/>
      <c r="F49" s="211"/>
      <c r="G49" s="211"/>
      <c r="H49" s="211"/>
    </row>
    <row r="50" spans="1:8" ht="15.75" x14ac:dyDescent="0.25">
      <c r="A50" s="2865" t="s">
        <v>1448</v>
      </c>
      <c r="B50" s="2865"/>
      <c r="C50" s="2865"/>
      <c r="D50" s="2865"/>
      <c r="E50" s="211"/>
      <c r="F50" s="211"/>
      <c r="G50" s="211"/>
      <c r="H50" s="211"/>
    </row>
    <row r="51" spans="1:8" x14ac:dyDescent="0.25">
      <c r="A51" s="2858"/>
      <c r="B51" s="2859"/>
      <c r="C51" s="2859"/>
      <c r="D51" s="2866"/>
      <c r="E51" s="211"/>
      <c r="F51" s="211"/>
      <c r="G51" s="211"/>
      <c r="H51" s="211"/>
    </row>
    <row r="52" spans="1:8" ht="15" customHeight="1" x14ac:dyDescent="0.25">
      <c r="A52" s="2858"/>
      <c r="B52" s="2859"/>
      <c r="C52" s="2859"/>
      <c r="D52" s="2866"/>
      <c r="E52" s="211"/>
      <c r="F52" s="211"/>
      <c r="G52" s="211"/>
      <c r="H52" s="211"/>
    </row>
    <row r="53" spans="1:8" x14ac:dyDescent="0.25">
      <c r="A53" s="2858"/>
      <c r="B53" s="2859"/>
      <c r="C53" s="2859"/>
      <c r="D53" s="2867"/>
      <c r="E53" s="211"/>
      <c r="F53" s="211"/>
      <c r="G53" s="211"/>
      <c r="H53" s="211"/>
    </row>
    <row r="54" spans="1:8" x14ac:dyDescent="0.25">
      <c r="A54" s="2858"/>
      <c r="B54" s="2859"/>
      <c r="C54" s="2859"/>
      <c r="D54" s="2867"/>
      <c r="E54" s="211"/>
      <c r="F54" s="211"/>
      <c r="G54" s="211"/>
      <c r="H54" s="211"/>
    </row>
    <row r="55" spans="1:8" ht="15" customHeight="1" x14ac:dyDescent="0.25">
      <c r="A55" s="2862"/>
      <c r="B55" s="2863"/>
      <c r="C55" s="2863"/>
      <c r="D55" s="2864"/>
      <c r="E55" s="211"/>
      <c r="F55" s="211"/>
      <c r="G55" s="211"/>
      <c r="H55" s="211"/>
    </row>
    <row r="56" spans="1:8" ht="15" customHeight="1" x14ac:dyDescent="0.25">
      <c r="A56" s="2862"/>
      <c r="B56" s="2863"/>
      <c r="C56" s="2863"/>
      <c r="D56" s="2864"/>
      <c r="E56" s="211"/>
      <c r="F56" s="211"/>
      <c r="G56" s="211"/>
      <c r="H56" s="211"/>
    </row>
    <row r="57" spans="1:8" x14ac:dyDescent="0.25">
      <c r="A57" s="2862"/>
      <c r="B57" s="2863"/>
      <c r="C57" s="2863"/>
      <c r="D57" s="2864"/>
      <c r="E57" s="211"/>
      <c r="F57" s="211"/>
      <c r="G57" s="211"/>
      <c r="H57" s="211"/>
    </row>
    <row r="58" spans="1:8" x14ac:dyDescent="0.25">
      <c r="A58" s="2862"/>
      <c r="B58" s="2863"/>
      <c r="C58" s="2863"/>
      <c r="D58" s="2864"/>
      <c r="E58" s="211"/>
      <c r="F58" s="211"/>
      <c r="G58" s="211"/>
      <c r="H58" s="211"/>
    </row>
    <row r="59" spans="1:8" x14ac:dyDescent="0.25">
      <c r="A59" s="221" t="s">
        <v>1449</v>
      </c>
      <c r="B59" s="222"/>
      <c r="C59" s="221" t="s">
        <v>1450</v>
      </c>
      <c r="D59" s="223"/>
      <c r="E59" s="211"/>
      <c r="F59" s="211"/>
      <c r="G59" s="211"/>
      <c r="H59" s="211"/>
    </row>
    <row r="60" spans="1:8" x14ac:dyDescent="0.25">
      <c r="A60" s="221" t="s">
        <v>1451</v>
      </c>
      <c r="B60" s="222" t="s">
        <v>1452</v>
      </c>
      <c r="C60" s="221" t="s">
        <v>1453</v>
      </c>
      <c r="D60" s="223"/>
      <c r="E60" s="211"/>
      <c r="F60" s="211"/>
      <c r="G60" s="211"/>
      <c r="H60" s="211"/>
    </row>
    <row r="61" spans="1:8" x14ac:dyDescent="0.25">
      <c r="A61" s="211"/>
      <c r="B61" s="211"/>
      <c r="E61" s="211"/>
      <c r="F61" s="211"/>
      <c r="G61" s="211"/>
      <c r="H61" s="211"/>
    </row>
    <row r="62" spans="1:8" hidden="1" x14ac:dyDescent="0.25">
      <c r="A62" s="211"/>
      <c r="B62" s="211"/>
      <c r="E62" s="211"/>
      <c r="F62" s="211"/>
      <c r="G62" s="211"/>
      <c r="H62" s="211"/>
    </row>
    <row r="63" spans="1:8" hidden="1" x14ac:dyDescent="0.25">
      <c r="A63" s="211"/>
      <c r="B63" s="211"/>
      <c r="E63" s="211"/>
      <c r="F63" s="211"/>
      <c r="G63" s="211"/>
      <c r="H63" s="211"/>
    </row>
    <row r="64" spans="1:8" hidden="1" x14ac:dyDescent="0.25">
      <c r="A64" s="211"/>
      <c r="B64" s="211"/>
      <c r="E64" s="211"/>
      <c r="F64" s="211"/>
      <c r="G64" s="211"/>
      <c r="H64" s="211"/>
    </row>
    <row r="65" spans="1:8" hidden="1" x14ac:dyDescent="0.25">
      <c r="A65" s="211"/>
      <c r="B65" s="211"/>
      <c r="E65" s="211"/>
      <c r="F65" s="211"/>
      <c r="G65" s="211"/>
      <c r="H65" s="211"/>
    </row>
    <row r="66" spans="1:8" hidden="1" x14ac:dyDescent="0.25">
      <c r="A66" s="211"/>
      <c r="B66" s="211"/>
      <c r="E66" s="211"/>
      <c r="F66" s="211"/>
      <c r="G66" s="211"/>
      <c r="H66" s="211"/>
    </row>
    <row r="67" spans="1:8" hidden="1" x14ac:dyDescent="0.25">
      <c r="A67" s="211"/>
      <c r="B67" s="211"/>
      <c r="E67" s="211"/>
      <c r="F67" s="211"/>
      <c r="G67" s="211"/>
      <c r="H67" s="211"/>
    </row>
    <row r="68" spans="1:8" hidden="1" x14ac:dyDescent="0.25">
      <c r="A68" s="211"/>
      <c r="B68" s="211"/>
      <c r="E68" s="211"/>
      <c r="F68" s="211"/>
      <c r="G68" s="211"/>
      <c r="H68" s="211"/>
    </row>
    <row r="69" spans="1:8" hidden="1" x14ac:dyDescent="0.25">
      <c r="A69" s="211"/>
      <c r="B69" s="211"/>
      <c r="E69" s="211"/>
      <c r="F69" s="211"/>
      <c r="G69" s="211"/>
      <c r="H69" s="211"/>
    </row>
    <row r="70" spans="1:8" hidden="1" x14ac:dyDescent="0.25">
      <c r="A70" s="211"/>
      <c r="B70" s="211"/>
      <c r="E70" s="211"/>
      <c r="F70" s="211"/>
      <c r="G70" s="211"/>
      <c r="H70" s="211"/>
    </row>
    <row r="71" spans="1:8" hidden="1" x14ac:dyDescent="0.25">
      <c r="A71" s="211"/>
      <c r="B71" s="211"/>
      <c r="E71" s="211"/>
      <c r="F71" s="211"/>
      <c r="G71" s="211"/>
      <c r="H71" s="211"/>
    </row>
    <row r="72" spans="1:8" hidden="1" x14ac:dyDescent="0.25">
      <c r="A72" s="211"/>
      <c r="B72" s="211"/>
      <c r="E72" s="211"/>
      <c r="F72" s="211"/>
      <c r="G72" s="211"/>
      <c r="H72" s="211"/>
    </row>
    <row r="73" spans="1:8" hidden="1" x14ac:dyDescent="0.25">
      <c r="A73" s="211"/>
      <c r="B73" s="211"/>
      <c r="E73" s="211"/>
      <c r="F73" s="211"/>
      <c r="G73" s="211"/>
      <c r="H73" s="211"/>
    </row>
    <row r="74" spans="1:8" hidden="1" x14ac:dyDescent="0.25">
      <c r="A74" s="211"/>
      <c r="B74" s="211"/>
      <c r="E74" s="211"/>
      <c r="F74" s="211"/>
      <c r="G74" s="211"/>
      <c r="H74" s="211"/>
    </row>
    <row r="75" spans="1:8" hidden="1" x14ac:dyDescent="0.25">
      <c r="A75" s="211"/>
      <c r="B75" s="211"/>
      <c r="E75" s="211"/>
      <c r="F75" s="211"/>
      <c r="G75" s="211"/>
      <c r="H75" s="211"/>
    </row>
    <row r="76" spans="1:8" hidden="1" x14ac:dyDescent="0.25">
      <c r="A76" s="211"/>
      <c r="B76" s="211"/>
      <c r="E76" s="211"/>
      <c r="F76" s="211"/>
      <c r="G76" s="211"/>
      <c r="H76" s="211"/>
    </row>
    <row r="77" spans="1:8" hidden="1" x14ac:dyDescent="0.25">
      <c r="A77" s="211"/>
      <c r="B77" s="211"/>
      <c r="E77" s="211"/>
      <c r="F77" s="211"/>
      <c r="G77" s="211"/>
      <c r="H77" s="211"/>
    </row>
    <row r="78" spans="1:8" hidden="1" x14ac:dyDescent="0.25">
      <c r="A78" s="211"/>
      <c r="B78" s="211"/>
      <c r="E78" s="211"/>
      <c r="F78" s="211"/>
      <c r="G78" s="211"/>
      <c r="H78" s="211"/>
    </row>
    <row r="79" spans="1:8" hidden="1" x14ac:dyDescent="0.25">
      <c r="A79" s="211"/>
      <c r="B79" s="211"/>
      <c r="E79" s="211"/>
      <c r="F79" s="211"/>
      <c r="G79" s="211"/>
      <c r="H79" s="211"/>
    </row>
    <row r="80" spans="1:8" hidden="1" x14ac:dyDescent="0.25">
      <c r="A80" s="211"/>
      <c r="B80" s="211"/>
      <c r="E80" s="211"/>
      <c r="F80" s="211"/>
      <c r="G80" s="211"/>
      <c r="H80" s="211"/>
    </row>
    <row r="81" spans="1:8" hidden="1" x14ac:dyDescent="0.25">
      <c r="A81" s="211"/>
      <c r="B81" s="211"/>
      <c r="E81" s="211"/>
      <c r="F81" s="211"/>
      <c r="G81" s="211"/>
      <c r="H81" s="211"/>
    </row>
    <row r="82" spans="1:8" hidden="1" x14ac:dyDescent="0.25">
      <c r="A82" s="211"/>
      <c r="B82" s="211"/>
      <c r="E82" s="211"/>
      <c r="F82" s="211"/>
      <c r="G82" s="211"/>
      <c r="H82" s="211"/>
    </row>
    <row r="83" spans="1:8" hidden="1" x14ac:dyDescent="0.25">
      <c r="A83" s="211"/>
      <c r="B83" s="211"/>
      <c r="E83" s="211"/>
      <c r="F83" s="211"/>
      <c r="G83" s="211"/>
      <c r="H83" s="211"/>
    </row>
    <row r="84" spans="1:8" hidden="1" x14ac:dyDescent="0.25">
      <c r="A84" s="211"/>
      <c r="B84" s="211"/>
      <c r="E84" s="211"/>
      <c r="F84" s="211"/>
      <c r="G84" s="211"/>
      <c r="H84" s="211"/>
    </row>
    <row r="85" spans="1:8" hidden="1" x14ac:dyDescent="0.25">
      <c r="A85" s="211"/>
      <c r="B85" s="211"/>
      <c r="E85" s="211"/>
      <c r="F85" s="211"/>
      <c r="G85" s="211"/>
      <c r="H85" s="211"/>
    </row>
    <row r="86" spans="1:8" hidden="1" x14ac:dyDescent="0.25">
      <c r="A86" s="211"/>
      <c r="B86" s="211"/>
      <c r="E86" s="211"/>
      <c r="F86" s="211"/>
      <c r="G86" s="211"/>
      <c r="H86" s="211"/>
    </row>
    <row r="87" spans="1:8" hidden="1" x14ac:dyDescent="0.25">
      <c r="A87" s="211"/>
      <c r="B87" s="211"/>
      <c r="E87" s="211"/>
      <c r="F87" s="211"/>
      <c r="G87" s="211"/>
      <c r="H87" s="211"/>
    </row>
    <row r="88" spans="1:8" hidden="1" x14ac:dyDescent="0.25">
      <c r="A88" s="211"/>
      <c r="B88" s="211"/>
      <c r="E88" s="211"/>
      <c r="F88" s="211"/>
      <c r="G88" s="211"/>
      <c r="H88" s="211"/>
    </row>
    <row r="89" spans="1:8" hidden="1" x14ac:dyDescent="0.25">
      <c r="A89" s="211"/>
      <c r="B89" s="211"/>
      <c r="E89" s="211"/>
      <c r="F89" s="211"/>
      <c r="G89" s="211"/>
      <c r="H89" s="211"/>
    </row>
    <row r="90" spans="1:8" hidden="1" x14ac:dyDescent="0.25">
      <c r="A90" s="211"/>
      <c r="B90" s="211"/>
      <c r="E90" s="211"/>
      <c r="F90" s="211"/>
      <c r="G90" s="211"/>
      <c r="H90" s="211"/>
    </row>
    <row r="91" spans="1:8" hidden="1" x14ac:dyDescent="0.25">
      <c r="A91" s="211"/>
      <c r="B91" s="211"/>
      <c r="E91" s="211"/>
      <c r="F91" s="211"/>
      <c r="G91" s="211"/>
      <c r="H91" s="211"/>
    </row>
    <row r="92" spans="1:8" hidden="1" x14ac:dyDescent="0.25">
      <c r="A92" s="211"/>
      <c r="B92" s="211"/>
      <c r="E92" s="211"/>
      <c r="F92" s="211"/>
      <c r="G92" s="211"/>
      <c r="H92" s="211"/>
    </row>
    <row r="93" spans="1:8" hidden="1" x14ac:dyDescent="0.25">
      <c r="A93" s="211"/>
      <c r="B93" s="211"/>
      <c r="E93" s="211"/>
      <c r="F93" s="211"/>
      <c r="G93" s="211"/>
      <c r="H93" s="211"/>
    </row>
    <row r="94" spans="1:8" hidden="1" x14ac:dyDescent="0.25">
      <c r="A94" s="211"/>
      <c r="B94" s="211"/>
      <c r="E94" s="211"/>
      <c r="F94" s="211"/>
      <c r="G94" s="211"/>
      <c r="H94" s="211"/>
    </row>
    <row r="95" spans="1:8" hidden="1" x14ac:dyDescent="0.25">
      <c r="A95" s="211"/>
      <c r="B95" s="211"/>
      <c r="E95" s="211"/>
      <c r="F95" s="211"/>
      <c r="G95" s="211"/>
      <c r="H95" s="211"/>
    </row>
    <row r="96" spans="1:8" hidden="1" x14ac:dyDescent="0.25">
      <c r="A96" s="211"/>
      <c r="B96" s="211"/>
      <c r="E96" s="211"/>
      <c r="F96" s="211"/>
      <c r="G96" s="211"/>
      <c r="H96" s="211"/>
    </row>
    <row r="97" spans="1:8" hidden="1" x14ac:dyDescent="0.25">
      <c r="A97" s="211"/>
      <c r="B97" s="211"/>
      <c r="E97" s="211"/>
      <c r="F97" s="211"/>
      <c r="G97" s="211"/>
      <c r="H97" s="211"/>
    </row>
    <row r="98" spans="1:8" hidden="1" x14ac:dyDescent="0.25">
      <c r="A98" s="211"/>
      <c r="B98" s="211"/>
      <c r="E98" s="211"/>
      <c r="F98" s="211"/>
      <c r="G98" s="211"/>
      <c r="H98" s="211"/>
    </row>
    <row r="99" spans="1:8" hidden="1" x14ac:dyDescent="0.25">
      <c r="A99" s="211"/>
      <c r="B99" s="211"/>
      <c r="E99" s="211"/>
      <c r="F99" s="211"/>
      <c r="G99" s="211"/>
      <c r="H99" s="211"/>
    </row>
    <row r="100" spans="1:8" hidden="1" x14ac:dyDescent="0.25">
      <c r="A100" s="211"/>
      <c r="B100" s="211"/>
      <c r="E100" s="211"/>
      <c r="F100" s="211"/>
      <c r="G100" s="211"/>
      <c r="H100" s="211"/>
    </row>
    <row r="101" spans="1:8" hidden="1" x14ac:dyDescent="0.25">
      <c r="A101" s="211"/>
      <c r="B101" s="211"/>
      <c r="E101" s="211"/>
      <c r="F101" s="211"/>
      <c r="G101" s="211"/>
      <c r="H101" s="211"/>
    </row>
    <row r="102" spans="1:8" hidden="1" x14ac:dyDescent="0.25">
      <c r="A102" s="211"/>
      <c r="B102" s="211"/>
      <c r="E102" s="211"/>
      <c r="F102" s="211"/>
      <c r="G102" s="211"/>
      <c r="H102" s="211"/>
    </row>
    <row r="103" spans="1:8" hidden="1" x14ac:dyDescent="0.25">
      <c r="A103" s="211"/>
      <c r="B103" s="211"/>
      <c r="E103" s="211"/>
      <c r="F103" s="211"/>
      <c r="G103" s="211"/>
      <c r="H103" s="211"/>
    </row>
    <row r="104" spans="1:8" hidden="1" x14ac:dyDescent="0.25">
      <c r="A104" s="211"/>
      <c r="B104" s="211"/>
      <c r="E104" s="211"/>
      <c r="F104" s="211"/>
      <c r="G104" s="211"/>
      <c r="H104" s="211"/>
    </row>
    <row r="105" spans="1:8" hidden="1" x14ac:dyDescent="0.25">
      <c r="A105" s="211"/>
      <c r="B105" s="211"/>
      <c r="E105" s="211"/>
      <c r="F105" s="211"/>
      <c r="G105" s="211"/>
      <c r="H105" s="211"/>
    </row>
    <row r="106" spans="1:8" hidden="1" x14ac:dyDescent="0.25">
      <c r="A106" s="211"/>
      <c r="B106" s="211"/>
      <c r="E106" s="211"/>
      <c r="F106" s="211"/>
      <c r="G106" s="211"/>
      <c r="H106" s="211"/>
    </row>
    <row r="107" spans="1:8" hidden="1" x14ac:dyDescent="0.25">
      <c r="A107" s="211"/>
      <c r="B107" s="211"/>
      <c r="E107" s="211"/>
      <c r="F107" s="211"/>
      <c r="G107" s="211"/>
      <c r="H107" s="211"/>
    </row>
    <row r="108" spans="1:8" hidden="1" x14ac:dyDescent="0.25">
      <c r="A108" s="211"/>
      <c r="B108" s="211"/>
      <c r="E108" s="211"/>
      <c r="F108" s="211"/>
      <c r="G108" s="211"/>
      <c r="H108" s="211"/>
    </row>
    <row r="109" spans="1:8" hidden="1" x14ac:dyDescent="0.25">
      <c r="A109" s="211"/>
      <c r="B109" s="211"/>
      <c r="E109" s="211"/>
      <c r="F109" s="211"/>
      <c r="G109" s="211"/>
      <c r="H109" s="211"/>
    </row>
    <row r="110" spans="1:8" hidden="1" x14ac:dyDescent="0.25">
      <c r="A110" s="211"/>
      <c r="B110" s="211"/>
      <c r="E110" s="211"/>
      <c r="F110" s="211"/>
      <c r="G110" s="211"/>
      <c r="H110" s="211"/>
    </row>
    <row r="111" spans="1:8" hidden="1" x14ac:dyDescent="0.25">
      <c r="A111" s="211"/>
      <c r="B111" s="211"/>
      <c r="E111" s="211"/>
      <c r="F111" s="211"/>
      <c r="G111" s="211"/>
      <c r="H111" s="211"/>
    </row>
    <row r="112" spans="1:8" hidden="1" x14ac:dyDescent="0.25">
      <c r="A112" s="211"/>
      <c r="B112" s="211"/>
      <c r="E112" s="211"/>
      <c r="F112" s="211"/>
      <c r="G112" s="211"/>
      <c r="H112" s="211"/>
    </row>
    <row r="113" spans="1:8" hidden="1" x14ac:dyDescent="0.25">
      <c r="A113" s="211"/>
      <c r="B113" s="211"/>
      <c r="E113" s="211"/>
      <c r="F113" s="211"/>
      <c r="G113" s="211"/>
      <c r="H113" s="211"/>
    </row>
    <row r="114" spans="1:8" hidden="1" x14ac:dyDescent="0.25">
      <c r="A114" s="211"/>
      <c r="B114" s="211"/>
      <c r="E114" s="211"/>
      <c r="F114" s="211"/>
      <c r="G114" s="211"/>
      <c r="H114" s="211"/>
    </row>
    <row r="115" spans="1:8" hidden="1" x14ac:dyDescent="0.25">
      <c r="A115" s="211"/>
      <c r="B115" s="211"/>
      <c r="E115" s="211"/>
      <c r="F115" s="211"/>
      <c r="G115" s="211"/>
      <c r="H115" s="211"/>
    </row>
    <row r="116" spans="1:8" hidden="1" x14ac:dyDescent="0.25">
      <c r="A116" s="211"/>
      <c r="B116" s="211"/>
      <c r="E116" s="211"/>
      <c r="F116" s="211"/>
      <c r="G116" s="211"/>
      <c r="H116" s="211"/>
    </row>
    <row r="117" spans="1:8" hidden="1" x14ac:dyDescent="0.25">
      <c r="A117" s="211"/>
      <c r="B117" s="211"/>
      <c r="E117" s="211"/>
      <c r="F117" s="211"/>
      <c r="G117" s="211"/>
      <c r="H117" s="211"/>
    </row>
    <row r="118" spans="1:8" hidden="1" x14ac:dyDescent="0.25">
      <c r="A118" s="211"/>
      <c r="B118" s="211"/>
      <c r="E118" s="211"/>
      <c r="F118" s="211"/>
      <c r="G118" s="211"/>
      <c r="H118" s="211"/>
    </row>
    <row r="119" spans="1:8" hidden="1" x14ac:dyDescent="0.25">
      <c r="A119" s="211"/>
      <c r="B119" s="211"/>
      <c r="E119" s="211"/>
      <c r="F119" s="211"/>
      <c r="G119" s="211"/>
      <c r="H119" s="211"/>
    </row>
    <row r="120" spans="1:8" hidden="1" x14ac:dyDescent="0.25">
      <c r="A120" s="211"/>
      <c r="B120" s="211"/>
      <c r="E120" s="211"/>
      <c r="F120" s="211"/>
      <c r="G120" s="211"/>
      <c r="H120" s="211"/>
    </row>
    <row r="121" spans="1:8" hidden="1" x14ac:dyDescent="0.25">
      <c r="A121" s="211"/>
      <c r="B121" s="211"/>
      <c r="E121" s="211"/>
      <c r="F121" s="211"/>
      <c r="G121" s="211"/>
      <c r="H121" s="211"/>
    </row>
    <row r="122" spans="1:8" hidden="1" x14ac:dyDescent="0.25">
      <c r="A122" s="211"/>
      <c r="B122" s="211"/>
      <c r="E122" s="211"/>
      <c r="F122" s="211"/>
      <c r="G122" s="211"/>
      <c r="H122" s="211"/>
    </row>
    <row r="123" spans="1:8" hidden="1" x14ac:dyDescent="0.25">
      <c r="A123" s="211"/>
      <c r="B123" s="211"/>
      <c r="E123" s="211"/>
      <c r="F123" s="211"/>
      <c r="G123" s="211"/>
      <c r="H123" s="211"/>
    </row>
    <row r="124" spans="1:8" hidden="1" x14ac:dyDescent="0.25">
      <c r="A124" s="211"/>
      <c r="B124" s="211"/>
      <c r="E124" s="211"/>
      <c r="F124" s="211"/>
      <c r="G124" s="211"/>
      <c r="H124" s="211"/>
    </row>
    <row r="125" spans="1:8" hidden="1" x14ac:dyDescent="0.25">
      <c r="A125" s="211"/>
      <c r="B125" s="211"/>
      <c r="E125" s="211"/>
      <c r="F125" s="211"/>
      <c r="G125" s="211"/>
      <c r="H125" s="211"/>
    </row>
    <row r="126" spans="1:8" hidden="1" x14ac:dyDescent="0.25">
      <c r="A126" s="211"/>
      <c r="B126" s="211"/>
      <c r="E126" s="211"/>
      <c r="F126" s="211"/>
      <c r="G126" s="211"/>
      <c r="H126" s="211"/>
    </row>
    <row r="127" spans="1:8" hidden="1" x14ac:dyDescent="0.25">
      <c r="A127" s="211"/>
      <c r="B127" s="211"/>
      <c r="E127" s="211"/>
      <c r="F127" s="211"/>
      <c r="G127" s="211"/>
      <c r="H127" s="211"/>
    </row>
    <row r="128" spans="1:8" hidden="1" x14ac:dyDescent="0.25">
      <c r="A128" s="211"/>
      <c r="B128" s="211"/>
      <c r="E128" s="211"/>
      <c r="F128" s="211"/>
      <c r="G128" s="211"/>
      <c r="H128" s="211"/>
    </row>
    <row r="129" spans="1:8" hidden="1" x14ac:dyDescent="0.25">
      <c r="A129" s="211"/>
      <c r="B129" s="211"/>
      <c r="E129" s="211"/>
      <c r="F129" s="211"/>
      <c r="G129" s="211"/>
      <c r="H129" s="211"/>
    </row>
    <row r="130" spans="1:8" hidden="1" x14ac:dyDescent="0.25">
      <c r="A130" s="211"/>
      <c r="B130" s="211"/>
      <c r="E130" s="211"/>
      <c r="F130" s="211"/>
      <c r="G130" s="211"/>
      <c r="H130" s="211"/>
    </row>
    <row r="131" spans="1:8" hidden="1" x14ac:dyDescent="0.25">
      <c r="A131" s="211"/>
      <c r="B131" s="211"/>
      <c r="E131" s="211"/>
      <c r="F131" s="211"/>
      <c r="G131" s="211"/>
      <c r="H131" s="211"/>
    </row>
    <row r="132" spans="1:8" x14ac:dyDescent="0.25">
      <c r="A132" s="211"/>
      <c r="B132" s="211"/>
      <c r="E132" s="211"/>
      <c r="F132" s="211"/>
      <c r="G132" s="211"/>
      <c r="H132" s="211"/>
    </row>
    <row r="133" spans="1:8" x14ac:dyDescent="0.25">
      <c r="A133" s="211"/>
      <c r="B133" s="211"/>
      <c r="E133" s="211"/>
      <c r="F133" s="211"/>
      <c r="G133" s="211"/>
      <c r="H133" s="211"/>
    </row>
    <row r="134" spans="1:8" x14ac:dyDescent="0.25">
      <c r="A134" s="211"/>
      <c r="B134" s="211"/>
      <c r="E134" s="211"/>
      <c r="F134" s="211"/>
      <c r="G134" s="211"/>
      <c r="H134" s="211"/>
    </row>
    <row r="135" spans="1:8" x14ac:dyDescent="0.25">
      <c r="A135" s="211"/>
      <c r="B135" s="211"/>
      <c r="E135" s="211"/>
      <c r="F135" s="211"/>
      <c r="G135" s="211"/>
      <c r="H135" s="211"/>
    </row>
    <row r="136" spans="1:8" x14ac:dyDescent="0.25">
      <c r="A136" s="211"/>
      <c r="B136" s="211"/>
      <c r="E136" s="211"/>
      <c r="F136" s="211"/>
      <c r="G136" s="211"/>
      <c r="H136" s="211"/>
    </row>
    <row r="137" spans="1:8" x14ac:dyDescent="0.25">
      <c r="A137" s="211"/>
      <c r="B137" s="211"/>
      <c r="E137" s="211"/>
      <c r="F137" s="211"/>
      <c r="G137" s="211"/>
      <c r="H137" s="211"/>
    </row>
    <row r="138" spans="1:8" x14ac:dyDescent="0.25">
      <c r="A138" s="211"/>
      <c r="B138" s="211"/>
      <c r="E138" s="211"/>
      <c r="F138" s="211"/>
      <c r="G138" s="211"/>
      <c r="H138" s="211"/>
    </row>
    <row r="139" spans="1:8" x14ac:dyDescent="0.25">
      <c r="A139" s="211"/>
      <c r="B139" s="211"/>
      <c r="E139" s="211"/>
      <c r="F139" s="211"/>
      <c r="G139" s="211"/>
      <c r="H139" s="211"/>
    </row>
    <row r="140" spans="1:8" x14ac:dyDescent="0.25">
      <c r="A140" s="211"/>
      <c r="B140" s="211"/>
      <c r="E140" s="211"/>
      <c r="F140" s="211"/>
      <c r="G140" s="211"/>
      <c r="H140" s="211"/>
    </row>
    <row r="141" spans="1:8" x14ac:dyDescent="0.25">
      <c r="A141" s="211"/>
      <c r="B141" s="211"/>
      <c r="E141" s="211"/>
      <c r="F141" s="211"/>
      <c r="G141" s="211"/>
      <c r="H141" s="211"/>
    </row>
    <row r="142" spans="1:8" x14ac:dyDescent="0.25">
      <c r="A142" s="211"/>
      <c r="B142" s="211"/>
      <c r="E142" s="211"/>
      <c r="F142" s="211"/>
      <c r="G142" s="211"/>
      <c r="H142" s="211"/>
    </row>
    <row r="143" spans="1:8" x14ac:dyDescent="0.25">
      <c r="A143" s="211"/>
      <c r="B143" s="211"/>
      <c r="E143" s="211"/>
      <c r="F143" s="211"/>
      <c r="G143" s="211"/>
      <c r="H143" s="211"/>
    </row>
    <row r="144" spans="1:8" x14ac:dyDescent="0.25">
      <c r="A144" s="211"/>
      <c r="B144" s="211"/>
      <c r="E144" s="211"/>
      <c r="F144" s="211"/>
      <c r="G144" s="211"/>
      <c r="H144" s="211"/>
    </row>
    <row r="145" spans="1:8" x14ac:dyDescent="0.25">
      <c r="A145" s="211"/>
      <c r="B145" s="211"/>
      <c r="E145" s="211"/>
      <c r="F145" s="211"/>
      <c r="G145" s="211"/>
      <c r="H145" s="211"/>
    </row>
    <row r="146" spans="1:8" x14ac:dyDescent="0.25">
      <c r="A146" s="211"/>
      <c r="B146" s="211"/>
      <c r="E146" s="211"/>
      <c r="F146" s="211"/>
      <c r="G146" s="211"/>
      <c r="H146" s="211"/>
    </row>
    <row r="147" spans="1:8" x14ac:dyDescent="0.25">
      <c r="A147" s="211"/>
      <c r="B147" s="211"/>
      <c r="E147" s="211"/>
      <c r="F147" s="211"/>
      <c r="G147" s="211"/>
      <c r="H147" s="211"/>
    </row>
    <row r="148" spans="1:8" x14ac:dyDescent="0.25">
      <c r="A148" s="211"/>
      <c r="B148" s="211"/>
      <c r="E148" s="211"/>
      <c r="F148" s="211"/>
      <c r="G148" s="211"/>
      <c r="H148" s="211"/>
    </row>
    <row r="149" spans="1:8" x14ac:dyDescent="0.25">
      <c r="A149" s="211"/>
      <c r="B149" s="211"/>
      <c r="E149" s="211"/>
      <c r="F149" s="211"/>
      <c r="G149" s="211"/>
      <c r="H149" s="211"/>
    </row>
    <row r="150" spans="1:8" x14ac:dyDescent="0.25">
      <c r="A150" s="211"/>
      <c r="B150" s="211"/>
      <c r="E150" s="211"/>
      <c r="F150" s="211"/>
      <c r="G150" s="211"/>
      <c r="H150" s="211"/>
    </row>
    <row r="151" spans="1:8" x14ac:dyDescent="0.25">
      <c r="A151" s="211"/>
      <c r="B151" s="211"/>
      <c r="E151" s="211"/>
      <c r="F151" s="211"/>
      <c r="G151" s="211"/>
      <c r="H151" s="211"/>
    </row>
    <row r="152" spans="1:8" x14ac:dyDescent="0.25">
      <c r="A152" s="211"/>
      <c r="B152" s="211"/>
      <c r="E152" s="211"/>
      <c r="F152" s="211"/>
      <c r="G152" s="211"/>
      <c r="H152" s="211"/>
    </row>
    <row r="153" spans="1:8" x14ac:dyDescent="0.25">
      <c r="A153" s="211"/>
      <c r="B153" s="211"/>
      <c r="E153" s="211"/>
      <c r="F153" s="211"/>
      <c r="G153" s="211"/>
      <c r="H153" s="211"/>
    </row>
    <row r="154" spans="1:8" x14ac:dyDescent="0.25">
      <c r="A154" s="211"/>
      <c r="B154" s="211"/>
      <c r="E154" s="211"/>
      <c r="F154" s="211"/>
      <c r="G154" s="211"/>
      <c r="H154" s="211"/>
    </row>
    <row r="155" spans="1:8" x14ac:dyDescent="0.25">
      <c r="A155" s="211"/>
      <c r="B155" s="211"/>
      <c r="E155" s="211"/>
      <c r="F155" s="211"/>
      <c r="G155" s="211"/>
      <c r="H155" s="211"/>
    </row>
    <row r="156" spans="1:8" x14ac:dyDescent="0.25">
      <c r="A156" s="211"/>
      <c r="B156" s="211"/>
      <c r="E156" s="211"/>
      <c r="F156" s="211"/>
      <c r="G156" s="211"/>
      <c r="H156" s="211"/>
    </row>
    <row r="157" spans="1:8" x14ac:dyDescent="0.25">
      <c r="A157" s="211"/>
      <c r="B157" s="211"/>
      <c r="E157" s="211"/>
      <c r="F157" s="211"/>
      <c r="G157" s="211"/>
      <c r="H157" s="211"/>
    </row>
    <row r="158" spans="1:8" x14ac:dyDescent="0.25">
      <c r="A158" s="211"/>
      <c r="B158" s="211"/>
      <c r="E158" s="211"/>
      <c r="F158" s="211"/>
      <c r="G158" s="211"/>
      <c r="H158" s="211"/>
    </row>
    <row r="159" spans="1:8" x14ac:dyDescent="0.25">
      <c r="A159" s="211"/>
      <c r="B159" s="211"/>
      <c r="E159" s="211"/>
      <c r="F159" s="211"/>
      <c r="G159" s="211"/>
      <c r="H159" s="211"/>
    </row>
    <row r="160" spans="1:8" x14ac:dyDescent="0.25">
      <c r="A160" s="211"/>
      <c r="B160" s="211"/>
      <c r="E160" s="211"/>
      <c r="F160" s="211"/>
      <c r="G160" s="211"/>
      <c r="H160" s="211"/>
    </row>
    <row r="161" spans="1:8" x14ac:dyDescent="0.25">
      <c r="A161" s="211"/>
      <c r="B161" s="211"/>
      <c r="E161" s="211"/>
      <c r="F161" s="211"/>
      <c r="G161" s="211"/>
      <c r="H161" s="211"/>
    </row>
    <row r="162" spans="1:8" x14ac:dyDescent="0.25">
      <c r="A162" s="211"/>
      <c r="B162" s="211"/>
      <c r="E162" s="211"/>
      <c r="F162" s="211"/>
      <c r="G162" s="211"/>
      <c r="H162" s="211"/>
    </row>
    <row r="163" spans="1:8" x14ac:dyDescent="0.25"/>
    <row r="164" spans="1:8" x14ac:dyDescent="0.25"/>
    <row r="165" spans="1:8" x14ac:dyDescent="0.25"/>
    <row r="166" spans="1:8" x14ac:dyDescent="0.25"/>
    <row r="167" spans="1:8" x14ac:dyDescent="0.25"/>
    <row r="168" spans="1:8" x14ac:dyDescent="0.25"/>
    <row r="169" spans="1:8" x14ac:dyDescent="0.25"/>
    <row r="170" spans="1:8" x14ac:dyDescent="0.25"/>
    <row r="171" spans="1:8" x14ac:dyDescent="0.25"/>
    <row r="172" spans="1:8" x14ac:dyDescent="0.25"/>
    <row r="173" spans="1:8" x14ac:dyDescent="0.25"/>
    <row r="174" spans="1:8" x14ac:dyDescent="0.25"/>
    <row r="175" spans="1:8" x14ac:dyDescent="0.25"/>
    <row r="176" spans="1:8"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sheetData>
  <mergeCells count="70">
    <mergeCell ref="A56:D56"/>
    <mergeCell ref="A57:D57"/>
    <mergeCell ref="A58:D58"/>
    <mergeCell ref="A50:D50"/>
    <mergeCell ref="A51:D51"/>
    <mergeCell ref="A52:D52"/>
    <mergeCell ref="A53:D53"/>
    <mergeCell ref="A54:D54"/>
    <mergeCell ref="A55:D55"/>
    <mergeCell ref="A41:C41"/>
    <mergeCell ref="A42:C42"/>
    <mergeCell ref="E42:G47"/>
    <mergeCell ref="A43:C43"/>
    <mergeCell ref="A44:C44"/>
    <mergeCell ref="A45:C45"/>
    <mergeCell ref="A46:C46"/>
    <mergeCell ref="A47:C47"/>
    <mergeCell ref="A40:C40"/>
    <mergeCell ref="A32:C32"/>
    <mergeCell ref="E32:G32"/>
    <mergeCell ref="A33:C33"/>
    <mergeCell ref="E33:G33"/>
    <mergeCell ref="A34:C34"/>
    <mergeCell ref="E34:G34"/>
    <mergeCell ref="A35:C35"/>
    <mergeCell ref="A36:C36"/>
    <mergeCell ref="A37:C37"/>
    <mergeCell ref="A38:C38"/>
    <mergeCell ref="A39:C39"/>
    <mergeCell ref="E31:G31"/>
    <mergeCell ref="A23:C23"/>
    <mergeCell ref="A24:C24"/>
    <mergeCell ref="E24:H24"/>
    <mergeCell ref="A25:C25"/>
    <mergeCell ref="A26:C26"/>
    <mergeCell ref="E26:G26"/>
    <mergeCell ref="A27:C27"/>
    <mergeCell ref="A28:C28"/>
    <mergeCell ref="A29:C29"/>
    <mergeCell ref="A30:C30"/>
    <mergeCell ref="A31:C31"/>
    <mergeCell ref="E22:G22"/>
    <mergeCell ref="E14:G14"/>
    <mergeCell ref="A15:C15"/>
    <mergeCell ref="E15:G15"/>
    <mergeCell ref="A16:C16"/>
    <mergeCell ref="E16:G16"/>
    <mergeCell ref="A17:C17"/>
    <mergeCell ref="E17:G17"/>
    <mergeCell ref="A14:C14"/>
    <mergeCell ref="A18:C18"/>
    <mergeCell ref="E18:G18"/>
    <mergeCell ref="A19:C19"/>
    <mergeCell ref="A20:C20"/>
    <mergeCell ref="A21:C21"/>
    <mergeCell ref="A10:C10"/>
    <mergeCell ref="A11:C11"/>
    <mergeCell ref="A12:C12"/>
    <mergeCell ref="A13:C13"/>
    <mergeCell ref="A22:C22"/>
    <mergeCell ref="A6:C6"/>
    <mergeCell ref="A7:C7"/>
    <mergeCell ref="E7:F8"/>
    <mergeCell ref="A8:C8"/>
    <mergeCell ref="A9:C9"/>
    <mergeCell ref="A4:D4"/>
    <mergeCell ref="D1:D3"/>
    <mergeCell ref="A1:C3"/>
    <mergeCell ref="A5:C5"/>
    <mergeCell ref="E5:G5"/>
  </mergeCells>
  <dataValidations count="5">
    <dataValidation type="list" allowBlank="1" showInputMessage="1" showErrorMessage="1" sqref="D36:D40 D7:D8 D19:D34 D13:D16" xr:uid="{00000000-0002-0000-3400-000000000000}">
      <formula1>"Yes, No"</formula1>
    </dataValidation>
    <dataValidation type="list" allowBlank="1" showInputMessage="1" showErrorMessage="1" sqref="D18" xr:uid="{00000000-0002-0000-3400-000001000000}">
      <formula1>"NA, 5%,10%,15%,20%"</formula1>
    </dataValidation>
    <dataValidation type="list" allowBlank="1" showInputMessage="1" showErrorMessage="1" sqref="D11" xr:uid="{00000000-0002-0000-3400-000002000000}">
      <formula1>"First and exclusive, Pari Passu, Second Charge, Sub servient Charge, NA"</formula1>
    </dataValidation>
    <dataValidation type="list" allowBlank="1" showInputMessage="1" showErrorMessage="1" sqref="D42:D47" xr:uid="{00000000-0002-0000-3400-000003000000}">
      <formula1>"Special Condition"</formula1>
    </dataValidation>
    <dataValidation type="list" allowBlank="1" showInputMessage="1" showErrorMessage="1" sqref="D10" xr:uid="{00000000-0002-0000-3400-000004000000}">
      <formula1>"Yes"</formula1>
    </dataValidation>
  </dataValidations>
  <pageMargins left="0.7" right="0.7" top="0.75" bottom="0.75" header="0.3" footer="0.3"/>
  <pageSetup paperSize="9" scale="55"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3">
    <pageSetUpPr fitToPage="1"/>
  </sheetPr>
  <dimension ref="A1:XFD147"/>
  <sheetViews>
    <sheetView zoomScale="80" zoomScaleNormal="80" workbookViewId="0">
      <selection sqref="A1:F2"/>
    </sheetView>
  </sheetViews>
  <sheetFormatPr defaultColWidth="0" defaultRowHeight="12.75" customHeight="1" zeroHeight="1" x14ac:dyDescent="0.25"/>
  <cols>
    <col min="1" max="1" width="45.5703125" style="212" customWidth="1"/>
    <col min="2" max="2" width="33.7109375" style="212" customWidth="1"/>
    <col min="3" max="3" width="40.28515625" style="211" customWidth="1"/>
    <col min="4" max="4" width="30.28515625" style="211" customWidth="1"/>
    <col min="5" max="5" width="32.7109375" style="211" customWidth="1"/>
    <col min="6" max="7" width="0" style="212" hidden="1" customWidth="1"/>
    <col min="8" max="16382" width="0" style="212" hidden="1"/>
    <col min="16383" max="16383" width="8.7109375" style="212" hidden="1" customWidth="1"/>
    <col min="16384" max="16384" width="19" style="225" customWidth="1"/>
  </cols>
  <sheetData>
    <row r="1" spans="1:8 16384:16384" ht="15" customHeight="1" x14ac:dyDescent="0.25">
      <c r="A1" s="2868" t="str">
        <f>'Borrower Details'!A2</f>
        <v>Mortgage-Magnus-Unsecured</v>
      </c>
      <c r="B1" s="2869" t="s">
        <v>3</v>
      </c>
      <c r="C1" s="2869"/>
      <c r="D1" s="2869"/>
      <c r="E1" s="2870" t="s">
        <v>1454</v>
      </c>
      <c r="F1" s="211"/>
      <c r="G1" s="211"/>
      <c r="H1" s="211"/>
      <c r="XFD1" s="224"/>
    </row>
    <row r="2" spans="1:8 16384:16384" ht="15" customHeight="1" x14ac:dyDescent="0.25">
      <c r="A2" s="2868"/>
      <c r="B2" s="2869"/>
      <c r="C2" s="2869"/>
      <c r="D2" s="2869"/>
      <c r="E2" s="2870"/>
      <c r="F2" s="211"/>
      <c r="G2" s="211"/>
      <c r="H2" s="211"/>
      <c r="XFD2" s="224"/>
    </row>
    <row r="3" spans="1:8 16384:16384" ht="15.75" customHeight="1" x14ac:dyDescent="0.25">
      <c r="A3" s="2868"/>
      <c r="B3" s="2869"/>
      <c r="C3" s="2869"/>
      <c r="D3" s="2869"/>
      <c r="E3" s="2870"/>
      <c r="F3" s="211"/>
      <c r="G3" s="211"/>
      <c r="H3" s="211"/>
      <c r="XFD3" s="224"/>
    </row>
    <row r="4" spans="1:8 16384:16384" ht="15.75" customHeight="1" x14ac:dyDescent="0.25">
      <c r="A4" s="2872" t="s">
        <v>2504</v>
      </c>
      <c r="B4" s="2873"/>
      <c r="C4" s="2873"/>
      <c r="D4" s="2874"/>
      <c r="E4" s="436"/>
      <c r="F4" s="211"/>
      <c r="G4" s="211"/>
      <c r="H4" s="211"/>
      <c r="XFD4" s="224"/>
    </row>
    <row r="5" spans="1:8 16384:16384" ht="15.75" customHeight="1" x14ac:dyDescent="0.25">
      <c r="A5" s="1296" t="s">
        <v>1091</v>
      </c>
      <c r="B5" s="2871" t="str">
        <f>'Borrower Details'!B8</f>
        <v>AARBUR</v>
      </c>
      <c r="C5" s="2871"/>
      <c r="D5" s="2871"/>
      <c r="E5" s="226"/>
      <c r="F5" s="211"/>
      <c r="G5" s="211"/>
      <c r="H5" s="211"/>
      <c r="XFD5" s="224"/>
    </row>
    <row r="6" spans="1:8 16384:16384" ht="22.5" customHeight="1" x14ac:dyDescent="0.25">
      <c r="A6" s="2865" t="s">
        <v>1455</v>
      </c>
      <c r="B6" s="2865"/>
      <c r="C6" s="2865"/>
      <c r="D6" s="2865"/>
      <c r="F6" s="211"/>
      <c r="G6" s="211"/>
      <c r="H6" s="211"/>
      <c r="XFD6" s="224"/>
    </row>
    <row r="7" spans="1:8 16384:16384" ht="22.5" customHeight="1" x14ac:dyDescent="0.25">
      <c r="A7" s="928" t="s">
        <v>1456</v>
      </c>
      <c r="B7" s="227"/>
      <c r="C7" s="928" t="s">
        <v>1457</v>
      </c>
      <c r="D7" s="227"/>
      <c r="F7" s="211"/>
      <c r="G7" s="211"/>
      <c r="H7" s="211"/>
      <c r="XFD7" s="224"/>
    </row>
    <row r="8" spans="1:8 16384:16384" ht="22.5" customHeight="1" x14ac:dyDescent="0.25">
      <c r="A8" s="928" t="s">
        <v>1458</v>
      </c>
      <c r="B8" s="228"/>
      <c r="C8" s="928" t="s">
        <v>1459</v>
      </c>
      <c r="D8" s="227"/>
      <c r="E8" s="2846" t="s">
        <v>1460</v>
      </c>
      <c r="F8" s="211"/>
      <c r="G8" s="211"/>
      <c r="H8" s="211"/>
      <c r="XFD8" s="224"/>
    </row>
    <row r="9" spans="1:8 16384:16384" ht="22.5" customHeight="1" x14ac:dyDescent="0.25">
      <c r="A9" s="928" t="s">
        <v>498</v>
      </c>
      <c r="B9" s="223"/>
      <c r="C9" s="928" t="s">
        <v>1461</v>
      </c>
      <c r="D9" s="229"/>
      <c r="E9" s="2846"/>
      <c r="F9" s="211"/>
      <c r="G9" s="211"/>
      <c r="H9" s="211"/>
      <c r="XFD9" s="224"/>
    </row>
    <row r="10" spans="1:8 16384:16384" ht="22.5" customHeight="1" x14ac:dyDescent="0.25">
      <c r="A10" s="928" t="s">
        <v>25</v>
      </c>
      <c r="B10" s="227"/>
      <c r="C10" s="928" t="s">
        <v>1462</v>
      </c>
      <c r="D10" s="227"/>
      <c r="E10" s="2846"/>
      <c r="F10" s="211"/>
      <c r="G10" s="211"/>
      <c r="H10" s="211"/>
      <c r="XFD10" s="224"/>
    </row>
    <row r="11" spans="1:8 16384:16384" ht="22.5" customHeight="1" x14ac:dyDescent="0.25">
      <c r="A11" s="928" t="s">
        <v>1463</v>
      </c>
      <c r="B11" s="227"/>
      <c r="C11" s="928" t="s">
        <v>1464</v>
      </c>
      <c r="D11" s="227"/>
      <c r="E11" s="2876" t="s">
        <v>1465</v>
      </c>
      <c r="F11" s="211"/>
      <c r="G11" s="211"/>
      <c r="H11" s="211"/>
      <c r="XFD11" s="224"/>
    </row>
    <row r="12" spans="1:8 16384:16384" ht="22.5" customHeight="1" x14ac:dyDescent="0.25">
      <c r="A12" s="928" t="s">
        <v>1466</v>
      </c>
      <c r="B12" s="223"/>
      <c r="C12" s="928" t="s">
        <v>1467</v>
      </c>
      <c r="D12" s="227"/>
      <c r="E12" s="2876"/>
      <c r="F12" s="211"/>
      <c r="G12" s="211"/>
      <c r="H12" s="211"/>
      <c r="XFD12" s="224"/>
    </row>
    <row r="13" spans="1:8 16384:16384" ht="22.5" customHeight="1" x14ac:dyDescent="0.25">
      <c r="A13" s="2865" t="s">
        <v>1369</v>
      </c>
      <c r="B13" s="2865"/>
      <c r="C13" s="2865"/>
      <c r="D13" s="2865"/>
      <c r="E13" s="224"/>
      <c r="F13" s="211"/>
      <c r="G13" s="211"/>
      <c r="H13" s="211"/>
      <c r="XFD13" s="224"/>
    </row>
    <row r="14" spans="1:8 16384:16384" ht="22.5" customHeight="1" x14ac:dyDescent="0.25">
      <c r="A14" s="1297" t="s">
        <v>1468</v>
      </c>
      <c r="B14" s="1298" t="s">
        <v>1469</v>
      </c>
      <c r="C14" s="1298" t="s">
        <v>1470</v>
      </c>
      <c r="D14" s="1298" t="s">
        <v>1471</v>
      </c>
      <c r="F14" s="211"/>
      <c r="G14" s="211"/>
      <c r="H14" s="211"/>
      <c r="XFD14" s="224"/>
    </row>
    <row r="15" spans="1:8 16384:16384" ht="22.5" customHeight="1" x14ac:dyDescent="0.25">
      <c r="A15" s="928" t="s">
        <v>16</v>
      </c>
      <c r="B15" s="1301">
        <f>Financials_Consolidated!C74</f>
        <v>1.5171087651821129</v>
      </c>
      <c r="C15" s="1299" t="s">
        <v>1472</v>
      </c>
      <c r="D15" s="227" t="s">
        <v>1545</v>
      </c>
      <c r="E15" s="2877" t="s">
        <v>1473</v>
      </c>
      <c r="F15" s="211"/>
      <c r="G15" s="211"/>
      <c r="H15" s="211"/>
      <c r="XFD15" s="224"/>
    </row>
    <row r="16" spans="1:8 16384:16384" ht="22.5" customHeight="1" x14ac:dyDescent="0.25">
      <c r="A16" s="928" t="s">
        <v>17</v>
      </c>
      <c r="B16" s="1301">
        <f>Financials_Consolidated!C75</f>
        <v>3.5458095980023194</v>
      </c>
      <c r="C16" s="1299" t="s">
        <v>1474</v>
      </c>
      <c r="D16" s="227" t="s">
        <v>1545</v>
      </c>
      <c r="E16" s="2877"/>
      <c r="F16" s="211"/>
      <c r="G16" s="211"/>
      <c r="H16" s="211"/>
      <c r="XFD16" s="224"/>
    </row>
    <row r="17" spans="1:8 16384:16384" ht="22.5" customHeight="1" x14ac:dyDescent="0.25">
      <c r="A17" s="928" t="s">
        <v>19</v>
      </c>
      <c r="B17" s="1301">
        <f>Financials_Consolidated!C76</f>
        <v>1.5171087651821129</v>
      </c>
      <c r="C17" s="1299" t="s">
        <v>1474</v>
      </c>
      <c r="D17" s="227" t="s">
        <v>1545</v>
      </c>
      <c r="E17" s="2877"/>
      <c r="F17" s="211"/>
      <c r="G17" s="211"/>
      <c r="H17" s="211"/>
      <c r="XFD17" s="224"/>
    </row>
    <row r="18" spans="1:8 16384:16384" ht="22.5" customHeight="1" x14ac:dyDescent="0.25">
      <c r="A18" s="928" t="s">
        <v>1475</v>
      </c>
      <c r="B18" s="230"/>
      <c r="C18" s="1299" t="s">
        <v>1476</v>
      </c>
      <c r="D18" s="227"/>
      <c r="E18" s="2877"/>
      <c r="F18" s="211"/>
      <c r="G18" s="211"/>
      <c r="H18" s="211"/>
      <c r="XFD18" s="224"/>
    </row>
    <row r="19" spans="1:8 16384:16384" ht="22.5" customHeight="1" x14ac:dyDescent="0.25">
      <c r="A19" s="928" t="s">
        <v>1477</v>
      </c>
      <c r="B19" s="230"/>
      <c r="C19" s="1300">
        <v>0.8</v>
      </c>
      <c r="D19" s="227"/>
      <c r="E19" s="2877"/>
      <c r="F19" s="211"/>
      <c r="G19" s="211"/>
      <c r="H19" s="211"/>
      <c r="XFD19" s="224"/>
    </row>
    <row r="20" spans="1:8 16384:16384" ht="22.5" customHeight="1" x14ac:dyDescent="0.25">
      <c r="A20" s="928" t="s">
        <v>697</v>
      </c>
      <c r="B20" s="1302">
        <f>Financials_Consolidated!C11</f>
        <v>67905203.25</v>
      </c>
      <c r="C20" s="1300" t="s">
        <v>1478</v>
      </c>
      <c r="D20" s="227" t="s">
        <v>1545</v>
      </c>
      <c r="E20" s="2877"/>
      <c r="F20" s="211"/>
      <c r="G20" s="211"/>
      <c r="H20" s="211"/>
      <c r="XFD20" s="224"/>
    </row>
    <row r="21" spans="1:8 16384:16384" ht="22.5" customHeight="1" x14ac:dyDescent="0.25">
      <c r="A21" s="928" t="s">
        <v>1479</v>
      </c>
      <c r="B21" s="231"/>
      <c r="C21" s="1299" t="s">
        <v>1480</v>
      </c>
      <c r="D21" s="227"/>
      <c r="E21" s="2877"/>
      <c r="F21" s="211"/>
      <c r="G21" s="211"/>
      <c r="H21" s="211"/>
      <c r="XFD21" s="224"/>
    </row>
    <row r="22" spans="1:8 16384:16384" ht="22.5" customHeight="1" x14ac:dyDescent="0.25">
      <c r="A22" s="928" t="s">
        <v>1481</v>
      </c>
      <c r="B22" s="1302" t="str">
        <f ca="1">'Business Profile'!G9</f>
        <v>34 Years</v>
      </c>
      <c r="C22" s="1299" t="s">
        <v>1482</v>
      </c>
      <c r="D22" s="227" t="s">
        <v>1340</v>
      </c>
      <c r="E22" s="2877"/>
      <c r="F22" s="211"/>
      <c r="G22" s="211"/>
      <c r="H22" s="211"/>
      <c r="XFD22" s="224"/>
    </row>
    <row r="23" spans="1:8 16384:16384" ht="22.5" customHeight="1" x14ac:dyDescent="0.25">
      <c r="A23" s="928" t="s">
        <v>1483</v>
      </c>
      <c r="B23" s="231"/>
      <c r="C23" s="1299" t="s">
        <v>1482</v>
      </c>
      <c r="D23" s="227"/>
      <c r="E23" s="2877"/>
      <c r="F23" s="211"/>
      <c r="G23" s="211"/>
      <c r="H23" s="211"/>
      <c r="XFD23" s="224"/>
    </row>
    <row r="24" spans="1:8 16384:16384" ht="22.5" customHeight="1" x14ac:dyDescent="0.25">
      <c r="A24" s="928" t="s">
        <v>1484</v>
      </c>
      <c r="B24" s="232"/>
      <c r="C24" s="1299" t="s">
        <v>1485</v>
      </c>
      <c r="D24" s="227"/>
      <c r="E24" s="2877"/>
      <c r="F24" s="211"/>
      <c r="G24" s="211"/>
      <c r="H24" s="211"/>
      <c r="XFD24" s="224"/>
    </row>
    <row r="25" spans="1:8 16384:16384" ht="212.25" customHeight="1" x14ac:dyDescent="0.25">
      <c r="A25" s="928" t="s">
        <v>1486</v>
      </c>
      <c r="B25" s="2875"/>
      <c r="C25" s="2875"/>
      <c r="D25" s="2875"/>
      <c r="E25" s="2877"/>
      <c r="F25" s="211"/>
      <c r="G25" s="211"/>
      <c r="H25" s="211"/>
      <c r="XFD25" s="224"/>
    </row>
    <row r="26" spans="1:8 16384:16384" ht="22.5" customHeight="1" x14ac:dyDescent="0.25">
      <c r="A26" s="2878" t="s">
        <v>1487</v>
      </c>
      <c r="B26" s="2878"/>
      <c r="C26" s="2878"/>
      <c r="D26" s="2878"/>
      <c r="F26" s="211"/>
      <c r="G26" s="211"/>
      <c r="H26" s="211"/>
      <c r="XFD26" s="224"/>
    </row>
    <row r="27" spans="1:8 16384:16384" ht="22.5" customHeight="1" x14ac:dyDescent="0.25">
      <c r="A27" s="2875"/>
      <c r="B27" s="2875"/>
      <c r="C27" s="2875"/>
      <c r="D27" s="2875"/>
      <c r="F27" s="211"/>
      <c r="G27" s="211"/>
      <c r="H27" s="211"/>
      <c r="XFD27" s="224"/>
    </row>
    <row r="28" spans="1:8 16384:16384" ht="101.25" customHeight="1" x14ac:dyDescent="0.25">
      <c r="A28" s="2875"/>
      <c r="B28" s="2875"/>
      <c r="C28" s="2875"/>
      <c r="D28" s="2875"/>
      <c r="F28" s="211"/>
      <c r="G28" s="211"/>
      <c r="H28" s="211"/>
      <c r="XFD28" s="224"/>
    </row>
    <row r="29" spans="1:8 16384:16384" ht="234.75" customHeight="1" x14ac:dyDescent="0.25">
      <c r="A29" s="2875"/>
      <c r="B29" s="2875"/>
      <c r="C29" s="2875"/>
      <c r="D29" s="2875"/>
      <c r="F29" s="211"/>
      <c r="G29" s="211"/>
      <c r="H29" s="211"/>
      <c r="XFD29" s="224"/>
    </row>
    <row r="30" spans="1:8 16384:16384" ht="22.5" customHeight="1" x14ac:dyDescent="0.25">
      <c r="A30" s="2875" t="s">
        <v>1488</v>
      </c>
      <c r="B30" s="2875"/>
      <c r="C30" s="2875"/>
      <c r="D30" s="2875"/>
      <c r="F30" s="211"/>
      <c r="G30" s="211"/>
      <c r="H30" s="211"/>
      <c r="XFD30" s="224"/>
    </row>
    <row r="31" spans="1:8 16384:16384" ht="22.5" customHeight="1" x14ac:dyDescent="0.25">
      <c r="A31" s="2875" t="s">
        <v>1489</v>
      </c>
      <c r="B31" s="2875"/>
      <c r="C31" s="2875"/>
      <c r="D31" s="2875"/>
      <c r="F31" s="211"/>
      <c r="G31" s="211"/>
      <c r="H31" s="211"/>
      <c r="XFD31" s="224"/>
    </row>
    <row r="32" spans="1:8 16384:16384" ht="22.5" customHeight="1" x14ac:dyDescent="0.25">
      <c r="A32" s="2875" t="s">
        <v>1490</v>
      </c>
      <c r="B32" s="2875"/>
      <c r="C32" s="2875"/>
      <c r="D32" s="2875"/>
      <c r="F32" s="211"/>
      <c r="G32" s="211"/>
      <c r="H32" s="211"/>
      <c r="XFD32" s="224"/>
    </row>
    <row r="33" spans="1:8 16384:16384" ht="22.5" customHeight="1" x14ac:dyDescent="0.25">
      <c r="A33" s="2875" t="s">
        <v>1491</v>
      </c>
      <c r="B33" s="2875"/>
      <c r="C33" s="2875"/>
      <c r="D33" s="2875"/>
      <c r="F33" s="211"/>
      <c r="G33" s="211"/>
      <c r="H33" s="211"/>
      <c r="XFD33" s="224"/>
    </row>
    <row r="34" spans="1:8 16384:16384" ht="22.5" customHeight="1" x14ac:dyDescent="0.25">
      <c r="A34" s="2875" t="s">
        <v>1492</v>
      </c>
      <c r="B34" s="2875"/>
      <c r="C34" s="2875"/>
      <c r="D34" s="2875"/>
      <c r="F34" s="211"/>
      <c r="G34" s="211"/>
      <c r="H34" s="211"/>
      <c r="XFD34" s="224"/>
    </row>
    <row r="35" spans="1:8 16384:16384" ht="22.5" customHeight="1" x14ac:dyDescent="0.25">
      <c r="A35" s="2875" t="s">
        <v>1493</v>
      </c>
      <c r="B35" s="2875"/>
      <c r="C35" s="2875"/>
      <c r="D35" s="2875"/>
      <c r="F35" s="211"/>
      <c r="G35" s="211"/>
      <c r="H35" s="211"/>
      <c r="XFD35" s="224"/>
    </row>
    <row r="36" spans="1:8 16384:16384" ht="22.5" customHeight="1" x14ac:dyDescent="0.25">
      <c r="A36" s="2875" t="s">
        <v>1494</v>
      </c>
      <c r="B36" s="2875"/>
      <c r="C36" s="2875"/>
      <c r="D36" s="2875"/>
      <c r="F36" s="211"/>
      <c r="G36" s="211"/>
      <c r="H36" s="211"/>
      <c r="XFD36" s="224"/>
    </row>
    <row r="37" spans="1:8 16384:16384" ht="22.5" customHeight="1" x14ac:dyDescent="0.25">
      <c r="A37" s="2865" t="s">
        <v>1495</v>
      </c>
      <c r="B37" s="2865"/>
      <c r="C37" s="2865"/>
      <c r="D37" s="2865"/>
      <c r="F37" s="211"/>
      <c r="G37" s="211"/>
      <c r="H37" s="211"/>
      <c r="XFD37" s="224"/>
    </row>
    <row r="38" spans="1:8 16384:16384" ht="22.5" customHeight="1" x14ac:dyDescent="0.25">
      <c r="A38" s="2875" t="s">
        <v>1496</v>
      </c>
      <c r="B38" s="2875"/>
      <c r="C38" s="2875"/>
      <c r="D38" s="2875"/>
      <c r="F38" s="211"/>
      <c r="G38" s="211"/>
      <c r="H38" s="211"/>
      <c r="XFD38" s="224"/>
    </row>
    <row r="39" spans="1:8 16384:16384" ht="22.5" customHeight="1" x14ac:dyDescent="0.25">
      <c r="A39" s="2875" t="s">
        <v>1497</v>
      </c>
      <c r="B39" s="2875"/>
      <c r="C39" s="2875"/>
      <c r="D39" s="2875"/>
      <c r="F39" s="211"/>
      <c r="G39" s="211"/>
      <c r="H39" s="211"/>
      <c r="XFD39" s="224"/>
    </row>
    <row r="40" spans="1:8 16384:16384" ht="22.5" customHeight="1" x14ac:dyDescent="0.25">
      <c r="A40" s="2875" t="s">
        <v>1498</v>
      </c>
      <c r="B40" s="2875"/>
      <c r="C40" s="2875"/>
      <c r="D40" s="2875"/>
      <c r="F40" s="211"/>
      <c r="G40" s="211"/>
      <c r="H40" s="211"/>
      <c r="XFD40" s="224"/>
    </row>
    <row r="41" spans="1:8 16384:16384" ht="22.5" customHeight="1" x14ac:dyDescent="0.25">
      <c r="A41" s="2875" t="s">
        <v>1488</v>
      </c>
      <c r="B41" s="2875"/>
      <c r="C41" s="2875"/>
      <c r="D41" s="2875"/>
      <c r="F41" s="211"/>
      <c r="G41" s="211"/>
      <c r="H41" s="211"/>
      <c r="XFD41" s="224"/>
    </row>
    <row r="42" spans="1:8 16384:16384" ht="22.5" customHeight="1" x14ac:dyDescent="0.25">
      <c r="A42" s="2875" t="s">
        <v>1489</v>
      </c>
      <c r="B42" s="2875"/>
      <c r="C42" s="2875"/>
      <c r="D42" s="2875"/>
      <c r="F42" s="211"/>
      <c r="G42" s="211"/>
      <c r="H42" s="211"/>
      <c r="XFD42" s="224"/>
    </row>
    <row r="43" spans="1:8 16384:16384" ht="22.5" customHeight="1" x14ac:dyDescent="0.25">
      <c r="A43" s="2875" t="s">
        <v>1490</v>
      </c>
      <c r="B43" s="2875"/>
      <c r="C43" s="2875"/>
      <c r="D43" s="2875"/>
      <c r="F43" s="211"/>
      <c r="G43" s="211"/>
      <c r="H43" s="211"/>
      <c r="XFD43" s="224"/>
    </row>
    <row r="44" spans="1:8 16384:16384" ht="22.5" customHeight="1" x14ac:dyDescent="0.25">
      <c r="A44" s="928" t="s">
        <v>1499</v>
      </c>
      <c r="B44" s="222"/>
      <c r="C44" s="928" t="s">
        <v>1500</v>
      </c>
      <c r="D44" s="223"/>
      <c r="F44" s="211"/>
      <c r="G44" s="211"/>
      <c r="H44" s="211"/>
      <c r="XFD44" s="224"/>
    </row>
    <row r="45" spans="1:8 16384:16384" ht="22.5" customHeight="1" x14ac:dyDescent="0.25">
      <c r="A45" s="928" t="s">
        <v>1449</v>
      </c>
      <c r="B45" s="222"/>
      <c r="C45" s="928" t="s">
        <v>1453</v>
      </c>
      <c r="D45" s="223"/>
      <c r="F45" s="211"/>
      <c r="G45" s="211"/>
      <c r="H45" s="211"/>
      <c r="XFD45" s="224"/>
    </row>
    <row r="46" spans="1:8 16384:16384" ht="22.5" customHeight="1" x14ac:dyDescent="0.25">
      <c r="A46" s="928" t="s">
        <v>1451</v>
      </c>
      <c r="B46" s="222"/>
      <c r="C46" s="223"/>
      <c r="D46" s="223"/>
      <c r="F46" s="211"/>
      <c r="G46" s="211"/>
      <c r="H46" s="211"/>
      <c r="XFD46" s="224"/>
    </row>
    <row r="47" spans="1:8 16384:16384" ht="15" x14ac:dyDescent="0.25">
      <c r="B47" s="211"/>
      <c r="F47" s="211"/>
      <c r="G47" s="211"/>
      <c r="H47" s="211"/>
      <c r="XFD47" s="224"/>
    </row>
    <row r="48" spans="1:8 16384:16384" ht="15" x14ac:dyDescent="0.25">
      <c r="A48" s="211"/>
      <c r="B48" s="211"/>
      <c r="F48" s="211"/>
      <c r="G48" s="211"/>
      <c r="H48" s="211"/>
      <c r="XFD48" s="224"/>
    </row>
    <row r="49" spans="1:8 16384:16384" ht="15" x14ac:dyDescent="0.25">
      <c r="A49" s="211"/>
      <c r="B49" s="211"/>
      <c r="F49" s="211"/>
      <c r="G49" s="211"/>
      <c r="H49" s="211"/>
      <c r="XFD49" s="224"/>
    </row>
    <row r="50" spans="1:8 16384:16384" ht="15" x14ac:dyDescent="0.25">
      <c r="A50" s="211"/>
      <c r="B50" s="211"/>
      <c r="F50" s="211"/>
      <c r="G50" s="211"/>
      <c r="H50" s="211"/>
      <c r="XFD50" s="224"/>
    </row>
    <row r="51" spans="1:8 16384:16384" ht="15" x14ac:dyDescent="0.25">
      <c r="A51" s="211"/>
      <c r="B51" s="211"/>
      <c r="F51" s="211"/>
      <c r="G51" s="211"/>
      <c r="H51" s="211"/>
      <c r="XFD51" s="224"/>
    </row>
    <row r="52" spans="1:8 16384:16384" ht="15" hidden="1" x14ac:dyDescent="0.25">
      <c r="A52" s="211"/>
      <c r="B52" s="211"/>
      <c r="F52" s="211"/>
      <c r="G52" s="211"/>
      <c r="H52" s="211"/>
      <c r="XFD52" s="224"/>
    </row>
    <row r="53" spans="1:8 16384:16384" ht="15" hidden="1" x14ac:dyDescent="0.25">
      <c r="A53" s="211"/>
      <c r="B53" s="211"/>
      <c r="F53" s="211"/>
      <c r="G53" s="211"/>
      <c r="H53" s="211"/>
      <c r="XFD53" s="224"/>
    </row>
    <row r="54" spans="1:8 16384:16384" ht="15" hidden="1" x14ac:dyDescent="0.25">
      <c r="A54" s="211"/>
      <c r="B54" s="211"/>
      <c r="F54" s="211"/>
      <c r="G54" s="211"/>
      <c r="H54" s="211"/>
      <c r="XFD54" s="224"/>
    </row>
    <row r="55" spans="1:8 16384:16384" ht="15" hidden="1" x14ac:dyDescent="0.25">
      <c r="F55" s="211"/>
      <c r="G55" s="211"/>
      <c r="H55" s="211"/>
      <c r="XFD55" s="224"/>
    </row>
    <row r="56" spans="1:8 16384:16384" ht="15" hidden="1" x14ac:dyDescent="0.25">
      <c r="F56" s="211"/>
      <c r="G56" s="211"/>
      <c r="H56" s="211"/>
      <c r="XFD56" s="224"/>
    </row>
    <row r="57" spans="1:8 16384:16384" ht="15" hidden="1" x14ac:dyDescent="0.25">
      <c r="F57" s="211"/>
      <c r="G57" s="211"/>
      <c r="H57" s="211"/>
      <c r="XFD57" s="224"/>
    </row>
    <row r="58" spans="1:8 16384:16384" ht="15" hidden="1" x14ac:dyDescent="0.25">
      <c r="F58" s="211"/>
      <c r="G58" s="211"/>
      <c r="H58" s="211"/>
      <c r="XFD58" s="224"/>
    </row>
    <row r="59" spans="1:8 16384:16384" ht="15" hidden="1" x14ac:dyDescent="0.25">
      <c r="F59" s="211"/>
      <c r="G59" s="211"/>
      <c r="H59" s="211"/>
      <c r="XFD59" s="224"/>
    </row>
    <row r="60" spans="1:8 16384:16384" ht="15" hidden="1" x14ac:dyDescent="0.25">
      <c r="F60" s="211"/>
      <c r="G60" s="211"/>
      <c r="H60" s="211"/>
      <c r="XFD60" s="224"/>
    </row>
    <row r="61" spans="1:8 16384:16384" ht="15" hidden="1" x14ac:dyDescent="0.25">
      <c r="F61" s="211"/>
      <c r="G61" s="211"/>
      <c r="H61" s="211"/>
      <c r="XFD61" s="224"/>
    </row>
    <row r="62" spans="1:8 16384:16384" ht="15" hidden="1" x14ac:dyDescent="0.25">
      <c r="F62" s="211"/>
      <c r="G62" s="211"/>
      <c r="H62" s="211"/>
      <c r="XFD62" s="224"/>
    </row>
    <row r="63" spans="1:8 16384:16384" ht="15" hidden="1" x14ac:dyDescent="0.25">
      <c r="F63" s="211"/>
      <c r="G63" s="211"/>
      <c r="H63" s="211"/>
      <c r="XFD63" s="224"/>
    </row>
    <row r="64" spans="1:8 16384:16384" ht="15" hidden="1" x14ac:dyDescent="0.25">
      <c r="F64" s="211"/>
      <c r="G64" s="211"/>
      <c r="H64" s="211"/>
      <c r="XFD64" s="224"/>
    </row>
    <row r="65" spans="1:8 16384:16384" ht="15" hidden="1" x14ac:dyDescent="0.25">
      <c r="F65" s="211"/>
      <c r="G65" s="211"/>
      <c r="H65" s="211"/>
      <c r="XFD65" s="224"/>
    </row>
    <row r="66" spans="1:8 16384:16384" ht="15" hidden="1" x14ac:dyDescent="0.25">
      <c r="F66" s="211"/>
      <c r="G66" s="211"/>
      <c r="H66" s="211"/>
      <c r="XFD66" s="224"/>
    </row>
    <row r="67" spans="1:8 16384:16384" ht="15" hidden="1" x14ac:dyDescent="0.25">
      <c r="F67" s="211"/>
      <c r="G67" s="211"/>
      <c r="H67" s="211"/>
      <c r="XFD67" s="224"/>
    </row>
    <row r="68" spans="1:8 16384:16384" ht="15" hidden="1" x14ac:dyDescent="0.25">
      <c r="A68" s="211"/>
      <c r="B68" s="211"/>
      <c r="F68" s="211"/>
      <c r="G68" s="211"/>
      <c r="H68" s="211"/>
      <c r="XFD68" s="224"/>
    </row>
    <row r="69" spans="1:8 16384:16384" ht="15" hidden="1" x14ac:dyDescent="0.25">
      <c r="A69" s="211"/>
      <c r="B69" s="211"/>
      <c r="F69" s="211"/>
      <c r="G69" s="211"/>
      <c r="H69" s="211"/>
      <c r="XFD69" s="224"/>
    </row>
    <row r="70" spans="1:8 16384:16384" ht="15" hidden="1" x14ac:dyDescent="0.25">
      <c r="A70" s="211"/>
      <c r="B70" s="211"/>
      <c r="F70" s="211"/>
      <c r="G70" s="211"/>
      <c r="H70" s="211"/>
      <c r="XFD70" s="224"/>
    </row>
    <row r="71" spans="1:8 16384:16384" ht="15" hidden="1" x14ac:dyDescent="0.25">
      <c r="A71" s="211"/>
      <c r="B71" s="211"/>
      <c r="F71" s="211"/>
      <c r="G71" s="211"/>
      <c r="H71" s="211"/>
      <c r="XFD71" s="224"/>
    </row>
    <row r="72" spans="1:8 16384:16384" ht="15" hidden="1" x14ac:dyDescent="0.25">
      <c r="A72" s="211"/>
      <c r="B72" s="211"/>
      <c r="F72" s="211"/>
      <c r="XFD72" s="224"/>
    </row>
    <row r="73" spans="1:8 16384:16384" ht="15" hidden="1" x14ac:dyDescent="0.25">
      <c r="A73" s="211"/>
      <c r="B73" s="211"/>
      <c r="F73" s="211"/>
      <c r="XFD73" s="224"/>
    </row>
    <row r="74" spans="1:8 16384:16384" ht="15" hidden="1" x14ac:dyDescent="0.25">
      <c r="A74" s="211"/>
      <c r="B74" s="211"/>
      <c r="F74" s="211"/>
      <c r="XFD74" s="224"/>
    </row>
    <row r="75" spans="1:8 16384:16384" ht="15" hidden="1" x14ac:dyDescent="0.25">
      <c r="A75" s="211"/>
      <c r="B75" s="211"/>
      <c r="F75" s="211"/>
      <c r="XFD75" s="224"/>
    </row>
    <row r="76" spans="1:8 16384:16384" ht="15" hidden="1" x14ac:dyDescent="0.25">
      <c r="A76" s="211"/>
      <c r="B76" s="211"/>
      <c r="F76" s="211"/>
      <c r="XFD76" s="224"/>
    </row>
    <row r="77" spans="1:8 16384:16384" ht="15" hidden="1" x14ac:dyDescent="0.25">
      <c r="A77" s="211"/>
      <c r="B77" s="211"/>
      <c r="F77" s="211"/>
      <c r="XFD77" s="224"/>
    </row>
    <row r="78" spans="1:8 16384:16384" ht="15" hidden="1" x14ac:dyDescent="0.25">
      <c r="A78" s="211"/>
      <c r="B78" s="211"/>
      <c r="F78" s="211"/>
      <c r="XFD78" s="224"/>
    </row>
    <row r="79" spans="1:8 16384:16384" ht="15" hidden="1" x14ac:dyDescent="0.25">
      <c r="A79" s="211"/>
      <c r="B79" s="211"/>
      <c r="F79" s="211"/>
      <c r="XFD79" s="224"/>
    </row>
    <row r="80" spans="1:8 16384:16384" ht="15" hidden="1" x14ac:dyDescent="0.25">
      <c r="A80" s="211"/>
      <c r="B80" s="211"/>
      <c r="F80" s="211"/>
      <c r="XFD80" s="224"/>
    </row>
    <row r="81" spans="1:6 16384:16384" ht="15" hidden="1" x14ac:dyDescent="0.25">
      <c r="A81" s="211"/>
      <c r="B81" s="211"/>
      <c r="F81" s="211"/>
      <c r="XFD81" s="224"/>
    </row>
    <row r="82" spans="1:6 16384:16384" ht="15" hidden="1" x14ac:dyDescent="0.25">
      <c r="A82" s="211"/>
      <c r="B82" s="211"/>
      <c r="F82" s="211"/>
      <c r="XFD82" s="224"/>
    </row>
    <row r="83" spans="1:6 16384:16384" ht="15" hidden="1" x14ac:dyDescent="0.25">
      <c r="A83" s="211"/>
      <c r="B83" s="211"/>
      <c r="F83" s="211"/>
      <c r="XFD83" s="224"/>
    </row>
    <row r="84" spans="1:6 16384:16384" ht="15" hidden="1" x14ac:dyDescent="0.25">
      <c r="A84" s="211"/>
      <c r="B84" s="211"/>
      <c r="F84" s="211"/>
      <c r="XFD84" s="224"/>
    </row>
    <row r="85" spans="1:6 16384:16384" ht="15" hidden="1" x14ac:dyDescent="0.25">
      <c r="A85" s="211"/>
      <c r="B85" s="211"/>
      <c r="F85" s="211"/>
      <c r="XFD85" s="224"/>
    </row>
    <row r="86" spans="1:6 16384:16384" ht="15" hidden="1" x14ac:dyDescent="0.25">
      <c r="A86" s="211"/>
      <c r="B86" s="211"/>
      <c r="F86" s="211"/>
      <c r="XFD86" s="224"/>
    </row>
    <row r="87" spans="1:6 16384:16384" ht="15" hidden="1" x14ac:dyDescent="0.25">
      <c r="A87" s="211"/>
      <c r="B87" s="211"/>
      <c r="F87" s="211"/>
      <c r="XFD87" s="224"/>
    </row>
    <row r="88" spans="1:6 16384:16384" ht="15" hidden="1" x14ac:dyDescent="0.25">
      <c r="A88" s="211"/>
      <c r="B88" s="211"/>
      <c r="F88" s="211"/>
      <c r="XFD88" s="224"/>
    </row>
    <row r="89" spans="1:6 16384:16384" ht="15" hidden="1" x14ac:dyDescent="0.25">
      <c r="A89" s="211"/>
      <c r="B89" s="211"/>
      <c r="F89" s="211"/>
      <c r="XFD89" s="224"/>
    </row>
    <row r="90" spans="1:6 16384:16384" ht="15" hidden="1" x14ac:dyDescent="0.25">
      <c r="A90" s="211"/>
      <c r="B90" s="211"/>
      <c r="F90" s="211"/>
      <c r="XFD90" s="224"/>
    </row>
    <row r="91" spans="1:6 16384:16384" ht="15" hidden="1" x14ac:dyDescent="0.25">
      <c r="XFD91" s="224"/>
    </row>
    <row r="92" spans="1:6 16384:16384" ht="15" hidden="1" x14ac:dyDescent="0.25">
      <c r="XFD92" s="224"/>
    </row>
    <row r="93" spans="1:6 16384:16384" ht="15" hidden="1" x14ac:dyDescent="0.25">
      <c r="XFD93" s="224"/>
    </row>
    <row r="94" spans="1:6 16384:16384" ht="15" hidden="1" x14ac:dyDescent="0.25">
      <c r="XFD94" s="224"/>
    </row>
    <row r="95" spans="1:6 16384:16384" ht="15" hidden="1" x14ac:dyDescent="0.25">
      <c r="XFD95" s="224"/>
    </row>
    <row r="96" spans="1:6 16384:16384" ht="15" hidden="1" x14ac:dyDescent="0.25">
      <c r="XFD96" s="224"/>
    </row>
    <row r="97" spans="16384:16384" ht="15" hidden="1" x14ac:dyDescent="0.25">
      <c r="XFD97" s="224"/>
    </row>
    <row r="98" spans="16384:16384" ht="15" hidden="1" x14ac:dyDescent="0.25">
      <c r="XFD98" s="224"/>
    </row>
    <row r="99" spans="16384:16384" ht="15" hidden="1" x14ac:dyDescent="0.25">
      <c r="XFD99" s="224"/>
    </row>
    <row r="100" spans="16384:16384" ht="15" hidden="1" x14ac:dyDescent="0.25">
      <c r="XFD100" s="224"/>
    </row>
    <row r="101" spans="16384:16384" ht="15" hidden="1" x14ac:dyDescent="0.25">
      <c r="XFD101" s="224"/>
    </row>
    <row r="102" spans="16384:16384" ht="15" hidden="1" x14ac:dyDescent="0.25">
      <c r="XFD102" s="224"/>
    </row>
    <row r="103" spans="16384:16384" ht="15" hidden="1" x14ac:dyDescent="0.25">
      <c r="XFD103" s="224"/>
    </row>
    <row r="104" spans="16384:16384" ht="15" hidden="1" x14ac:dyDescent="0.25">
      <c r="XFD104" s="224"/>
    </row>
    <row r="105" spans="16384:16384" ht="15" hidden="1" x14ac:dyDescent="0.25">
      <c r="XFD105" s="224"/>
    </row>
    <row r="106" spans="16384:16384" ht="15" hidden="1" x14ac:dyDescent="0.25">
      <c r="XFD106" s="224"/>
    </row>
    <row r="107" spans="16384:16384" ht="15" hidden="1" x14ac:dyDescent="0.25">
      <c r="XFD107" s="224"/>
    </row>
    <row r="108" spans="16384:16384" ht="15" hidden="1" x14ac:dyDescent="0.25">
      <c r="XFD108" s="224"/>
    </row>
    <row r="109" spans="16384:16384" ht="15" hidden="1" x14ac:dyDescent="0.25">
      <c r="XFD109" s="224"/>
    </row>
    <row r="110" spans="16384:16384" ht="15" hidden="1" x14ac:dyDescent="0.25">
      <c r="XFD110" s="224"/>
    </row>
    <row r="111" spans="16384:16384" ht="15" hidden="1" x14ac:dyDescent="0.25">
      <c r="XFD111" s="224"/>
    </row>
    <row r="112" spans="16384:16384" ht="15" hidden="1" x14ac:dyDescent="0.25">
      <c r="XFD112" s="224"/>
    </row>
    <row r="113" spans="16384:16384" ht="15" hidden="1" x14ac:dyDescent="0.25">
      <c r="XFD113" s="224"/>
    </row>
    <row r="114" spans="16384:16384" ht="15" hidden="1" x14ac:dyDescent="0.25">
      <c r="XFD114" s="224"/>
    </row>
    <row r="115" spans="16384:16384" ht="15" hidden="1" x14ac:dyDescent="0.25">
      <c r="XFD115" s="224"/>
    </row>
    <row r="116" spans="16384:16384" ht="15" hidden="1" x14ac:dyDescent="0.25">
      <c r="XFD116" s="224"/>
    </row>
    <row r="117" spans="16384:16384" ht="15" hidden="1" x14ac:dyDescent="0.25">
      <c r="XFD117" s="224"/>
    </row>
    <row r="118" spans="16384:16384" ht="15" hidden="1" x14ac:dyDescent="0.25">
      <c r="XFD118" s="224"/>
    </row>
    <row r="119" spans="16384:16384" ht="15" hidden="1" x14ac:dyDescent="0.25">
      <c r="XFD119" s="224"/>
    </row>
    <row r="120" spans="16384:16384" ht="15" hidden="1" x14ac:dyDescent="0.25">
      <c r="XFD120" s="224"/>
    </row>
    <row r="121" spans="16384:16384" ht="15" hidden="1" x14ac:dyDescent="0.25">
      <c r="XFD121" s="224"/>
    </row>
    <row r="122" spans="16384:16384" ht="15" hidden="1" x14ac:dyDescent="0.25">
      <c r="XFD122" s="224"/>
    </row>
    <row r="123" spans="16384:16384" ht="15" hidden="1" x14ac:dyDescent="0.25">
      <c r="XFD123" s="224"/>
    </row>
    <row r="124" spans="16384:16384" ht="15" hidden="1" x14ac:dyDescent="0.25">
      <c r="XFD124" s="224"/>
    </row>
    <row r="125" spans="16384:16384" ht="15" hidden="1" x14ac:dyDescent="0.25">
      <c r="XFD125" s="224"/>
    </row>
    <row r="126" spans="16384:16384" ht="15" hidden="1" x14ac:dyDescent="0.25">
      <c r="XFD126" s="224"/>
    </row>
    <row r="127" spans="16384:16384" ht="15" hidden="1" x14ac:dyDescent="0.25">
      <c r="XFD127" s="224"/>
    </row>
    <row r="128" spans="16384:16384" ht="15" hidden="1" x14ac:dyDescent="0.25">
      <c r="XFD128" s="224"/>
    </row>
    <row r="129" spans="1:2 16384:16384" ht="15" hidden="1" x14ac:dyDescent="0.25">
      <c r="XFD129" s="224"/>
    </row>
    <row r="130" spans="1:2 16384:16384" ht="15" hidden="1" x14ac:dyDescent="0.25">
      <c r="XFD130" s="224"/>
    </row>
    <row r="131" spans="1:2 16384:16384" ht="15" hidden="1" x14ac:dyDescent="0.25">
      <c r="XFD131" s="224"/>
    </row>
    <row r="132" spans="1:2 16384:16384" ht="15" hidden="1" x14ac:dyDescent="0.25">
      <c r="XFD132" s="224"/>
    </row>
    <row r="133" spans="1:2 16384:16384" ht="15" hidden="1" x14ac:dyDescent="0.25">
      <c r="XFD133" s="224"/>
    </row>
    <row r="134" spans="1:2 16384:16384" ht="15" hidden="1" x14ac:dyDescent="0.25">
      <c r="XFD134" s="224"/>
    </row>
    <row r="135" spans="1:2 16384:16384" ht="15" hidden="1" x14ac:dyDescent="0.25">
      <c r="XFD135" s="224"/>
    </row>
    <row r="136" spans="1:2 16384:16384" ht="15" hidden="1" x14ac:dyDescent="0.25">
      <c r="A136" s="211"/>
      <c r="B136" s="211"/>
      <c r="XFD136" s="224"/>
    </row>
    <row r="137" spans="1:2 16384:16384" ht="15" hidden="1" x14ac:dyDescent="0.25">
      <c r="A137" s="211"/>
      <c r="B137" s="211"/>
      <c r="XFD137" s="224"/>
    </row>
    <row r="138" spans="1:2 16384:16384" ht="15" hidden="1" x14ac:dyDescent="0.25"/>
    <row r="139" spans="1:2 16384:16384" ht="15" hidden="1" x14ac:dyDescent="0.25"/>
    <row r="140" spans="1:2 16384:16384" ht="15" hidden="1" x14ac:dyDescent="0.25"/>
    <row r="141" spans="1:2 16384:16384" ht="15" hidden="1" x14ac:dyDescent="0.25"/>
    <row r="142" spans="1:2 16384:16384" s="211" customFormat="1" ht="15" x14ac:dyDescent="0.25"/>
    <row r="143" spans="1:2 16384:16384" s="211" customFormat="1" ht="15" x14ac:dyDescent="0.25"/>
    <row r="144" spans="1:2 16384:16384" s="211" customFormat="1" ht="15" x14ac:dyDescent="0.25"/>
    <row r="145" s="211" customFormat="1" ht="15" x14ac:dyDescent="0.25"/>
    <row r="146" s="211" customFormat="1" ht="15" x14ac:dyDescent="0.25"/>
    <row r="147" s="211" customFormat="1" ht="15" x14ac:dyDescent="0.25"/>
  </sheetData>
  <sheetProtection algorithmName="SHA-512" hashValue="oFFj94BXy9KhrLS7wnsq2IVm7WWDWfLQxihMLzp4rU7klwJInoKQye91EtBDmqrsoqfuwxUy5PPFbmomcTNYdw==" saltValue="XLtCrbyWh45pmsexyJ+LXg==" spinCount="100000" sheet="1" formatCells="0" formatColumns="0" formatRows="0" insertColumns="0" insertRows="0" insertHyperlinks="0" deleteColumns="0" deleteRows="0" autoFilter="0"/>
  <mergeCells count="29">
    <mergeCell ref="A40:D40"/>
    <mergeCell ref="A41:D41"/>
    <mergeCell ref="A42:D42"/>
    <mergeCell ref="A43:D43"/>
    <mergeCell ref="A34:D34"/>
    <mergeCell ref="A35:D35"/>
    <mergeCell ref="A36:D36"/>
    <mergeCell ref="A37:D37"/>
    <mergeCell ref="A38:D38"/>
    <mergeCell ref="A39:D39"/>
    <mergeCell ref="A33:D33"/>
    <mergeCell ref="E11:E12"/>
    <mergeCell ref="A13:D13"/>
    <mergeCell ref="E15:E25"/>
    <mergeCell ref="B25:D25"/>
    <mergeCell ref="A26:D26"/>
    <mergeCell ref="A27:D27"/>
    <mergeCell ref="A28:D28"/>
    <mergeCell ref="A29:D29"/>
    <mergeCell ref="A30:D30"/>
    <mergeCell ref="A31:D31"/>
    <mergeCell ref="A32:D32"/>
    <mergeCell ref="E8:E10"/>
    <mergeCell ref="A1:A3"/>
    <mergeCell ref="B1:D3"/>
    <mergeCell ref="E1:E3"/>
    <mergeCell ref="B5:D5"/>
    <mergeCell ref="A6:D6"/>
    <mergeCell ref="A4:D4"/>
  </mergeCells>
  <dataValidations count="4">
    <dataValidation type="list" allowBlank="1" showInputMessage="1" showErrorMessage="1" sqref="D15:D24 D11:D12" xr:uid="{00000000-0002-0000-3500-000000000000}">
      <formula1>"Yes, No"</formula1>
    </dataValidation>
    <dataValidation type="list" allowBlank="1" showInputMessage="1" showErrorMessage="1" sqref="B10" xr:uid="{00000000-0002-0000-3500-000001000000}">
      <formula1>"Residential Property, Commercial Property, Residential and Commercial Property, Fixed Deposits, Insurance Policy, Mutual Fund, Corporate Guarantee, SBLC, Bonds, Mutual Funds and Bonds, Other Combination"</formula1>
    </dataValidation>
    <dataValidation type="list" allowBlank="1" showInputMessage="1" showErrorMessage="1" sqref="B12" xr:uid="{00000000-0002-0000-3500-000002000000}">
      <formula1>"FY 2012-13, FY 2013-14, FY 2014-15, FY 2015-16, FY 2016-17, FY 2017-18, FY 2018-19, FY 2019-20, FY 2020-21"</formula1>
    </dataValidation>
    <dataValidation type="list" allowBlank="1" showInputMessage="1" showErrorMessage="1" sqref="B11" xr:uid="{00000000-0002-0000-3500-000003000000}">
      <formula1>"No, RE, CRE"</formula1>
    </dataValidation>
  </dataValidations>
  <pageMargins left="0.7" right="0.7" top="0.75" bottom="0.75" header="0.3" footer="0.3"/>
  <pageSetup paperSize="9" scale="51"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legacyDrawing r:id="rId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dimension ref="B1:Q46"/>
  <sheetViews>
    <sheetView showGridLines="0" workbookViewId="0">
      <selection sqref="A1:F2"/>
    </sheetView>
  </sheetViews>
  <sheetFormatPr defaultColWidth="9.140625" defaultRowHeight="14.25" x14ac:dyDescent="0.2"/>
  <cols>
    <col min="1" max="1" width="2" style="612" customWidth="1"/>
    <col min="2" max="2" width="37.42578125" style="612" bestFit="1" customWidth="1"/>
    <col min="3" max="3" width="20.5703125" style="612" bestFit="1" customWidth="1"/>
    <col min="4" max="4" width="19.140625" style="612" bestFit="1" customWidth="1"/>
    <col min="5" max="5" width="29.28515625" style="612" bestFit="1" customWidth="1"/>
    <col min="6" max="6" width="17.42578125" style="612" bestFit="1" customWidth="1"/>
    <col min="7" max="10" width="9.140625" style="612"/>
    <col min="11" max="11" width="19.28515625" style="612" bestFit="1" customWidth="1"/>
    <col min="12" max="12" width="14.28515625" style="612" bestFit="1" customWidth="1"/>
    <col min="13" max="13" width="9.140625" style="612"/>
    <col min="14" max="14" width="22.85546875" style="612" bestFit="1" customWidth="1"/>
    <col min="15" max="16" width="7" style="612" customWidth="1"/>
    <col min="17" max="17" width="11.5703125" style="612" bestFit="1" customWidth="1"/>
    <col min="18" max="16384" width="9.140625" style="612"/>
  </cols>
  <sheetData>
    <row r="1" spans="2:17" ht="15" thickBot="1" x14ac:dyDescent="0.25"/>
    <row r="2" spans="2:17" ht="15" customHeight="1" x14ac:dyDescent="0.2">
      <c r="B2" s="2879" t="str">
        <f>'Borrower Details'!A2</f>
        <v>Mortgage-Magnus-Unsecured</v>
      </c>
      <c r="C2" s="2883" t="s">
        <v>2497</v>
      </c>
      <c r="D2" s="2883"/>
      <c r="E2" s="2881" t="s">
        <v>3</v>
      </c>
    </row>
    <row r="3" spans="2:17" ht="15" customHeight="1" thickBot="1" x14ac:dyDescent="0.25">
      <c r="B3" s="2880"/>
      <c r="C3" s="2884"/>
      <c r="D3" s="2884"/>
      <c r="E3" s="2882"/>
    </row>
    <row r="4" spans="2:17" ht="16.5" customHeight="1" x14ac:dyDescent="0.2">
      <c r="B4" s="2885" t="s">
        <v>2504</v>
      </c>
      <c r="C4" s="2886"/>
      <c r="D4" s="2886"/>
      <c r="E4" s="2887"/>
    </row>
    <row r="5" spans="2:17" x14ac:dyDescent="0.2">
      <c r="B5" s="1303" t="s">
        <v>20</v>
      </c>
      <c r="C5" s="2888" t="s">
        <v>1469</v>
      </c>
      <c r="D5" s="2888"/>
      <c r="E5" s="2889"/>
    </row>
    <row r="6" spans="2:17" s="615" customFormat="1" ht="12.75" x14ac:dyDescent="0.2">
      <c r="B6" s="1304" t="s">
        <v>1479</v>
      </c>
      <c r="C6" s="2890"/>
      <c r="D6" s="2890"/>
      <c r="E6" s="2891"/>
    </row>
    <row r="7" spans="2:17" s="615" customFormat="1" ht="12.75" x14ac:dyDescent="0.2">
      <c r="B7" s="1304" t="s">
        <v>1501</v>
      </c>
      <c r="C7" s="2892"/>
      <c r="D7" s="2892"/>
      <c r="E7" s="2893"/>
    </row>
    <row r="8" spans="2:17" s="615" customFormat="1" ht="12.75" x14ac:dyDescent="0.2">
      <c r="B8" s="1305"/>
      <c r="C8" s="1306"/>
      <c r="D8" s="1307"/>
      <c r="E8" s="1308"/>
      <c r="F8" s="234"/>
      <c r="Q8" s="617"/>
    </row>
    <row r="9" spans="2:17" x14ac:dyDescent="0.2">
      <c r="B9" s="1309" t="s">
        <v>20</v>
      </c>
      <c r="C9" s="233" t="s">
        <v>1502</v>
      </c>
      <c r="D9" s="233" t="s">
        <v>1503</v>
      </c>
      <c r="E9" s="499" t="s">
        <v>1504</v>
      </c>
      <c r="Q9" s="613"/>
    </row>
    <row r="10" spans="2:17" s="615" customFormat="1" ht="12.75" x14ac:dyDescent="0.2">
      <c r="B10" s="1304" t="s">
        <v>185</v>
      </c>
      <c r="C10" s="1320">
        <f>Financials_Consolidated!C59</f>
        <v>14214753.699999999</v>
      </c>
      <c r="D10" s="1310"/>
      <c r="E10" s="1321">
        <f>C10+D10</f>
        <v>14214753.699999999</v>
      </c>
    </row>
    <row r="11" spans="2:17" s="615" customFormat="1" ht="12.75" x14ac:dyDescent="0.2">
      <c r="B11" s="1304" t="s">
        <v>1505</v>
      </c>
      <c r="C11" s="1320">
        <f>Financials_Consolidated!C60</f>
        <v>18736909</v>
      </c>
      <c r="D11" s="1310"/>
      <c r="E11" s="1321">
        <f>C11+D11</f>
        <v>18736909</v>
      </c>
    </row>
    <row r="12" spans="2:17" s="615" customFormat="1" ht="12.75" x14ac:dyDescent="0.2">
      <c r="B12" s="1304" t="s">
        <v>1506</v>
      </c>
      <c r="C12" s="1310"/>
      <c r="D12" s="1310"/>
      <c r="E12" s="1321">
        <f>C12+D12</f>
        <v>0</v>
      </c>
    </row>
    <row r="13" spans="2:17" s="615" customFormat="1" ht="12.75" x14ac:dyDescent="0.2">
      <c r="B13" s="1304" t="s">
        <v>12</v>
      </c>
      <c r="C13" s="1320">
        <f>Financials_Consolidated!C61</f>
        <v>0</v>
      </c>
      <c r="D13" s="1310"/>
      <c r="E13" s="1321">
        <f>C13+D13</f>
        <v>0</v>
      </c>
      <c r="O13" s="616"/>
    </row>
    <row r="14" spans="2:17" x14ac:dyDescent="0.2">
      <c r="B14" s="1311" t="s">
        <v>13</v>
      </c>
      <c r="C14" s="1322">
        <f>SUM(C10:C13)</f>
        <v>32951662.699999999</v>
      </c>
      <c r="D14" s="1322">
        <f>SUM(D10:D13)</f>
        <v>0</v>
      </c>
      <c r="E14" s="1323">
        <f>C14+D14</f>
        <v>32951662.699999999</v>
      </c>
    </row>
    <row r="15" spans="2:17" x14ac:dyDescent="0.2">
      <c r="B15" s="1312"/>
      <c r="C15" s="1313"/>
      <c r="D15" s="1313"/>
      <c r="E15" s="1314"/>
    </row>
    <row r="16" spans="2:17" x14ac:dyDescent="0.2">
      <c r="B16" s="2894" t="s">
        <v>1507</v>
      </c>
      <c r="C16" s="2895"/>
      <c r="D16" s="2895"/>
      <c r="E16" s="2896"/>
    </row>
    <row r="17" spans="2:5" s="615" customFormat="1" ht="12.75" x14ac:dyDescent="0.2">
      <c r="B17" s="2897" t="s">
        <v>612</v>
      </c>
      <c r="C17" s="2898"/>
      <c r="D17" s="2899" t="s">
        <v>1508</v>
      </c>
      <c r="E17" s="2900"/>
    </row>
    <row r="18" spans="2:5" s="615" customFormat="1" ht="12.75" x14ac:dyDescent="0.2">
      <c r="B18" s="2901">
        <f>Banking!C3</f>
        <v>44348</v>
      </c>
      <c r="C18" s="2902"/>
      <c r="D18" s="2903">
        <v>88416.1</v>
      </c>
      <c r="E18" s="2904"/>
    </row>
    <row r="19" spans="2:5" s="615" customFormat="1" ht="12.75" x14ac:dyDescent="0.2">
      <c r="B19" s="2901">
        <f>EDATE(B18,-1)</f>
        <v>44317</v>
      </c>
      <c r="C19" s="2902"/>
      <c r="D19" s="2903">
        <v>94206.67</v>
      </c>
      <c r="E19" s="2904"/>
    </row>
    <row r="20" spans="2:5" s="615" customFormat="1" ht="12.75" x14ac:dyDescent="0.2">
      <c r="B20" s="2901">
        <f t="shared" ref="B20:B23" si="0">EDATE(B19,-1)</f>
        <v>44287</v>
      </c>
      <c r="C20" s="2902"/>
      <c r="D20" s="2903">
        <v>95248.82</v>
      </c>
      <c r="E20" s="2904"/>
    </row>
    <row r="21" spans="2:5" s="615" customFormat="1" ht="12.75" x14ac:dyDescent="0.2">
      <c r="B21" s="2901">
        <f t="shared" si="0"/>
        <v>44256</v>
      </c>
      <c r="C21" s="2902"/>
      <c r="D21" s="2903">
        <v>104581.58</v>
      </c>
      <c r="E21" s="2904"/>
    </row>
    <row r="22" spans="2:5" s="615" customFormat="1" ht="12.75" x14ac:dyDescent="0.2">
      <c r="B22" s="2901">
        <f t="shared" si="0"/>
        <v>44228</v>
      </c>
      <c r="C22" s="2902"/>
      <c r="D22" s="2905">
        <v>79415.16</v>
      </c>
      <c r="E22" s="2904"/>
    </row>
    <row r="23" spans="2:5" s="615" customFormat="1" ht="12.75" x14ac:dyDescent="0.2">
      <c r="B23" s="2901">
        <f t="shared" si="0"/>
        <v>44197</v>
      </c>
      <c r="C23" s="2902"/>
      <c r="D23" s="2905">
        <v>162748.57999999999</v>
      </c>
      <c r="E23" s="2904"/>
    </row>
    <row r="24" spans="2:5" s="615" customFormat="1" ht="12.75" x14ac:dyDescent="0.2">
      <c r="B24" s="2906" t="s">
        <v>1509</v>
      </c>
      <c r="C24" s="2907"/>
      <c r="D24" s="2911">
        <f>AVERAGE(D18:E23)</f>
        <v>104102.81833333334</v>
      </c>
      <c r="E24" s="2912"/>
    </row>
    <row r="25" spans="2:5" s="615" customFormat="1" ht="12.75" x14ac:dyDescent="0.2">
      <c r="B25" s="2906" t="s">
        <v>1510</v>
      </c>
      <c r="C25" s="2907"/>
      <c r="D25" s="2913"/>
      <c r="E25" s="2914"/>
    </row>
    <row r="26" spans="2:5" s="615" customFormat="1" ht="12.75" x14ac:dyDescent="0.2">
      <c r="B26" s="2906" t="s">
        <v>1511</v>
      </c>
      <c r="C26" s="2907"/>
      <c r="D26" s="2890"/>
      <c r="E26" s="2891"/>
    </row>
    <row r="27" spans="2:5" s="615" customFormat="1" ht="12.75" x14ac:dyDescent="0.2">
      <c r="B27" s="2915" t="s">
        <v>3215</v>
      </c>
      <c r="C27" s="2916"/>
      <c r="D27" s="2917"/>
      <c r="E27" s="2918"/>
    </row>
    <row r="28" spans="2:5" s="615" customFormat="1" ht="12.75" x14ac:dyDescent="0.2">
      <c r="B28" s="2906" t="s">
        <v>1512</v>
      </c>
      <c r="C28" s="2907"/>
      <c r="D28" s="2908">
        <f>emi_oblig</f>
        <v>96610</v>
      </c>
      <c r="E28" s="2909"/>
    </row>
    <row r="29" spans="2:5" s="615" customFormat="1" ht="12.75" x14ac:dyDescent="0.2">
      <c r="B29" s="2910" t="s">
        <v>1507</v>
      </c>
      <c r="C29" s="2890"/>
      <c r="D29" s="2911">
        <f>SUM(D24:E28)*12</f>
        <v>2408553.8200000003</v>
      </c>
      <c r="E29" s="2912"/>
    </row>
    <row r="30" spans="2:5" x14ac:dyDescent="0.2">
      <c r="B30" s="1312"/>
      <c r="C30" s="1313"/>
      <c r="D30" s="1313"/>
      <c r="E30" s="1314"/>
    </row>
    <row r="31" spans="2:5" x14ac:dyDescent="0.2">
      <c r="B31" s="1312"/>
      <c r="C31" s="1313"/>
      <c r="D31" s="1313"/>
      <c r="E31" s="1314"/>
    </row>
    <row r="32" spans="2:5" x14ac:dyDescent="0.2">
      <c r="B32" s="1315" t="s">
        <v>20</v>
      </c>
      <c r="C32" s="1316" t="s">
        <v>1513</v>
      </c>
      <c r="D32" s="1317" t="s">
        <v>1514</v>
      </c>
      <c r="E32" s="1318" t="s">
        <v>1336</v>
      </c>
    </row>
    <row r="33" spans="2:6" s="615" customFormat="1" ht="15" x14ac:dyDescent="0.25">
      <c r="B33" s="1304" t="s">
        <v>1515</v>
      </c>
      <c r="C33" s="1324">
        <f>((Financials_Consolidated!C25+Financials_Consolidated!C22+Financials_Consolidated!C23)/((D24+D26+D28)*12))</f>
        <v>-0.30355374413015762</v>
      </c>
      <c r="D33" s="1325">
        <f>(Financials_Consolidated!C25+Financials_Consolidated!C22+Financials_Consolidated!C23)/D29</f>
        <v>-0.30355374413015762</v>
      </c>
      <c r="E33" s="1326" t="str">
        <f>IF('Borrower Details'!F16="Manufacturing",IF(D33&lt;1,"No","Yes"),IF('Borrower Details'!F16="Services",IF(D33&lt;1,"No","Yes"),IF('Borrower Details'!F16="Trader",IF(D33&lt;1.25,"No","Yes"))))</f>
        <v>No</v>
      </c>
      <c r="F33" s="616"/>
    </row>
    <row r="34" spans="2:6" s="615" customFormat="1" ht="12.75" x14ac:dyDescent="0.2">
      <c r="B34" s="1304" t="s">
        <v>16</v>
      </c>
      <c r="C34" s="1327">
        <f>Financials_Consolidated!C74</f>
        <v>1.5171087651821129</v>
      </c>
      <c r="D34" s="1327">
        <f>E14/Financials_Consolidated!C58</f>
        <v>1.5171087651821129</v>
      </c>
      <c r="E34" s="1328" t="str">
        <f>IF(D34&gt;4,"No","Yes")</f>
        <v>Yes</v>
      </c>
    </row>
    <row r="35" spans="2:6" s="615" customFormat="1" ht="12.75" x14ac:dyDescent="0.2">
      <c r="B35" s="1304" t="s">
        <v>17</v>
      </c>
      <c r="C35" s="1327">
        <f>Financials_Consolidated!C75</f>
        <v>3.5458095980023194</v>
      </c>
      <c r="D35" s="1329">
        <f>(E14+Financials_Consolidated!C67+Financials_Consolidated!C68)/Financials_Consolidated!C58</f>
        <v>3.5458095980023194</v>
      </c>
      <c r="E35" s="1328" t="str">
        <f>IF(D35&gt;5,"No","Yes")</f>
        <v>Yes</v>
      </c>
    </row>
    <row r="36" spans="2:6" s="615" customFormat="1" ht="12.75" x14ac:dyDescent="0.2">
      <c r="B36" s="1304" t="s">
        <v>1516</v>
      </c>
      <c r="C36" s="1329">
        <f>(C14+Financials_Consolidated!C65-Financials_Consolidated!C46)/Financials_Consolidated!C25</f>
        <v>-92.110503390574493</v>
      </c>
      <c r="D36" s="1327">
        <f>(Financials_Consolidated!C65+E14-Financials_Consolidated!C46)/Financials_Consolidated!C25</f>
        <v>-92.110503390574493</v>
      </c>
      <c r="E36" s="1328" t="str">
        <f>IF(D36&gt;5,"No","Yes")</f>
        <v>Yes</v>
      </c>
    </row>
    <row r="37" spans="2:6" s="615" customFormat="1" ht="13.5" thickBot="1" x14ac:dyDescent="0.25">
      <c r="B37" s="1319" t="s">
        <v>1517</v>
      </c>
      <c r="C37" s="1330">
        <f>(Financials_Consolidated!C54+Financials_Consolidated!C55+Financials_Consolidated!C56)/(Financials_Consolidated!C51)</f>
        <v>0.21998281679889437</v>
      </c>
      <c r="D37" s="1331">
        <f>(Financials_Consolidated!C54+Financials_Consolidated!C55+Financials_Consolidated!C56)/(Financials_Consolidated!C51+D14)</f>
        <v>0.21998281679889437</v>
      </c>
      <c r="E37" s="1332" t="str">
        <f>IF(D37&lt;20%,"No","Yes")</f>
        <v>Yes</v>
      </c>
    </row>
    <row r="40" spans="2:6" ht="15" x14ac:dyDescent="0.2">
      <c r="B40" s="614" t="s">
        <v>2507</v>
      </c>
    </row>
    <row r="41" spans="2:6" x14ac:dyDescent="0.2">
      <c r="B41" s="614" t="s">
        <v>1518</v>
      </c>
    </row>
    <row r="42" spans="2:6" x14ac:dyDescent="0.2">
      <c r="B42" s="614" t="s">
        <v>1519</v>
      </c>
    </row>
    <row r="43" spans="2:6" x14ac:dyDescent="0.2">
      <c r="B43" s="614" t="s">
        <v>1520</v>
      </c>
    </row>
    <row r="44" spans="2:6" ht="15" x14ac:dyDescent="0.2">
      <c r="B44" s="614" t="s">
        <v>2508</v>
      </c>
    </row>
    <row r="45" spans="2:6" ht="15" x14ac:dyDescent="0.2">
      <c r="B45" s="614" t="s">
        <v>2509</v>
      </c>
    </row>
    <row r="46" spans="2:6" ht="15" x14ac:dyDescent="0.2">
      <c r="B46" s="614" t="s">
        <v>2510</v>
      </c>
    </row>
  </sheetData>
  <sheetProtection algorithmName="SHA-512" hashValue="ls6y5I8CnmRVlZrLKnEuTFB60noJUDUGZBkQ51rh5qAepxFhKwk8LttWRkf8bZkygWlOYqAq5JEbk6aQgSC1YA==" saltValue="gYgJBxsTnbs6R0K+RAk55g==" spinCount="100000" sheet="1" formatCells="0" formatColumns="0" formatRows="0" insertColumns="0" insertRows="0" insertHyperlinks="0" deleteColumns="0" deleteRows="0" autoFilter="0"/>
  <mergeCells count="34">
    <mergeCell ref="B28:C28"/>
    <mergeCell ref="D28:E28"/>
    <mergeCell ref="B29:C29"/>
    <mergeCell ref="D29:E29"/>
    <mergeCell ref="B24:C24"/>
    <mergeCell ref="D24:E24"/>
    <mergeCell ref="B25:C25"/>
    <mergeCell ref="D25:E25"/>
    <mergeCell ref="B26:C26"/>
    <mergeCell ref="D26:E26"/>
    <mergeCell ref="B27:C27"/>
    <mergeCell ref="D27:E27"/>
    <mergeCell ref="B21:C21"/>
    <mergeCell ref="D21:E21"/>
    <mergeCell ref="B22:C22"/>
    <mergeCell ref="D22:E22"/>
    <mergeCell ref="B23:C23"/>
    <mergeCell ref="D23:E23"/>
    <mergeCell ref="B18:C18"/>
    <mergeCell ref="D18:E18"/>
    <mergeCell ref="B19:C19"/>
    <mergeCell ref="D19:E19"/>
    <mergeCell ref="B20:C20"/>
    <mergeCell ref="D20:E20"/>
    <mergeCell ref="C6:E6"/>
    <mergeCell ref="C7:E7"/>
    <mergeCell ref="B16:E16"/>
    <mergeCell ref="B17:C17"/>
    <mergeCell ref="D17:E17"/>
    <mergeCell ref="B2:B3"/>
    <mergeCell ref="E2:E3"/>
    <mergeCell ref="C2:D3"/>
    <mergeCell ref="B4:E4"/>
    <mergeCell ref="C5:E5"/>
  </mergeCells>
  <conditionalFormatting sqref="E35">
    <cfRule type="cellIs" dxfId="94" priority="7" operator="equal">
      <formula>"Yes"</formula>
    </cfRule>
    <cfRule type="cellIs" dxfId="93" priority="12" operator="equal">
      <formula>"No"</formula>
    </cfRule>
  </conditionalFormatting>
  <conditionalFormatting sqref="E34">
    <cfRule type="cellIs" dxfId="92" priority="8" operator="equal">
      <formula>"Yes"</formula>
    </cfRule>
    <cfRule type="cellIs" dxfId="91" priority="13" operator="equal">
      <formula>"No"</formula>
    </cfRule>
  </conditionalFormatting>
  <conditionalFormatting sqref="E36">
    <cfRule type="cellIs" dxfId="90" priority="6" operator="equal">
      <formula>"Yes"</formula>
    </cfRule>
    <cfRule type="cellIs" dxfId="89" priority="11" operator="equal">
      <formula>"No"</formula>
    </cfRule>
  </conditionalFormatting>
  <conditionalFormatting sqref="E37">
    <cfRule type="cellIs" dxfId="88" priority="5" operator="equal">
      <formula>"Yes"</formula>
    </cfRule>
    <cfRule type="cellIs" dxfId="87" priority="10" operator="equal">
      <formula>"No"</formula>
    </cfRule>
  </conditionalFormatting>
  <conditionalFormatting sqref="F8">
    <cfRule type="cellIs" dxfId="86" priority="3" operator="equal">
      <formula>"Check segment"</formula>
    </cfRule>
    <cfRule type="cellIs" dxfId="85" priority="4" operator="equal">
      <formula>FALSE</formula>
    </cfRule>
  </conditionalFormatting>
  <conditionalFormatting sqref="E33">
    <cfRule type="cellIs" dxfId="84" priority="1" operator="equal">
      <formula>"Yes"</formula>
    </cfRule>
    <cfRule type="cellIs" dxfId="83" priority="2" operator="equal">
      <formula>"No"</formula>
    </cfRule>
  </conditionalFormatting>
  <pageMargins left="0.7" right="0.7" top="0.75" bottom="0.75" header="0.3" footer="0.3"/>
  <pageSetup paperSize="9" scale="80"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0"/>
  <dimension ref="A1:D6"/>
  <sheetViews>
    <sheetView showGridLines="0" workbookViewId="0">
      <selection sqref="A1:F2"/>
    </sheetView>
  </sheetViews>
  <sheetFormatPr defaultColWidth="9.140625" defaultRowHeight="12.75" x14ac:dyDescent="0.2"/>
  <cols>
    <col min="1" max="1" width="14.85546875" style="162" bestFit="1" customWidth="1"/>
    <col min="2" max="2" width="9.140625" style="162"/>
    <col min="3" max="3" width="32.140625" style="162" customWidth="1"/>
    <col min="4" max="16384" width="9.140625" style="162"/>
  </cols>
  <sheetData>
    <row r="1" spans="1:4" ht="13.5" thickBot="1" x14ac:dyDescent="0.25">
      <c r="A1" s="907"/>
      <c r="B1" s="907"/>
      <c r="C1" s="907"/>
      <c r="D1" s="907"/>
    </row>
    <row r="2" spans="1:4" x14ac:dyDescent="0.2">
      <c r="A2" s="1333" t="s">
        <v>2536</v>
      </c>
      <c r="B2" s="1334" t="s">
        <v>2537</v>
      </c>
      <c r="C2" s="1335" t="s">
        <v>2538</v>
      </c>
      <c r="D2" s="907"/>
    </row>
    <row r="3" spans="1:4" x14ac:dyDescent="0.2">
      <c r="A3" s="1336" t="s">
        <v>2539</v>
      </c>
      <c r="B3" s="1337"/>
      <c r="C3" s="1338"/>
      <c r="D3" s="907"/>
    </row>
    <row r="4" spans="1:4" x14ac:dyDescent="0.2">
      <c r="A4" s="1339" t="s">
        <v>16</v>
      </c>
      <c r="B4" s="1344">
        <f>Financials_Consolidated!C74</f>
        <v>1.5171087651821129</v>
      </c>
      <c r="C4" s="1340"/>
      <c r="D4" s="907"/>
    </row>
    <row r="5" spans="1:4" x14ac:dyDescent="0.2">
      <c r="A5" s="1339" t="s">
        <v>1515</v>
      </c>
      <c r="B5" s="1344">
        <f>'HTN-LAP'!C33</f>
        <v>-0.30355374413015762</v>
      </c>
      <c r="C5" s="1341"/>
      <c r="D5" s="907"/>
    </row>
    <row r="6" spans="1:4" ht="13.5" thickBot="1" x14ac:dyDescent="0.25">
      <c r="A6" s="1342" t="s">
        <v>2540</v>
      </c>
      <c r="B6" s="1345">
        <f>((Financials_Consolidated!C46+(Financials_Consolidated!C41*0.5)+(Financials_Consolidated!C43*0.5))/Financials_Consolidated!C67)</f>
        <v>0.44878551243683185</v>
      </c>
      <c r="C6" s="1343"/>
      <c r="D6" s="907" t="s">
        <v>2541</v>
      </c>
    </row>
  </sheetData>
  <sheetProtection algorithmName="SHA-512" hashValue="tsP+ZjQEZb9KZj1iN+0NQ3idGnK36rql4JdRkItVqR3nJ03fUhGL0fFp5Q8YorfiXjUW56SIlzF7t0iecA15Jg==" saltValue="uu4lYdU4CpyO6DtoVD04CA==" spinCount="100000" sheet="1" formatCells="0" formatColumns="0" formatRows="0" insertColumns="0" insertRows="0" insertHyperlinks="0" deleteColumns="0" deleteRows="0" autoFilter="0"/>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K10"/>
  <sheetViews>
    <sheetView workbookViewId="0">
      <selection sqref="A1:F2"/>
    </sheetView>
  </sheetViews>
  <sheetFormatPr defaultColWidth="9.140625" defaultRowHeight="12.75" x14ac:dyDescent="0.2"/>
  <cols>
    <col min="1" max="1" width="5.140625" style="181" customWidth="1"/>
    <col min="2" max="2" width="3.85546875" style="911" customWidth="1"/>
    <col min="3" max="3" width="55.28515625" style="174" customWidth="1"/>
    <col min="4" max="4" width="22.85546875" style="174" customWidth="1"/>
    <col min="5" max="5" width="17.28515625" style="174" customWidth="1"/>
    <col min="6" max="6" width="6.5703125" style="174" customWidth="1"/>
    <col min="7" max="7" width="16.7109375" style="174" customWidth="1"/>
    <col min="8" max="11" width="9.140625" style="181"/>
    <col min="12" max="16384" width="9.140625" style="174"/>
  </cols>
  <sheetData>
    <row r="1" spans="2:7" s="174" customFormat="1" ht="13.5" thickBot="1" x14ac:dyDescent="0.25">
      <c r="B1" s="906"/>
      <c r="C1" s="907"/>
      <c r="D1" s="907"/>
      <c r="E1" s="907"/>
      <c r="F1" s="907"/>
    </row>
    <row r="2" spans="2:7" s="174" customFormat="1" ht="16.5" thickBot="1" x14ac:dyDescent="0.3">
      <c r="B2" s="2919" t="s">
        <v>3187</v>
      </c>
      <c r="C2" s="2920"/>
      <c r="D2" s="2920"/>
      <c r="E2" s="2921"/>
    </row>
    <row r="3" spans="2:7" s="174" customFormat="1" x14ac:dyDescent="0.2">
      <c r="B3" s="2922" t="s">
        <v>3188</v>
      </c>
      <c r="C3" s="2923"/>
      <c r="D3" s="2923"/>
      <c r="E3" s="2924"/>
    </row>
    <row r="4" spans="2:7" s="174" customFormat="1" x14ac:dyDescent="0.2">
      <c r="B4" s="1346" t="s">
        <v>44</v>
      </c>
      <c r="C4" s="995" t="s">
        <v>3189</v>
      </c>
      <c r="D4" s="995" t="s">
        <v>3190</v>
      </c>
      <c r="E4" s="1347">
        <v>1200</v>
      </c>
    </row>
    <row r="5" spans="2:7" s="174" customFormat="1" x14ac:dyDescent="0.2">
      <c r="B5" s="1346" t="s">
        <v>45</v>
      </c>
      <c r="C5" s="995" t="s">
        <v>3191</v>
      </c>
      <c r="D5" s="995" t="s">
        <v>3192</v>
      </c>
      <c r="E5" s="1347">
        <v>10</v>
      </c>
    </row>
    <row r="6" spans="2:7" s="174" customFormat="1" x14ac:dyDescent="0.2">
      <c r="B6" s="1346" t="s">
        <v>2433</v>
      </c>
      <c r="C6" s="995" t="s">
        <v>3193</v>
      </c>
      <c r="D6" s="995" t="s">
        <v>3194</v>
      </c>
      <c r="E6" s="1347">
        <v>20</v>
      </c>
    </row>
    <row r="7" spans="2:7" s="174" customFormat="1" x14ac:dyDescent="0.2">
      <c r="B7" s="1346" t="s">
        <v>3195</v>
      </c>
      <c r="C7" s="995" t="s">
        <v>3196</v>
      </c>
      <c r="D7" s="995" t="s">
        <v>3197</v>
      </c>
      <c r="E7" s="908">
        <f>F7*30</f>
        <v>90</v>
      </c>
      <c r="F7" s="1348">
        <v>3</v>
      </c>
      <c r="G7" s="1349" t="s">
        <v>3198</v>
      </c>
    </row>
    <row r="8" spans="2:7" s="174" customFormat="1" x14ac:dyDescent="0.2">
      <c r="B8" s="1346" t="s">
        <v>3199</v>
      </c>
      <c r="C8" s="995" t="s">
        <v>3200</v>
      </c>
      <c r="D8" s="995" t="s">
        <v>3201</v>
      </c>
      <c r="E8" s="909">
        <f>ROUND(365/(E5+E6+E7),0)</f>
        <v>3</v>
      </c>
    </row>
    <row r="9" spans="2:7" s="174" customFormat="1" ht="15" x14ac:dyDescent="0.2">
      <c r="B9" s="1346" t="s">
        <v>3202</v>
      </c>
      <c r="C9" s="995" t="s">
        <v>3203</v>
      </c>
      <c r="D9" s="995" t="s">
        <v>3204</v>
      </c>
      <c r="E9" s="910">
        <f>E4/E8</f>
        <v>400</v>
      </c>
    </row>
    <row r="10" spans="2:7" s="174" customFormat="1" ht="13.5" thickBot="1" x14ac:dyDescent="0.25">
      <c r="B10" s="2925"/>
      <c r="C10" s="2781"/>
      <c r="D10" s="2781"/>
      <c r="E10" s="2782"/>
    </row>
  </sheetData>
  <sheetProtection algorithmName="SHA-512" hashValue="6PwfqnuyqrO5pkpfpzuqaUXrXVVCkYfu0eDuzzlQxuxCDBr2/RKrI1HWDX0T+NSA3BXcxgB12bio/zYlEULSKQ==" saltValue="u9GX4vSGSu56mFjeuqhIyw==" spinCount="100000" sheet="1" formatCells="0" formatColumns="0" formatRows="0" insertColumns="0" insertRows="0" insertHyperlinks="0" deleteColumns="0" deleteRows="0" autoFilter="0"/>
  <mergeCells count="3">
    <mergeCell ref="B2:E2"/>
    <mergeCell ref="B3:E3"/>
    <mergeCell ref="B10:E10"/>
  </mergeCells>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B3:E10"/>
  <sheetViews>
    <sheetView workbookViewId="0">
      <selection sqref="A1:F2"/>
    </sheetView>
  </sheetViews>
  <sheetFormatPr defaultColWidth="9.140625" defaultRowHeight="12.75" x14ac:dyDescent="0.2"/>
  <cols>
    <col min="1" max="1" width="9.140625" style="181"/>
    <col min="2" max="2" width="5.5703125" style="181" customWidth="1"/>
    <col min="3" max="3" width="53.42578125" style="181" bestFit="1" customWidth="1"/>
    <col min="4" max="4" width="8.140625" style="181" customWidth="1"/>
    <col min="5" max="5" width="37.85546875" style="181" customWidth="1"/>
    <col min="6" max="16384" width="9.140625" style="181"/>
  </cols>
  <sheetData>
    <row r="3" spans="2:5" ht="15" x14ac:dyDescent="0.2">
      <c r="B3" s="1350" t="s">
        <v>3205</v>
      </c>
      <c r="C3" s="1350" t="s">
        <v>20</v>
      </c>
      <c r="D3" s="1350" t="s">
        <v>1706</v>
      </c>
      <c r="E3" s="1350" t="s">
        <v>3206</v>
      </c>
    </row>
    <row r="4" spans="2:5" ht="15" x14ac:dyDescent="0.2">
      <c r="B4" s="1351" t="s">
        <v>44</v>
      </c>
      <c r="C4" s="1351" t="s">
        <v>3207</v>
      </c>
      <c r="D4" s="1352"/>
      <c r="E4" s="1353"/>
    </row>
    <row r="5" spans="2:5" ht="15" x14ac:dyDescent="0.2">
      <c r="B5" s="1351" t="s">
        <v>45</v>
      </c>
      <c r="C5" s="1351" t="s">
        <v>3208</v>
      </c>
      <c r="D5" s="1352"/>
      <c r="E5" s="1353"/>
    </row>
    <row r="6" spans="2:5" ht="15" x14ac:dyDescent="0.2">
      <c r="B6" s="1351" t="s">
        <v>2433</v>
      </c>
      <c r="C6" s="1351" t="s">
        <v>3209</v>
      </c>
      <c r="D6" s="1352"/>
      <c r="E6" s="1353"/>
    </row>
    <row r="7" spans="2:5" ht="15" x14ac:dyDescent="0.2">
      <c r="B7" s="1351" t="s">
        <v>3195</v>
      </c>
      <c r="C7" s="1351" t="s">
        <v>3210</v>
      </c>
      <c r="D7" s="1352"/>
      <c r="E7" s="1353"/>
    </row>
    <row r="8" spans="2:5" ht="15" x14ac:dyDescent="0.2">
      <c r="B8" s="1351" t="s">
        <v>3199</v>
      </c>
      <c r="C8" s="1351" t="s">
        <v>3211</v>
      </c>
      <c r="D8" s="1352"/>
      <c r="E8" s="1353"/>
    </row>
    <row r="9" spans="2:5" ht="15" x14ac:dyDescent="0.2">
      <c r="B9" s="1351" t="s">
        <v>3202</v>
      </c>
      <c r="C9" s="1351" t="s">
        <v>3212</v>
      </c>
      <c r="D9" s="1352"/>
      <c r="E9" s="1354">
        <f>E4+E5+E7</f>
        <v>0</v>
      </c>
    </row>
    <row r="10" spans="2:5" ht="15" x14ac:dyDescent="0.2">
      <c r="B10" s="1351" t="s">
        <v>3213</v>
      </c>
      <c r="C10" s="1351" t="s">
        <v>3214</v>
      </c>
      <c r="D10" s="1353"/>
      <c r="E10" s="1354">
        <f>SUM(E4:E9)</f>
        <v>0</v>
      </c>
    </row>
  </sheetData>
  <sheetProtection algorithmName="SHA-512" hashValue="nljmjweXS3o8zGO5MAlx3ndHZtsn1JTwmOOpcvR+sg/OJh5sG3B2bEc0cmBDLPLpxBKu6Vh45/hM/t/Z5+jpaA==" saltValue="UgN64TRjeD6xMIl3pct0Og==" spinCount="100000" sheet="1" formatCells="0" formatColumns="0" formatRows="0" insertColumns="0" insertRows="0" insertHyperlinks="0" deleteColumns="0" deleteRows="0" autoFilter="0"/>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5">
    <pageSetUpPr fitToPage="1"/>
  </sheetPr>
  <dimension ref="B1:K16"/>
  <sheetViews>
    <sheetView showGridLines="0" workbookViewId="0">
      <selection sqref="A1:F2"/>
    </sheetView>
  </sheetViews>
  <sheetFormatPr defaultColWidth="8.7109375" defaultRowHeight="14.25" x14ac:dyDescent="0.2"/>
  <cols>
    <col min="1" max="1" width="4.42578125" style="632" customWidth="1"/>
    <col min="2" max="2" width="8.7109375" style="632"/>
    <col min="3" max="3" width="10.85546875" style="632" customWidth="1"/>
    <col min="4" max="4" width="27.7109375" style="632" customWidth="1"/>
    <col min="5" max="5" width="10.42578125" style="632" customWidth="1"/>
    <col min="6" max="6" width="11.140625" style="632" bestFit="1" customWidth="1"/>
    <col min="7" max="7" width="16.140625" style="632" customWidth="1"/>
    <col min="8" max="16384" width="8.7109375" style="632"/>
  </cols>
  <sheetData>
    <row r="1" spans="2:11" ht="16.5" x14ac:dyDescent="0.2">
      <c r="B1" s="2141" t="str">
        <f>'Borrower Details'!A2</f>
        <v>Mortgage-Magnus-Unsecured</v>
      </c>
      <c r="C1" s="2152"/>
      <c r="D1" s="2152"/>
      <c r="E1" s="2231"/>
      <c r="F1" s="2231"/>
      <c r="G1" s="2231"/>
      <c r="H1" s="2231" t="s">
        <v>3</v>
      </c>
      <c r="I1" s="2231"/>
      <c r="J1" s="2231"/>
      <c r="K1" s="1012"/>
    </row>
    <row r="2" spans="2:11" ht="16.5" x14ac:dyDescent="0.2">
      <c r="B2" s="2142"/>
      <c r="C2" s="2153"/>
      <c r="D2" s="2153"/>
      <c r="E2" s="2233"/>
      <c r="F2" s="2233"/>
      <c r="G2" s="2233"/>
      <c r="H2" s="2233"/>
      <c r="I2" s="2233"/>
      <c r="J2" s="2233"/>
      <c r="K2" s="1355"/>
    </row>
    <row r="3" spans="2:11" x14ac:dyDescent="0.2">
      <c r="B3" s="2178" t="s">
        <v>2505</v>
      </c>
      <c r="C3" s="2179"/>
      <c r="D3" s="2179"/>
      <c r="E3" s="2179"/>
      <c r="F3" s="2179"/>
      <c r="G3" s="2179"/>
      <c r="H3" s="2179"/>
      <c r="I3" s="2179"/>
      <c r="J3" s="2179"/>
      <c r="K3" s="2180"/>
    </row>
    <row r="4" spans="2:11" x14ac:dyDescent="0.2">
      <c r="B4" s="2931" t="s">
        <v>498</v>
      </c>
      <c r="C4" s="2932"/>
      <c r="D4" s="2933">
        <f>'Borrower Details'!J12</f>
        <v>1227516</v>
      </c>
      <c r="E4" s="2934"/>
      <c r="F4" s="2935"/>
      <c r="G4" s="1356"/>
      <c r="H4" s="1356"/>
      <c r="I4" s="1356"/>
      <c r="J4" s="1356"/>
      <c r="K4" s="1357"/>
    </row>
    <row r="5" spans="2:11" x14ac:dyDescent="0.2">
      <c r="B5" s="1358" t="s">
        <v>1521</v>
      </c>
      <c r="C5" s="1359"/>
      <c r="D5" s="2936" t="str">
        <f>'Borrower Details'!B8</f>
        <v>AARBUR</v>
      </c>
      <c r="E5" s="2937"/>
      <c r="F5" s="2938"/>
      <c r="G5" s="1356"/>
      <c r="H5" s="1356"/>
      <c r="I5" s="1356"/>
      <c r="J5" s="1356"/>
      <c r="K5" s="1357"/>
    </row>
    <row r="6" spans="2:11" ht="15.75" x14ac:dyDescent="0.25">
      <c r="B6" s="2939" t="s">
        <v>1522</v>
      </c>
      <c r="C6" s="2940"/>
      <c r="D6" s="2940"/>
      <c r="E6" s="2940"/>
      <c r="F6" s="2940"/>
      <c r="G6" s="1356"/>
      <c r="H6" s="1356"/>
      <c r="I6" s="1356"/>
      <c r="J6" s="1356"/>
      <c r="K6" s="1357"/>
    </row>
    <row r="7" spans="2:11" x14ac:dyDescent="0.2">
      <c r="B7" s="2941" t="s">
        <v>1523</v>
      </c>
      <c r="C7" s="2942"/>
      <c r="D7" s="2942"/>
      <c r="E7" s="1360" t="s">
        <v>1524</v>
      </c>
      <c r="F7" s="1360" t="s">
        <v>1525</v>
      </c>
      <c r="G7" s="1356"/>
      <c r="H7" s="1356"/>
      <c r="I7" s="1356"/>
      <c r="J7" s="1356"/>
      <c r="K7" s="1357"/>
    </row>
    <row r="8" spans="2:11" x14ac:dyDescent="0.2">
      <c r="B8" s="2941" t="s">
        <v>1526</v>
      </c>
      <c r="C8" s="2943"/>
      <c r="D8" s="2943"/>
      <c r="E8" s="1363">
        <f>'Borrower Details'!M40</f>
        <v>753.5</v>
      </c>
      <c r="F8" s="1364" t="str">
        <f>IF(E8&gt;750,"Met","Not Met")</f>
        <v>Met</v>
      </c>
      <c r="G8" s="1356"/>
      <c r="H8" s="1356"/>
      <c r="I8" s="1356"/>
      <c r="J8" s="1356"/>
      <c r="K8" s="1357"/>
    </row>
    <row r="9" spans="2:11" x14ac:dyDescent="0.2">
      <c r="B9" s="2941" t="s">
        <v>1527</v>
      </c>
      <c r="C9" s="2943"/>
      <c r="D9" s="2943"/>
      <c r="E9" s="1364">
        <f ca="1">DATEDIF('Business Profile'!D9,TODAY(),"Y")</f>
        <v>34</v>
      </c>
      <c r="F9" s="1364" t="str">
        <f ca="1">IF(E9&gt;7,"Met","Not Met")</f>
        <v>Met</v>
      </c>
      <c r="G9" s="1356"/>
      <c r="H9" s="1356"/>
      <c r="I9" s="1356"/>
      <c r="J9" s="1356"/>
      <c r="K9" s="1357"/>
    </row>
    <row r="10" spans="2:11" x14ac:dyDescent="0.2">
      <c r="B10" s="2941" t="s">
        <v>1528</v>
      </c>
      <c r="C10" s="2943"/>
      <c r="D10" s="2943"/>
      <c r="E10" s="1365">
        <f>Financials_Consolidated!C11</f>
        <v>67905203.25</v>
      </c>
      <c r="F10" s="1364" t="str">
        <f>IF(OR(AND('Borrower Details'!F16="Manufacturing",Financials_Consolidated!C11&gt;50000000),AND('Borrower Details'!F16="Service",Financials_Consolidated!C11&gt;30000000)),"Met","Not Met")</f>
        <v>Met</v>
      </c>
      <c r="G10" s="1356"/>
      <c r="H10" s="1356"/>
      <c r="I10" s="1356"/>
      <c r="J10" s="1356"/>
      <c r="K10" s="1357"/>
    </row>
    <row r="11" spans="2:11" x14ac:dyDescent="0.2">
      <c r="B11" s="1361"/>
      <c r="C11" s="1356"/>
      <c r="D11" s="1356"/>
      <c r="E11" s="1356"/>
      <c r="F11" s="1356"/>
      <c r="G11" s="1356"/>
      <c r="H11" s="1356"/>
      <c r="I11" s="1356"/>
      <c r="J11" s="1356"/>
      <c r="K11" s="1357"/>
    </row>
    <row r="12" spans="2:11" ht="38.25" x14ac:dyDescent="0.2">
      <c r="B12" s="2944" t="s">
        <v>1317</v>
      </c>
      <c r="C12" s="2318"/>
      <c r="D12" s="2318"/>
      <c r="E12" s="2318" t="s">
        <v>1529</v>
      </c>
      <c r="F12" s="2318"/>
      <c r="G12" s="2318"/>
      <c r="H12" s="921" t="s">
        <v>1530</v>
      </c>
      <c r="I12" s="2319" t="s">
        <v>1318</v>
      </c>
      <c r="J12" s="2320"/>
      <c r="K12" s="2945"/>
    </row>
    <row r="13" spans="2:11" x14ac:dyDescent="0.2">
      <c r="B13" s="2926" t="s">
        <v>1319</v>
      </c>
      <c r="C13" s="2927"/>
      <c r="D13" s="2928"/>
      <c r="E13" s="2929" t="s">
        <v>1531</v>
      </c>
      <c r="F13" s="2927"/>
      <c r="G13" s="2928"/>
      <c r="H13" s="920"/>
      <c r="I13" s="2312"/>
      <c r="J13" s="2313"/>
      <c r="K13" s="2930"/>
    </row>
    <row r="14" spans="2:11" x14ac:dyDescent="0.2">
      <c r="B14" s="2926" t="s">
        <v>1320</v>
      </c>
      <c r="C14" s="2927"/>
      <c r="D14" s="2928"/>
      <c r="E14" s="2929" t="s">
        <v>1532</v>
      </c>
      <c r="F14" s="2927"/>
      <c r="G14" s="2928"/>
      <c r="H14" s="920"/>
      <c r="I14" s="2312"/>
      <c r="J14" s="2313"/>
      <c r="K14" s="2930"/>
    </row>
    <row r="15" spans="2:11" x14ac:dyDescent="0.2">
      <c r="B15" s="2926" t="s">
        <v>1321</v>
      </c>
      <c r="C15" s="2927"/>
      <c r="D15" s="2928"/>
      <c r="E15" s="2929" t="s">
        <v>1321</v>
      </c>
      <c r="F15" s="2927"/>
      <c r="G15" s="2928"/>
      <c r="H15" s="920" t="s">
        <v>705</v>
      </c>
      <c r="I15" s="2321" t="s">
        <v>705</v>
      </c>
      <c r="J15" s="2322"/>
      <c r="K15" s="2953"/>
    </row>
    <row r="16" spans="2:11" ht="29.1" customHeight="1" thickBot="1" x14ac:dyDescent="0.25">
      <c r="B16" s="2946" t="s">
        <v>1322</v>
      </c>
      <c r="C16" s="2947"/>
      <c r="D16" s="2948"/>
      <c r="E16" s="2949" t="s">
        <v>1533</v>
      </c>
      <c r="F16" s="2947"/>
      <c r="G16" s="2948"/>
      <c r="H16" s="1362" t="s">
        <v>1085</v>
      </c>
      <c r="I16" s="2950" t="s">
        <v>705</v>
      </c>
      <c r="J16" s="2951"/>
      <c r="K16" s="2952"/>
    </row>
  </sheetData>
  <sheetProtection algorithmName="SHA-512" hashValue="Wv35Clqo8gRv1KgEOvDUR/6WgpIaU3EQqQ7lQT5kC2d4Z6HZgoEiF1pNN7HRViS3HQJ/otgTLyDM6l598FZUOQ==" saltValue="drY3JiLu0JavRsKjZdvCXA==" spinCount="100000" sheet="1" formatCells="0" formatColumns="0" formatRows="0" insertColumns="0" insertRows="0" insertHyperlinks="0" deleteColumns="0" deleteRows="0" autoFilter="0"/>
  <mergeCells count="27">
    <mergeCell ref="E12:G12"/>
    <mergeCell ref="I12:K12"/>
    <mergeCell ref="B16:D16"/>
    <mergeCell ref="E16:G16"/>
    <mergeCell ref="I16:K16"/>
    <mergeCell ref="B14:D14"/>
    <mergeCell ref="E14:G14"/>
    <mergeCell ref="I14:K14"/>
    <mergeCell ref="B15:D15"/>
    <mergeCell ref="E15:G15"/>
    <mergeCell ref="I15:K15"/>
    <mergeCell ref="B3:K3"/>
    <mergeCell ref="B1:D2"/>
    <mergeCell ref="H1:J2"/>
    <mergeCell ref="E1:G2"/>
    <mergeCell ref="B13:D13"/>
    <mergeCell ref="E13:G13"/>
    <mergeCell ref="I13:K13"/>
    <mergeCell ref="B4:C4"/>
    <mergeCell ref="D4:F4"/>
    <mergeCell ref="D5:F5"/>
    <mergeCell ref="B6:F6"/>
    <mergeCell ref="B7:D7"/>
    <mergeCell ref="B8:D8"/>
    <mergeCell ref="B9:D9"/>
    <mergeCell ref="B10:D10"/>
    <mergeCell ref="B12:D12"/>
  </mergeCells>
  <pageMargins left="0.7" right="0.7" top="0.75" bottom="0.75" header="0.3" footer="0.3"/>
  <pageSetup paperSize="9" scale="74"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6"/>
  <dimension ref="B1:E14"/>
  <sheetViews>
    <sheetView showGridLines="0" workbookViewId="0">
      <selection sqref="A1:F2"/>
    </sheetView>
  </sheetViews>
  <sheetFormatPr defaultColWidth="9.140625" defaultRowHeight="14.25" x14ac:dyDescent="0.2"/>
  <cols>
    <col min="1" max="1" width="3.28515625" style="618" customWidth="1"/>
    <col min="2" max="2" width="5.85546875" style="618" bestFit="1" customWidth="1"/>
    <col min="3" max="3" width="13.5703125" style="618" customWidth="1"/>
    <col min="4" max="4" width="15.140625" style="618" bestFit="1" customWidth="1"/>
    <col min="5" max="5" width="17.85546875" style="618" bestFit="1" customWidth="1"/>
    <col min="6" max="16384" width="9.140625" style="618"/>
  </cols>
  <sheetData>
    <row r="1" spans="2:5" ht="15" customHeight="1" x14ac:dyDescent="0.2">
      <c r="B1" s="2879" t="str">
        <f>'Borrower Details'!A2</f>
        <v>Mortgage-Magnus-Unsecured</v>
      </c>
      <c r="C1" s="2959"/>
      <c r="D1" s="2954" t="s">
        <v>3</v>
      </c>
      <c r="E1" s="2881"/>
    </row>
    <row r="2" spans="2:5" ht="15" customHeight="1" x14ac:dyDescent="0.2">
      <c r="B2" s="2960"/>
      <c r="C2" s="2961"/>
      <c r="D2" s="2955"/>
      <c r="E2" s="2956"/>
    </row>
    <row r="3" spans="2:5" ht="15" customHeight="1" x14ac:dyDescent="0.2">
      <c r="B3" s="2962"/>
      <c r="C3" s="2963"/>
      <c r="D3" s="2957"/>
      <c r="E3" s="2958"/>
    </row>
    <row r="4" spans="2:5" ht="16.5" customHeight="1" x14ac:dyDescent="0.2">
      <c r="B4" s="2964" t="s">
        <v>2506</v>
      </c>
      <c r="C4" s="2965"/>
      <c r="D4" s="2965"/>
      <c r="E4" s="2966"/>
    </row>
    <row r="5" spans="2:5" x14ac:dyDescent="0.2">
      <c r="B5" s="2968" t="s">
        <v>1534</v>
      </c>
      <c r="C5" s="2943"/>
      <c r="D5" s="2969" t="str">
        <f>'Borrower Details'!B8</f>
        <v>AARBUR</v>
      </c>
      <c r="E5" s="2970"/>
    </row>
    <row r="6" spans="2:5" x14ac:dyDescent="0.2">
      <c r="B6" s="2968" t="s">
        <v>1535</v>
      </c>
      <c r="C6" s="2943"/>
      <c r="D6" s="2969">
        <f>'Borrower Details'!J12</f>
        <v>1227516</v>
      </c>
      <c r="E6" s="2970"/>
    </row>
    <row r="7" spans="2:5" x14ac:dyDescent="0.2">
      <c r="B7" s="2971" t="s">
        <v>1536</v>
      </c>
      <c r="C7" s="2972"/>
      <c r="D7" s="2972"/>
      <c r="E7" s="2973"/>
    </row>
    <row r="8" spans="2:5" ht="30" x14ac:dyDescent="0.2">
      <c r="B8" s="1366" t="s">
        <v>1537</v>
      </c>
      <c r="C8" s="1367" t="s">
        <v>1538</v>
      </c>
      <c r="D8" s="1367" t="s">
        <v>1539</v>
      </c>
      <c r="E8" s="1368" t="s">
        <v>1540</v>
      </c>
    </row>
    <row r="9" spans="2:5" x14ac:dyDescent="0.2">
      <c r="B9" s="1369">
        <v>1</v>
      </c>
      <c r="C9" s="619"/>
      <c r="D9" s="619"/>
      <c r="E9" s="1374">
        <f>C9*D9</f>
        <v>0</v>
      </c>
    </row>
    <row r="10" spans="2:5" x14ac:dyDescent="0.2">
      <c r="B10" s="1369">
        <v>2</v>
      </c>
      <c r="C10" s="619"/>
      <c r="D10" s="619"/>
      <c r="E10" s="1374">
        <f>C10*D10</f>
        <v>0</v>
      </c>
    </row>
    <row r="11" spans="2:5" x14ac:dyDescent="0.2">
      <c r="B11" s="1369">
        <v>3</v>
      </c>
      <c r="C11" s="619"/>
      <c r="D11" s="619"/>
      <c r="E11" s="1374">
        <f>C11*D11</f>
        <v>0</v>
      </c>
    </row>
    <row r="12" spans="2:5" x14ac:dyDescent="0.2">
      <c r="B12" s="1369">
        <v>4</v>
      </c>
      <c r="C12" s="619"/>
      <c r="D12" s="619"/>
      <c r="E12" s="1374">
        <f>C12*D12</f>
        <v>0</v>
      </c>
    </row>
    <row r="13" spans="2:5" x14ac:dyDescent="0.2">
      <c r="B13" s="1370"/>
      <c r="C13" s="1371" t="s">
        <v>1541</v>
      </c>
      <c r="D13" s="1373">
        <f>SUM(D9:D12)</f>
        <v>0</v>
      </c>
      <c r="E13" s="1374">
        <f>SUM(E9:E12)</f>
        <v>0</v>
      </c>
    </row>
    <row r="14" spans="2:5" ht="15" thickBot="1" x14ac:dyDescent="0.25">
      <c r="B14" s="1372"/>
      <c r="C14" s="2967" t="s">
        <v>1542</v>
      </c>
      <c r="D14" s="2967"/>
      <c r="E14" s="1375" t="e">
        <f>E13/D13</f>
        <v>#DIV/0!</v>
      </c>
    </row>
  </sheetData>
  <sheetProtection algorithmName="SHA-512" hashValue="KnME89pU7MrKl3LX0WOCSXviLIbmF605hfHX5M9Ld1MTvQkZD+v9jlO41MOEw8FyyTDttJUkITe2JYqol+TQnQ==" saltValue="eC955Y994MeKtMsoz4v7tA==" spinCount="100000" sheet="1" formatCells="0" formatColumns="0" formatRows="0" insertColumns="0" insertRows="0" insertHyperlinks="0" deleteColumns="0" deleteRows="0" autoFilter="0"/>
  <mergeCells count="10">
    <mergeCell ref="D1:E3"/>
    <mergeCell ref="B1:C3"/>
    <mergeCell ref="B4:E4"/>
    <mergeCell ref="C14:D14"/>
    <mergeCell ref="B5:C5"/>
    <mergeCell ref="D5:E5"/>
    <mergeCell ref="B6:C6"/>
    <mergeCell ref="D6:E6"/>
    <mergeCell ref="B7:C7"/>
    <mergeCell ref="D7:E7"/>
  </mergeCells>
  <pageMargins left="0.7" right="0.7" top="0.75" bottom="0.75" header="0.3" footer="0.3"/>
  <pageSetup paperSize="9"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A1:C50"/>
  <sheetViews>
    <sheetView workbookViewId="0">
      <selection sqref="A1:F2"/>
    </sheetView>
  </sheetViews>
  <sheetFormatPr defaultColWidth="9.140625" defaultRowHeight="15" x14ac:dyDescent="0.25"/>
  <cols>
    <col min="1" max="1" width="61.5703125" style="770" customWidth="1"/>
    <col min="2" max="2" width="20.85546875" style="815" customWidth="1"/>
    <col min="3" max="3" width="63.7109375" style="752" bestFit="1" customWidth="1"/>
    <col min="4" max="16384" width="9.140625" style="752"/>
  </cols>
  <sheetData>
    <row r="1" spans="1:2" ht="45" x14ac:dyDescent="0.25">
      <c r="A1" s="799" t="s">
        <v>1544</v>
      </c>
      <c r="B1" s="800"/>
    </row>
    <row r="2" spans="1:2" x14ac:dyDescent="0.25">
      <c r="A2" s="801" t="s">
        <v>2568</v>
      </c>
      <c r="B2" s="800" t="s">
        <v>2643</v>
      </c>
    </row>
    <row r="3" spans="1:2" x14ac:dyDescent="0.25">
      <c r="A3" s="799" t="s">
        <v>1546</v>
      </c>
      <c r="B3" s="802"/>
    </row>
    <row r="4" spans="1:2" x14ac:dyDescent="0.25">
      <c r="A4" s="803" t="s">
        <v>1548</v>
      </c>
      <c r="B4" s="804" t="str">
        <f>GST!E3</f>
        <v>19AAFFA3584J1Z6</v>
      </c>
    </row>
    <row r="5" spans="1:2" x14ac:dyDescent="0.25">
      <c r="A5" s="803" t="s">
        <v>1550</v>
      </c>
      <c r="B5" s="805"/>
    </row>
    <row r="6" spans="1:2" ht="30" x14ac:dyDescent="0.25">
      <c r="A6" s="806" t="s">
        <v>1555</v>
      </c>
      <c r="B6" s="807"/>
    </row>
    <row r="7" spans="1:2" ht="30" x14ac:dyDescent="0.25">
      <c r="A7" s="803" t="s">
        <v>1563</v>
      </c>
      <c r="B7" s="805"/>
    </row>
    <row r="8" spans="1:2" ht="30" x14ac:dyDescent="0.25">
      <c r="A8" s="806" t="s">
        <v>2585</v>
      </c>
      <c r="B8" s="805"/>
    </row>
    <row r="9" spans="1:2" x14ac:dyDescent="0.25">
      <c r="A9" s="803" t="s">
        <v>1572</v>
      </c>
      <c r="B9" s="805"/>
    </row>
    <row r="10" spans="1:2" ht="30" x14ac:dyDescent="0.25">
      <c r="A10" s="803" t="s">
        <v>1573</v>
      </c>
      <c r="B10" s="805"/>
    </row>
    <row r="11" spans="1:2" ht="30" x14ac:dyDescent="0.25">
      <c r="A11" s="803" t="s">
        <v>1574</v>
      </c>
      <c r="B11" s="805"/>
    </row>
    <row r="12" spans="1:2" ht="30" x14ac:dyDescent="0.25">
      <c r="A12" s="803" t="s">
        <v>1575</v>
      </c>
      <c r="B12" s="805"/>
    </row>
    <row r="13" spans="1:2" ht="30" x14ac:dyDescent="0.25">
      <c r="A13" s="803" t="s">
        <v>1576</v>
      </c>
      <c r="B13" s="805"/>
    </row>
    <row r="14" spans="1:2" ht="30" x14ac:dyDescent="0.25">
      <c r="A14" s="803" t="s">
        <v>1577</v>
      </c>
      <c r="B14" s="805"/>
    </row>
    <row r="15" spans="1:2" ht="30" x14ac:dyDescent="0.25">
      <c r="A15" s="806" t="s">
        <v>2589</v>
      </c>
      <c r="B15" s="807"/>
    </row>
    <row r="16" spans="1:2" x14ac:dyDescent="0.25">
      <c r="A16" s="806" t="s">
        <v>2590</v>
      </c>
      <c r="B16" s="807"/>
    </row>
    <row r="17" spans="1:2" x14ac:dyDescent="0.25">
      <c r="A17" s="803" t="s">
        <v>2591</v>
      </c>
      <c r="B17" s="807"/>
    </row>
    <row r="18" spans="1:2" x14ac:dyDescent="0.25">
      <c r="A18" s="806" t="s">
        <v>2592</v>
      </c>
      <c r="B18" s="807"/>
    </row>
    <row r="19" spans="1:2" ht="45" x14ac:dyDescent="0.25">
      <c r="A19" s="806" t="s">
        <v>2593</v>
      </c>
      <c r="B19" s="807"/>
    </row>
    <row r="20" spans="1:2" ht="30" x14ac:dyDescent="0.25">
      <c r="A20" s="806" t="s">
        <v>2594</v>
      </c>
      <c r="B20" s="807"/>
    </row>
    <row r="21" spans="1:2" ht="30" x14ac:dyDescent="0.25">
      <c r="A21" s="806" t="s">
        <v>2595</v>
      </c>
      <c r="B21" s="807"/>
    </row>
    <row r="22" spans="1:2" x14ac:dyDescent="0.25">
      <c r="A22" s="806" t="s">
        <v>2599</v>
      </c>
      <c r="B22" s="807"/>
    </row>
    <row r="23" spans="1:2" x14ac:dyDescent="0.25">
      <c r="A23" s="808" t="s">
        <v>2644</v>
      </c>
      <c r="B23" s="809"/>
    </row>
    <row r="24" spans="1:2" x14ac:dyDescent="0.25">
      <c r="A24" s="810" t="s">
        <v>2645</v>
      </c>
      <c r="B24" s="809"/>
    </row>
    <row r="25" spans="1:2" x14ac:dyDescent="0.25">
      <c r="A25" s="810" t="s">
        <v>2646</v>
      </c>
      <c r="B25" s="809"/>
    </row>
    <row r="26" spans="1:2" x14ac:dyDescent="0.25">
      <c r="A26" s="810" t="s">
        <v>2647</v>
      </c>
      <c r="B26" s="811"/>
    </row>
    <row r="27" spans="1:2" ht="30" x14ac:dyDescent="0.25">
      <c r="A27" s="803" t="s">
        <v>1590</v>
      </c>
      <c r="B27" s="807"/>
    </row>
    <row r="28" spans="1:2" x14ac:dyDescent="0.25">
      <c r="A28" s="806" t="s">
        <v>2601</v>
      </c>
      <c r="B28" s="812"/>
    </row>
    <row r="29" spans="1:2" x14ac:dyDescent="0.25">
      <c r="A29" s="806" t="s">
        <v>2648</v>
      </c>
      <c r="B29" s="813"/>
    </row>
    <row r="30" spans="1:2" x14ac:dyDescent="0.25">
      <c r="A30" s="806" t="s">
        <v>2649</v>
      </c>
      <c r="B30" s="813"/>
    </row>
    <row r="31" spans="1:2" x14ac:dyDescent="0.25">
      <c r="A31" s="806" t="s">
        <v>2604</v>
      </c>
      <c r="B31" s="813">
        <f>SUM(B29:B30)</f>
        <v>0</v>
      </c>
    </row>
    <row r="32" spans="1:2" x14ac:dyDescent="0.25">
      <c r="A32" s="887" t="s">
        <v>3117</v>
      </c>
      <c r="B32" s="888"/>
    </row>
    <row r="33" spans="1:3" ht="45" x14ac:dyDescent="0.25">
      <c r="A33" s="806" t="s">
        <v>2607</v>
      </c>
      <c r="B33" s="805"/>
    </row>
    <row r="34" spans="1:3" ht="30" x14ac:dyDescent="0.25">
      <c r="A34" s="887" t="s">
        <v>3118</v>
      </c>
      <c r="B34" s="888"/>
    </row>
    <row r="35" spans="1:3" ht="30" x14ac:dyDescent="0.25">
      <c r="A35" s="806" t="s">
        <v>2614</v>
      </c>
      <c r="B35" s="805"/>
    </row>
    <row r="36" spans="1:3" s="181" customFormat="1" x14ac:dyDescent="0.25">
      <c r="A36" s="887" t="s">
        <v>3119</v>
      </c>
      <c r="B36" s="888"/>
    </row>
    <row r="37" spans="1:3" x14ac:dyDescent="0.25">
      <c r="A37" s="803" t="s">
        <v>1617</v>
      </c>
      <c r="B37" s="814"/>
      <c r="C37" s="752" t="s">
        <v>705</v>
      </c>
    </row>
    <row r="38" spans="1:3" x14ac:dyDescent="0.25">
      <c r="A38" s="806" t="s">
        <v>2639</v>
      </c>
      <c r="B38" s="804"/>
    </row>
    <row r="39" spans="1:3" x14ac:dyDescent="0.25">
      <c r="A39" s="806" t="s">
        <v>2650</v>
      </c>
      <c r="B39" s="804"/>
    </row>
    <row r="40" spans="1:3" x14ac:dyDescent="0.25">
      <c r="A40" s="806" t="s">
        <v>2651</v>
      </c>
      <c r="B40" s="804"/>
    </row>
    <row r="41" spans="1:3" x14ac:dyDescent="0.25">
      <c r="A41" s="803" t="s">
        <v>2652</v>
      </c>
      <c r="B41" s="811"/>
    </row>
    <row r="42" spans="1:3" x14ac:dyDescent="0.25">
      <c r="A42" s="803" t="s">
        <v>1620</v>
      </c>
      <c r="B42" s="804"/>
    </row>
    <row r="43" spans="1:3" x14ac:dyDescent="0.25">
      <c r="A43" s="803" t="s">
        <v>1621</v>
      </c>
      <c r="B43" s="811" t="s">
        <v>2653</v>
      </c>
    </row>
    <row r="44" spans="1:3" s="181" customFormat="1" x14ac:dyDescent="0.25">
      <c r="A44" s="887" t="s">
        <v>2642</v>
      </c>
      <c r="B44" s="888"/>
    </row>
    <row r="45" spans="1:3" s="181" customFormat="1" ht="12.75" x14ac:dyDescent="0.2">
      <c r="A45" s="889" t="s">
        <v>1622</v>
      </c>
      <c r="B45" s="888"/>
    </row>
    <row r="46" spans="1:3" ht="60" x14ac:dyDescent="0.25">
      <c r="A46" s="803" t="s">
        <v>1547</v>
      </c>
      <c r="B46" s="804"/>
    </row>
    <row r="47" spans="1:3" x14ac:dyDescent="0.25">
      <c r="A47" s="803" t="s">
        <v>2580</v>
      </c>
      <c r="B47" s="804"/>
    </row>
    <row r="48" spans="1:3" ht="30" x14ac:dyDescent="0.25">
      <c r="A48" s="803" t="s">
        <v>2586</v>
      </c>
      <c r="B48" s="804"/>
    </row>
    <row r="49" spans="1:2" x14ac:dyDescent="0.25">
      <c r="A49" s="788" t="s">
        <v>1600</v>
      </c>
    </row>
    <row r="50" spans="1:2" x14ac:dyDescent="0.25">
      <c r="A50" s="803" t="s">
        <v>2624</v>
      </c>
      <c r="B50" s="804"/>
    </row>
  </sheetData>
  <protectedRanges>
    <protectedRange sqref="B3:B5 B7:B14 B28 B33 B42 B46:B48 B50 B35 B37:B40" name="Range1"/>
    <protectedRange sqref="B32" name="Range1_1"/>
    <protectedRange sqref="B34" name="Range1_2"/>
    <protectedRange sqref="B36" name="Range1_3"/>
    <protectedRange sqref="B44:B45" name="Range1_4"/>
  </protectedRanges>
  <dataValidations count="4">
    <dataValidation type="list" allowBlank="1" showInputMessage="1" showErrorMessage="1" sqref="B37" xr:uid="{00000000-0002-0000-3C00-000000000000}">
      <formula1>"Fixed, Floating"</formula1>
    </dataValidation>
    <dataValidation type="list" allowBlank="1" showInputMessage="1" showErrorMessage="1" sqref="B1 B5:B22 B27 B33 B35" xr:uid="{00000000-0002-0000-3C00-000001000000}">
      <formula1>"Yes,No"</formula1>
    </dataValidation>
    <dataValidation type="list" allowBlank="1" showInputMessage="1" showErrorMessage="1" sqref="B3" xr:uid="{00000000-0002-0000-3C00-000002000000}">
      <formula1>"0273,0274,0277,0278,0279,0401,0402,0403,0404,0405,0406,0537,0784,0796,0797,0916,0917"</formula1>
    </dataValidation>
    <dataValidation type="list" allowBlank="1" showInputMessage="1" showErrorMessage="1" sqref="B46" xr:uid="{00000000-0002-0000-3C00-000003000000}">
      <formula1>"Ahmedabad,Aurangabad,Bangalore,Chennai,Delhi,Kolapur,Kolkatta,Ludhiana,Moradabad,Mumbai,Pune,Salem,Surat,Vellore"</formula1>
    </dataValidation>
  </dataValidations>
  <pageMargins left="0.7" right="0.7" top="0.75" bottom="0.75" header="0.3" footer="0.3"/>
  <pageSetup paperSize="9" orientation="portrait" horizontalDpi="1200" verticalDpi="1200" r:id="rId1"/>
  <headerFooter>
    <oddFooter>&amp;C&amp;1#&amp;"Calibri"&amp;10&amp;K000000 For internal use only</odd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dimension ref="A1:F117"/>
  <sheetViews>
    <sheetView topLeftCell="A67" workbookViewId="0">
      <selection sqref="A1:F2"/>
    </sheetView>
  </sheetViews>
  <sheetFormatPr defaultColWidth="9.140625" defaultRowHeight="15" x14ac:dyDescent="0.25"/>
  <cols>
    <col min="1" max="1" width="47.85546875" style="752" bestFit="1" customWidth="1"/>
    <col min="2" max="2" width="38.7109375" style="752" bestFit="1" customWidth="1"/>
    <col min="3" max="3" width="69.5703125" style="752" bestFit="1" customWidth="1"/>
    <col min="4" max="4" width="25.85546875" style="752" bestFit="1" customWidth="1"/>
    <col min="5" max="5" width="26.140625" style="752" bestFit="1" customWidth="1"/>
    <col min="6" max="16384" width="9.140625" style="752"/>
  </cols>
  <sheetData>
    <row r="1" spans="1:2" ht="18.75" x14ac:dyDescent="0.3">
      <c r="A1" s="762" t="s">
        <v>1543</v>
      </c>
      <c r="B1" s="762" t="s">
        <v>842</v>
      </c>
    </row>
    <row r="2" spans="1:2" ht="56.25" x14ac:dyDescent="0.25">
      <c r="A2" s="763" t="s">
        <v>1544</v>
      </c>
      <c r="B2" s="764">
        <f>'CGTMSE Input'!B1</f>
        <v>0</v>
      </c>
    </row>
    <row r="3" spans="1:2" x14ac:dyDescent="0.25">
      <c r="A3" s="765" t="s">
        <v>2567</v>
      </c>
      <c r="B3" s="766"/>
    </row>
    <row r="4" spans="1:2" x14ac:dyDescent="0.25">
      <c r="A4" s="765" t="s">
        <v>2568</v>
      </c>
      <c r="B4" s="766"/>
    </row>
    <row r="5" spans="1:2" x14ac:dyDescent="0.25">
      <c r="A5" s="763" t="s">
        <v>2569</v>
      </c>
      <c r="B5" s="767">
        <f>'CGTMSE Input'!B3</f>
        <v>0</v>
      </c>
    </row>
    <row r="6" spans="1:2" ht="50.25" customHeight="1" x14ac:dyDescent="0.25">
      <c r="A6" s="763" t="s">
        <v>1547</v>
      </c>
      <c r="B6" s="766"/>
    </row>
    <row r="7" spans="1:2" x14ac:dyDescent="0.25">
      <c r="A7" s="752" t="s">
        <v>1548</v>
      </c>
      <c r="B7" s="764" t="str">
        <f>'CGTMSE Input'!B4</f>
        <v>19AAFFA3584J1Z6</v>
      </c>
    </row>
    <row r="8" spans="1:2" ht="18.75" x14ac:dyDescent="0.3">
      <c r="A8" s="762" t="s">
        <v>1549</v>
      </c>
    </row>
    <row r="9" spans="1:2" x14ac:dyDescent="0.25">
      <c r="A9" s="752" t="s">
        <v>1550</v>
      </c>
      <c r="B9" s="764">
        <f>'CGTMSE Input'!B5</f>
        <v>0</v>
      </c>
    </row>
    <row r="10" spans="1:2" x14ac:dyDescent="0.25">
      <c r="A10" s="752" t="s">
        <v>1551</v>
      </c>
    </row>
    <row r="11" spans="1:2" x14ac:dyDescent="0.25">
      <c r="A11" s="752" t="s">
        <v>1552</v>
      </c>
    </row>
    <row r="12" spans="1:2" x14ac:dyDescent="0.25">
      <c r="A12" s="768" t="s">
        <v>2570</v>
      </c>
      <c r="B12" s="769" t="str">
        <f>'Borrower Details'!B12</f>
        <v>Partnership</v>
      </c>
    </row>
    <row r="13" spans="1:2" x14ac:dyDescent="0.25">
      <c r="A13" s="768" t="s">
        <v>2571</v>
      </c>
      <c r="B13" s="769" t="str">
        <f>'Borrower Details'!B8</f>
        <v>AARBUR</v>
      </c>
    </row>
    <row r="14" spans="1:2" x14ac:dyDescent="0.25">
      <c r="A14" s="768" t="s">
        <v>2572</v>
      </c>
      <c r="B14" s="769" t="str">
        <f>'Borrower Details'!B9</f>
        <v>327 DR B C ROY ROAD P O DIGALPOTA, , Dakshin Jagatdal SO, South 24 Parganas, WEST BENGAL, 700151</v>
      </c>
    </row>
    <row r="15" spans="1:2" x14ac:dyDescent="0.25">
      <c r="A15" s="768" t="s">
        <v>2573</v>
      </c>
    </row>
    <row r="16" spans="1:2" x14ac:dyDescent="0.25">
      <c r="A16" s="768" t="s">
        <v>2574</v>
      </c>
    </row>
    <row r="17" spans="1:6" ht="30" x14ac:dyDescent="0.25">
      <c r="A17" s="752" t="s">
        <v>1553</v>
      </c>
      <c r="B17" s="867" t="str">
        <f>'Borrower Details'!J14</f>
        <v>AAFFA3584J</v>
      </c>
      <c r="C17" s="770" t="s">
        <v>1554</v>
      </c>
    </row>
    <row r="18" spans="1:6" ht="60" x14ac:dyDescent="0.25">
      <c r="A18" s="771" t="s">
        <v>2575</v>
      </c>
      <c r="B18" s="769" t="str">
        <f>'Borrower Details'!B16</f>
        <v>Jute</v>
      </c>
      <c r="D18" s="772" t="s">
        <v>2576</v>
      </c>
      <c r="E18" s="772" t="s">
        <v>2577</v>
      </c>
      <c r="F18" s="752" t="s">
        <v>26</v>
      </c>
    </row>
    <row r="19" spans="1:6" x14ac:dyDescent="0.25">
      <c r="A19" s="768" t="s">
        <v>2578</v>
      </c>
      <c r="B19" s="773">
        <f>'Borrower Details'!G16</f>
        <v>0</v>
      </c>
      <c r="C19" s="768" t="s">
        <v>2579</v>
      </c>
      <c r="D19" s="774" t="e">
        <f>#REF!</f>
        <v>#REF!</v>
      </c>
      <c r="E19" s="774" t="e">
        <f>#REF!</f>
        <v>#REF!</v>
      </c>
      <c r="F19" s="752" t="e">
        <f>D19+E19</f>
        <v>#REF!</v>
      </c>
    </row>
    <row r="20" spans="1:6" ht="30" x14ac:dyDescent="0.25">
      <c r="A20" s="771" t="s">
        <v>1555</v>
      </c>
      <c r="B20" s="764">
        <f>'CGTMSE Input'!B6</f>
        <v>0</v>
      </c>
    </row>
    <row r="21" spans="1:6" ht="30" x14ac:dyDescent="0.25">
      <c r="A21" s="768" t="s">
        <v>2580</v>
      </c>
      <c r="B21" s="775">
        <f>'CGTMSE Input'!B47</f>
        <v>0</v>
      </c>
      <c r="C21" s="770" t="s">
        <v>1556</v>
      </c>
    </row>
    <row r="23" spans="1:6" x14ac:dyDescent="0.25">
      <c r="A23" s="776" t="s">
        <v>1557</v>
      </c>
    </row>
    <row r="24" spans="1:6" x14ac:dyDescent="0.25">
      <c r="A24" s="752" t="s">
        <v>1558</v>
      </c>
    </row>
    <row r="25" spans="1:6" x14ac:dyDescent="0.25">
      <c r="B25" s="777" t="s">
        <v>2581</v>
      </c>
      <c r="C25" s="777" t="s">
        <v>2582</v>
      </c>
      <c r="D25" s="770" t="s">
        <v>1559</v>
      </c>
      <c r="E25" s="777" t="s">
        <v>2583</v>
      </c>
      <c r="F25" s="778"/>
    </row>
    <row r="26" spans="1:6" x14ac:dyDescent="0.25">
      <c r="B26" s="779" t="s">
        <v>1560</v>
      </c>
      <c r="C26" s="766" t="str">
        <f>'Borrower Details'!B32</f>
        <v>SHEKHAR BURMAN</v>
      </c>
      <c r="D26" s="779"/>
      <c r="E26" s="779"/>
    </row>
    <row r="27" spans="1:6" x14ac:dyDescent="0.25">
      <c r="A27" s="752" t="s">
        <v>1561</v>
      </c>
    </row>
    <row r="28" spans="1:6" ht="30" x14ac:dyDescent="0.25">
      <c r="A28" s="768" t="s">
        <v>2584</v>
      </c>
      <c r="B28" s="773" t="str">
        <f>'Borrower Details'!G32</f>
        <v>Male</v>
      </c>
      <c r="C28" s="770" t="s">
        <v>1562</v>
      </c>
      <c r="D28" s="766" t="str">
        <f>'Borrower Details'!E32</f>
        <v>AFOPB3328M</v>
      </c>
    </row>
    <row r="29" spans="1:6" ht="30" x14ac:dyDescent="0.25">
      <c r="A29" s="770" t="s">
        <v>1563</v>
      </c>
      <c r="B29" s="764">
        <f>'CGTMSE Input'!B7</f>
        <v>0</v>
      </c>
    </row>
    <row r="30" spans="1:6" ht="30" x14ac:dyDescent="0.25">
      <c r="A30" s="771" t="s">
        <v>2585</v>
      </c>
      <c r="B30" s="764">
        <f>'CGTMSE Input'!B8</f>
        <v>0</v>
      </c>
    </row>
    <row r="31" spans="1:6" x14ac:dyDescent="0.25">
      <c r="A31" s="752" t="s">
        <v>1564</v>
      </c>
      <c r="B31" s="780">
        <f>'Borrower Details'!C32</f>
        <v>20773</v>
      </c>
      <c r="C31" s="752" t="s">
        <v>1565</v>
      </c>
    </row>
    <row r="32" spans="1:6" ht="30" x14ac:dyDescent="0.25">
      <c r="A32" s="752" t="s">
        <v>1566</v>
      </c>
      <c r="C32" s="771" t="s">
        <v>2586</v>
      </c>
      <c r="D32" s="766">
        <f>'CGTMSE Input'!B48</f>
        <v>0</v>
      </c>
    </row>
    <row r="35" spans="1:4" x14ac:dyDescent="0.25">
      <c r="A35" s="768" t="s">
        <v>2587</v>
      </c>
      <c r="C35" s="768" t="s">
        <v>2588</v>
      </c>
      <c r="D35" s="781"/>
    </row>
    <row r="37" spans="1:4" x14ac:dyDescent="0.25">
      <c r="A37" s="752" t="s">
        <v>1567</v>
      </c>
    </row>
    <row r="38" spans="1:4" x14ac:dyDescent="0.25">
      <c r="A38" s="752" t="s">
        <v>1568</v>
      </c>
      <c r="B38" s="782" t="str">
        <f>'Borrower Details'!B33</f>
        <v>SATYAJEET BURMAN</v>
      </c>
    </row>
    <row r="39" spans="1:4" x14ac:dyDescent="0.25">
      <c r="A39" s="752" t="s">
        <v>1569</v>
      </c>
      <c r="B39" s="782">
        <f>'Borrower Details'!B34</f>
        <v>0</v>
      </c>
    </row>
    <row r="40" spans="1:4" x14ac:dyDescent="0.25">
      <c r="A40" s="752" t="s">
        <v>1570</v>
      </c>
      <c r="B40" s="782">
        <f>'Borrower Details'!B35</f>
        <v>0</v>
      </c>
    </row>
    <row r="42" spans="1:4" ht="18.75" x14ac:dyDescent="0.3">
      <c r="A42" s="762" t="s">
        <v>1571</v>
      </c>
    </row>
    <row r="43" spans="1:4" x14ac:dyDescent="0.25">
      <c r="A43" s="752" t="s">
        <v>1572</v>
      </c>
      <c r="B43" s="764">
        <f>'CGTMSE Input'!B9</f>
        <v>0</v>
      </c>
    </row>
    <row r="44" spans="1:4" ht="30" x14ac:dyDescent="0.25">
      <c r="A44" s="770" t="s">
        <v>1573</v>
      </c>
      <c r="B44" s="764">
        <f>'CGTMSE Input'!B10</f>
        <v>0</v>
      </c>
    </row>
    <row r="45" spans="1:4" ht="45" x14ac:dyDescent="0.25">
      <c r="A45" s="770" t="s">
        <v>1574</v>
      </c>
      <c r="B45" s="764">
        <f>'CGTMSE Input'!B11</f>
        <v>0</v>
      </c>
    </row>
    <row r="46" spans="1:4" ht="30" x14ac:dyDescent="0.25">
      <c r="A46" s="770" t="s">
        <v>1575</v>
      </c>
      <c r="B46" s="764">
        <f>'CGTMSE Input'!B12</f>
        <v>0</v>
      </c>
    </row>
    <row r="47" spans="1:4" ht="30" x14ac:dyDescent="0.25">
      <c r="A47" s="770" t="s">
        <v>1576</v>
      </c>
      <c r="B47" s="764">
        <f>'CGTMSE Input'!B13</f>
        <v>0</v>
      </c>
    </row>
    <row r="48" spans="1:4" ht="30" x14ac:dyDescent="0.25">
      <c r="A48" s="770" t="s">
        <v>1577</v>
      </c>
      <c r="B48" s="764">
        <f>'CGTMSE Input'!B14</f>
        <v>0</v>
      </c>
    </row>
    <row r="49" spans="1:4" ht="30" x14ac:dyDescent="0.25">
      <c r="A49" s="771" t="s">
        <v>2589</v>
      </c>
      <c r="B49" s="764">
        <f>'CGTMSE Input'!B15</f>
        <v>0</v>
      </c>
    </row>
    <row r="50" spans="1:4" ht="45" x14ac:dyDescent="0.25">
      <c r="A50" s="771" t="s">
        <v>1578</v>
      </c>
    </row>
    <row r="51" spans="1:4" x14ac:dyDescent="0.25">
      <c r="A51" s="768" t="s">
        <v>2590</v>
      </c>
      <c r="B51" s="764">
        <f>'CGTMSE Input'!B16</f>
        <v>0</v>
      </c>
      <c r="C51" s="752" t="s">
        <v>2591</v>
      </c>
      <c r="D51" s="764">
        <f>'CGTMSE Input'!B17</f>
        <v>0</v>
      </c>
    </row>
    <row r="52" spans="1:4" ht="60" x14ac:dyDescent="0.25">
      <c r="A52" s="771" t="s">
        <v>1579</v>
      </c>
    </row>
    <row r="53" spans="1:4" ht="60" x14ac:dyDescent="0.25">
      <c r="A53" s="771" t="s">
        <v>1580</v>
      </c>
    </row>
    <row r="54" spans="1:4" ht="18.75" x14ac:dyDescent="0.3">
      <c r="A54" s="783" t="s">
        <v>1581</v>
      </c>
    </row>
    <row r="55" spans="1:4" ht="28.5" x14ac:dyDescent="0.25">
      <c r="A55" s="771" t="s">
        <v>2592</v>
      </c>
      <c r="B55" s="764">
        <f>'CGTMSE Input'!B18</f>
        <v>0</v>
      </c>
    </row>
    <row r="56" spans="1:4" x14ac:dyDescent="0.25">
      <c r="A56" s="752" t="s">
        <v>1582</v>
      </c>
    </row>
    <row r="57" spans="1:4" ht="18.75" x14ac:dyDescent="0.3">
      <c r="A57" s="784" t="s">
        <v>1583</v>
      </c>
    </row>
    <row r="58" spans="1:4" ht="45" x14ac:dyDescent="0.25">
      <c r="A58" s="771" t="s">
        <v>2593</v>
      </c>
      <c r="B58" s="764">
        <f>'CGTMSE Input'!B19</f>
        <v>0</v>
      </c>
    </row>
    <row r="59" spans="1:4" ht="30" x14ac:dyDescent="0.25">
      <c r="A59" s="785" t="s">
        <v>2594</v>
      </c>
      <c r="B59" s="764">
        <f>'CGTMSE Input'!B20</f>
        <v>0</v>
      </c>
    </row>
    <row r="60" spans="1:4" x14ac:dyDescent="0.25">
      <c r="A60" s="752" t="s">
        <v>1584</v>
      </c>
    </row>
    <row r="61" spans="1:4" ht="18.75" x14ac:dyDescent="0.3">
      <c r="A61" s="784" t="s">
        <v>1585</v>
      </c>
    </row>
    <row r="62" spans="1:4" ht="30" x14ac:dyDescent="0.25">
      <c r="A62" s="771" t="s">
        <v>2595</v>
      </c>
      <c r="B62" s="764">
        <f>'CGTMSE Input'!B21</f>
        <v>0</v>
      </c>
    </row>
    <row r="63" spans="1:4" x14ac:dyDescent="0.25">
      <c r="A63" s="768" t="s">
        <v>2596</v>
      </c>
    </row>
    <row r="64" spans="1:4" ht="105" x14ac:dyDescent="0.25">
      <c r="A64" s="771" t="s">
        <v>2597</v>
      </c>
    </row>
    <row r="65" spans="1:4" ht="75" x14ac:dyDescent="0.25">
      <c r="A65" s="771" t="s">
        <v>2598</v>
      </c>
      <c r="B65" s="786"/>
    </row>
    <row r="66" spans="1:4" x14ac:dyDescent="0.25">
      <c r="A66" s="768" t="s">
        <v>2599</v>
      </c>
      <c r="B66" s="764">
        <f>'CGTMSE Input'!B22</f>
        <v>0</v>
      </c>
    </row>
    <row r="67" spans="1:4" x14ac:dyDescent="0.25">
      <c r="A67" s="768" t="s">
        <v>1586</v>
      </c>
    </row>
    <row r="68" spans="1:4" x14ac:dyDescent="0.25">
      <c r="C68" s="752" t="s">
        <v>1587</v>
      </c>
      <c r="D68" s="764">
        <f>'CGTMSE Input'!B24</f>
        <v>0</v>
      </c>
    </row>
    <row r="69" spans="1:4" x14ac:dyDescent="0.25">
      <c r="A69" s="768"/>
      <c r="C69" s="752" t="s">
        <v>1588</v>
      </c>
      <c r="D69" s="764">
        <f>'CGTMSE Input'!B25</f>
        <v>0</v>
      </c>
    </row>
    <row r="70" spans="1:4" x14ac:dyDescent="0.25">
      <c r="A70" s="768" t="s">
        <v>2600</v>
      </c>
      <c r="B70" s="764">
        <f>'CGTMSE Input'!B23</f>
        <v>0</v>
      </c>
      <c r="C70" s="752" t="s">
        <v>1589</v>
      </c>
      <c r="D70" s="764">
        <f>'CGTMSE Input'!B26</f>
        <v>0</v>
      </c>
    </row>
    <row r="71" spans="1:4" x14ac:dyDescent="0.25">
      <c r="A71" s="768"/>
    </row>
    <row r="72" spans="1:4" ht="30" x14ac:dyDescent="0.25">
      <c r="A72" s="768"/>
      <c r="C72" s="770" t="s">
        <v>1590</v>
      </c>
      <c r="D72" s="764">
        <f>'CGTMSE Input'!B27</f>
        <v>0</v>
      </c>
    </row>
    <row r="73" spans="1:4" x14ac:dyDescent="0.25">
      <c r="A73" s="752" t="s">
        <v>1591</v>
      </c>
      <c r="B73" s="752" t="s">
        <v>1593</v>
      </c>
      <c r="C73" s="752" t="s">
        <v>1592</v>
      </c>
      <c r="D73" s="752" t="s">
        <v>1593</v>
      </c>
    </row>
    <row r="74" spans="1:4" x14ac:dyDescent="0.25">
      <c r="A74" s="752" t="s">
        <v>1594</v>
      </c>
      <c r="B74" s="752" t="s">
        <v>1593</v>
      </c>
      <c r="C74" s="752" t="s">
        <v>1594</v>
      </c>
      <c r="D74" s="752" t="s">
        <v>1593</v>
      </c>
    </row>
    <row r="75" spans="1:4" x14ac:dyDescent="0.25">
      <c r="A75" s="752" t="s">
        <v>1595</v>
      </c>
      <c r="C75" s="752" t="s">
        <v>1596</v>
      </c>
    </row>
    <row r="76" spans="1:4" x14ac:dyDescent="0.25">
      <c r="A76" s="752" t="s">
        <v>1597</v>
      </c>
      <c r="C76" s="752" t="s">
        <v>1593</v>
      </c>
    </row>
    <row r="77" spans="1:4" x14ac:dyDescent="0.25">
      <c r="A77" s="768" t="s">
        <v>2601</v>
      </c>
      <c r="B77" s="787">
        <f>'CGTMSE Input'!B28</f>
        <v>0</v>
      </c>
    </row>
    <row r="78" spans="1:4" ht="30" x14ac:dyDescent="0.25">
      <c r="A78" s="771" t="s">
        <v>1598</v>
      </c>
    </row>
    <row r="79" spans="1:4" x14ac:dyDescent="0.25">
      <c r="A79" s="768" t="s">
        <v>2602</v>
      </c>
      <c r="B79" s="764">
        <f>'CGTMSE Input'!B29</f>
        <v>0</v>
      </c>
    </row>
    <row r="80" spans="1:4" x14ac:dyDescent="0.25">
      <c r="A80" s="768" t="s">
        <v>2603</v>
      </c>
      <c r="B80" s="764">
        <f>'CGTMSE Input'!B30</f>
        <v>0</v>
      </c>
    </row>
    <row r="81" spans="1:4" x14ac:dyDescent="0.25">
      <c r="A81" s="768" t="s">
        <v>2604</v>
      </c>
      <c r="B81" s="772">
        <f>'CGTMSE Input'!B31</f>
        <v>0</v>
      </c>
    </row>
    <row r="83" spans="1:4" x14ac:dyDescent="0.25">
      <c r="A83" s="752" t="s">
        <v>1599</v>
      </c>
    </row>
    <row r="84" spans="1:4" x14ac:dyDescent="0.25">
      <c r="A84" s="788" t="s">
        <v>1600</v>
      </c>
    </row>
    <row r="85" spans="1:4" x14ac:dyDescent="0.25">
      <c r="A85" s="752" t="s">
        <v>1601</v>
      </c>
      <c r="B85" s="789">
        <f>'Borrower Details'!D41</f>
        <v>0</v>
      </c>
      <c r="C85" s="768" t="s">
        <v>2605</v>
      </c>
      <c r="D85" s="790">
        <f>'Borrower Details'!K41</f>
        <v>0</v>
      </c>
    </row>
    <row r="86" spans="1:4" x14ac:dyDescent="0.25">
      <c r="A86" s="768" t="s">
        <v>2606</v>
      </c>
      <c r="B86" s="764">
        <f>'Borrower Details'!D41</f>
        <v>0</v>
      </c>
    </row>
    <row r="87" spans="1:4" x14ac:dyDescent="0.25">
      <c r="A87" s="752" t="s">
        <v>1602</v>
      </c>
      <c r="B87" s="752" t="s">
        <v>1593</v>
      </c>
      <c r="C87" s="752" t="s">
        <v>1603</v>
      </c>
    </row>
    <row r="88" spans="1:4" x14ac:dyDescent="0.25">
      <c r="C88" s="752" t="s">
        <v>1604</v>
      </c>
    </row>
    <row r="89" spans="1:4" ht="45" x14ac:dyDescent="0.25">
      <c r="A89" s="771" t="s">
        <v>2607</v>
      </c>
      <c r="B89" s="764">
        <f>'CGTMSE Input'!B33</f>
        <v>0</v>
      </c>
    </row>
    <row r="90" spans="1:4" x14ac:dyDescent="0.25">
      <c r="A90" s="771" t="s">
        <v>2608</v>
      </c>
      <c r="B90" s="764" t="str">
        <f>'Borrower Details'!L32</f>
        <v>CIBIL</v>
      </c>
      <c r="C90" s="771" t="s">
        <v>2609</v>
      </c>
      <c r="D90" s="772">
        <f>'Borrower Details'!M32</f>
        <v>744</v>
      </c>
    </row>
    <row r="91" spans="1:4" x14ac:dyDescent="0.25">
      <c r="A91" s="752" t="s">
        <v>1605</v>
      </c>
      <c r="B91" s="764" t="str">
        <f>'Borrower Details'!L33</f>
        <v>CIBIL</v>
      </c>
      <c r="C91" s="752" t="s">
        <v>1606</v>
      </c>
      <c r="D91" s="772">
        <f>'Borrower Details'!M33</f>
        <v>763</v>
      </c>
    </row>
    <row r="92" spans="1:4" x14ac:dyDescent="0.25">
      <c r="A92" s="752" t="s">
        <v>1607</v>
      </c>
      <c r="B92" s="764">
        <f>'Borrower Details'!L34</f>
        <v>0</v>
      </c>
      <c r="C92" s="752" t="s">
        <v>1608</v>
      </c>
      <c r="D92" s="772">
        <f>'Borrower Details'!M34</f>
        <v>0</v>
      </c>
    </row>
    <row r="93" spans="1:4" x14ac:dyDescent="0.25">
      <c r="A93" s="752" t="s">
        <v>1609</v>
      </c>
      <c r="B93" s="764">
        <f>'Borrower Details'!L35</f>
        <v>0</v>
      </c>
      <c r="C93" s="752" t="s">
        <v>1610</v>
      </c>
      <c r="D93" s="772">
        <f>'Borrower Details'!M35</f>
        <v>0</v>
      </c>
    </row>
    <row r="94" spans="1:4" x14ac:dyDescent="0.25">
      <c r="A94" s="752" t="s">
        <v>1611</v>
      </c>
      <c r="B94" s="764">
        <f>'Borrower Details'!L36</f>
        <v>0</v>
      </c>
      <c r="C94" s="752" t="s">
        <v>1612</v>
      </c>
      <c r="D94" s="772">
        <f>'Borrower Details'!M36</f>
        <v>0</v>
      </c>
    </row>
    <row r="95" spans="1:4" x14ac:dyDescent="0.25">
      <c r="A95" s="768" t="s">
        <v>2610</v>
      </c>
      <c r="B95" s="767" t="str">
        <f>'Borrower Details'!B40</f>
        <v xml:space="preserve">CMR - 3 </v>
      </c>
      <c r="C95" s="768" t="s">
        <v>2611</v>
      </c>
      <c r="D95" s="773">
        <f>'Borrower Details'!B41</f>
        <v>0</v>
      </c>
    </row>
    <row r="96" spans="1:4" x14ac:dyDescent="0.25">
      <c r="A96" s="791" t="s">
        <v>2612</v>
      </c>
      <c r="B96" s="773"/>
      <c r="C96" s="768" t="s">
        <v>2613</v>
      </c>
      <c r="D96" s="792">
        <f>SUM('Borrower Details'!F32:F39)</f>
        <v>1</v>
      </c>
    </row>
    <row r="97" spans="1:6" x14ac:dyDescent="0.25">
      <c r="C97" s="752" t="s">
        <v>1613</v>
      </c>
    </row>
    <row r="98" spans="1:6" ht="30" x14ac:dyDescent="0.25">
      <c r="A98" s="771" t="s">
        <v>2614</v>
      </c>
      <c r="B98" s="764">
        <f>'CGTMSE Input'!B35</f>
        <v>0</v>
      </c>
      <c r="C98" s="791" t="s">
        <v>2615</v>
      </c>
      <c r="D98" s="786" t="e">
        <f>#REF!</f>
        <v>#REF!</v>
      </c>
    </row>
    <row r="99" spans="1:6" x14ac:dyDescent="0.25">
      <c r="A99" s="771" t="s">
        <v>2616</v>
      </c>
      <c r="B99" s="793">
        <f>Financials_Consolidated!C11/100000</f>
        <v>679.0520325</v>
      </c>
      <c r="C99" s="768" t="s">
        <v>2617</v>
      </c>
      <c r="D99" s="793">
        <f>Financials_Consolidated!C25/100000</f>
        <v>-7.3112552999999378</v>
      </c>
    </row>
    <row r="100" spans="1:6" x14ac:dyDescent="0.25">
      <c r="A100" s="771" t="s">
        <v>2618</v>
      </c>
      <c r="B100" s="793">
        <f>Financials_Consolidated!C31/100000</f>
        <v>49.711080099999997</v>
      </c>
      <c r="C100" s="768" t="s">
        <v>2619</v>
      </c>
      <c r="D100" s="793">
        <f>Financials_Consolidated!C35/100000</f>
        <v>1.4166300000000001</v>
      </c>
    </row>
    <row r="101" spans="1:6" x14ac:dyDescent="0.25">
      <c r="A101" s="768" t="s">
        <v>2620</v>
      </c>
      <c r="B101" s="793">
        <f>Financials_Consolidated!C48/100000</f>
        <v>701.5538226000001</v>
      </c>
      <c r="C101" s="768" t="s">
        <v>2621</v>
      </c>
      <c r="D101" s="793">
        <f>Financials_Consolidated!C67/100000</f>
        <v>440.63462750000002</v>
      </c>
    </row>
    <row r="102" spans="1:6" x14ac:dyDescent="0.25">
      <c r="A102" s="768" t="s">
        <v>2622</v>
      </c>
      <c r="B102" s="793">
        <f>Financials_Consolidated!C62/100000</f>
        <v>329.51662699999997</v>
      </c>
      <c r="C102" s="768" t="s">
        <v>2623</v>
      </c>
      <c r="D102" s="793">
        <f>Financials_Consolidated!C54/100000</f>
        <v>217.2003976</v>
      </c>
    </row>
    <row r="103" spans="1:6" x14ac:dyDescent="0.25">
      <c r="A103" s="768" t="s">
        <v>2624</v>
      </c>
      <c r="B103" s="794">
        <f>'CGTMSE Input'!B50/100000</f>
        <v>0</v>
      </c>
      <c r="C103" s="768" t="s">
        <v>2625</v>
      </c>
      <c r="D103" s="793">
        <f>Financials_Consolidated!C55/100000</f>
        <v>0</v>
      </c>
    </row>
    <row r="104" spans="1:6" ht="27" x14ac:dyDescent="0.25">
      <c r="A104" s="771" t="s">
        <v>2626</v>
      </c>
      <c r="B104" s="752" t="s">
        <v>1614</v>
      </c>
    </row>
    <row r="105" spans="1:6" x14ac:dyDescent="0.25">
      <c r="A105" s="771" t="s">
        <v>2627</v>
      </c>
      <c r="B105" s="752" t="s">
        <v>1615</v>
      </c>
    </row>
    <row r="106" spans="1:6" x14ac:dyDescent="0.25">
      <c r="A106" s="768" t="s">
        <v>2628</v>
      </c>
      <c r="B106" s="794">
        <f>Financials_Consolidated!C16/100000</f>
        <v>728.37914150000006</v>
      </c>
      <c r="C106" s="768" t="s">
        <v>2629</v>
      </c>
      <c r="D106" s="793">
        <f>Financials_Consolidated!C36/100000</f>
        <v>-78.33284539999994</v>
      </c>
      <c r="E106" s="768" t="s">
        <v>2630</v>
      </c>
      <c r="F106" s="795">
        <f>Financials_Consolidated!C58/100000</f>
        <v>217.2003976</v>
      </c>
    </row>
    <row r="107" spans="1:6" x14ac:dyDescent="0.25">
      <c r="A107" s="768" t="s">
        <v>2631</v>
      </c>
      <c r="B107" s="796">
        <f>(Financials_Consolidated!C62+Financials_Consolidated!C65)/Financials_Consolidated!C58</f>
        <v>3.2205213983457268</v>
      </c>
      <c r="C107" s="768" t="s">
        <v>2632</v>
      </c>
      <c r="D107" s="774">
        <f>Financials_Consolidated!C25/IF(Eligibility_Margin!B7="",Eligibility_EBIDTA!B16,Eligibility_Margin!B15)</f>
        <v>-7.5678038505330063</v>
      </c>
      <c r="E107" s="752" t="s">
        <v>1616</v>
      </c>
      <c r="F107" s="797">
        <f>Financials_Consolidated!C73</f>
        <v>1.5921441003862096</v>
      </c>
    </row>
    <row r="108" spans="1:6" x14ac:dyDescent="0.25">
      <c r="A108" s="768" t="s">
        <v>2633</v>
      </c>
      <c r="B108" s="776">
        <f>B107</f>
        <v>3.2205213983457268</v>
      </c>
      <c r="C108" s="768" t="s">
        <v>2634</v>
      </c>
      <c r="D108" s="795">
        <f>'HTN-LAP'!C33</f>
        <v>-0.30355374413015762</v>
      </c>
      <c r="E108" s="768" t="s">
        <v>2635</v>
      </c>
      <c r="F108" s="797">
        <f>Financials_Consolidated!C73</f>
        <v>1.5921441003862096</v>
      </c>
    </row>
    <row r="109" spans="1:6" x14ac:dyDescent="0.25">
      <c r="A109" s="768" t="s">
        <v>2636</v>
      </c>
      <c r="C109" s="768" t="s">
        <v>2637</v>
      </c>
      <c r="D109" s="798">
        <f>Financials_Consolidated!C51/100000</f>
        <v>987.35165210000014</v>
      </c>
    </row>
    <row r="110" spans="1:6" x14ac:dyDescent="0.25">
      <c r="A110" s="768" t="s">
        <v>2638</v>
      </c>
      <c r="B110" s="764">
        <f>'CGTMSE Input'!B36</f>
        <v>0</v>
      </c>
    </row>
    <row r="111" spans="1:6" x14ac:dyDescent="0.25">
      <c r="A111" s="752" t="s">
        <v>1617</v>
      </c>
      <c r="B111" s="764">
        <f>'CGTMSE Input'!B37</f>
        <v>0</v>
      </c>
      <c r="C111" s="768" t="s">
        <v>2639</v>
      </c>
      <c r="D111" s="764">
        <f>'CGTMSE Input'!B38</f>
        <v>0</v>
      </c>
    </row>
    <row r="112" spans="1:6" x14ac:dyDescent="0.25">
      <c r="A112" s="768" t="s">
        <v>2640</v>
      </c>
      <c r="B112" s="764">
        <f>'CGTMSE Input'!B39</f>
        <v>0</v>
      </c>
      <c r="C112" s="768" t="s">
        <v>2641</v>
      </c>
      <c r="D112" s="764">
        <f>'CGTMSE Input'!B40</f>
        <v>0</v>
      </c>
    </row>
    <row r="113" spans="1:4" x14ac:dyDescent="0.25">
      <c r="A113" s="752" t="s">
        <v>1618</v>
      </c>
      <c r="C113" s="752" t="s">
        <v>1619</v>
      </c>
      <c r="D113" s="764">
        <f>'CGTMSE Input'!B41</f>
        <v>0</v>
      </c>
    </row>
    <row r="114" spans="1:4" x14ac:dyDescent="0.25">
      <c r="C114" s="752" t="s">
        <v>1620</v>
      </c>
      <c r="D114" s="764">
        <f>'CGTMSE Input'!B42</f>
        <v>0</v>
      </c>
    </row>
    <row r="115" spans="1:4" x14ac:dyDescent="0.25">
      <c r="C115" s="752" t="s">
        <v>1621</v>
      </c>
      <c r="D115" s="764" t="str">
        <f>'CGTMSE Input'!B43</f>
        <v>Monthly</v>
      </c>
    </row>
    <row r="116" spans="1:4" x14ac:dyDescent="0.25">
      <c r="C116" s="768" t="s">
        <v>2642</v>
      </c>
      <c r="D116" s="764">
        <f>'CGTMSE Input'!B44</f>
        <v>0</v>
      </c>
    </row>
    <row r="117" spans="1:4" x14ac:dyDescent="0.25">
      <c r="C117" s="752" t="s">
        <v>1622</v>
      </c>
      <c r="D117" s="764">
        <f>'CGTMSE Input'!B45</f>
        <v>0</v>
      </c>
    </row>
  </sheetData>
  <protectedRanges>
    <protectedRange sqref="B15:B16 D17 B35 B32 B52:B53 B63:B64 B78 B87 D87:D88" name="Range1"/>
  </protectedRanges>
  <dataValidations count="1">
    <dataValidation type="list" allowBlank="1" showInputMessage="1" showErrorMessage="1" sqref="B26" xr:uid="{00000000-0002-0000-3D00-000000000000}">
      <formula1>"Mr, Mrs, Ms"</formula1>
    </dataValidation>
  </dataValidations>
  <pageMargins left="0.7" right="0.7" top="0.75" bottom="0.75" header="0.3" footer="0.3"/>
  <pageSetup paperSize="9" orientation="portrait" horizontalDpi="1200" verticalDpi="1200" r:id="rId1"/>
  <headerFooter>
    <oddFooter>&amp;C&amp;1#&amp;"Calibri"&amp;10&amp;K000000 For internal use only</oddFooter>
  </headerFooter>
  <legacy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5"/>
  <dimension ref="A1:XFD52"/>
  <sheetViews>
    <sheetView showGridLines="0" zoomScale="90" zoomScaleNormal="90" workbookViewId="0">
      <selection sqref="A1:F2"/>
    </sheetView>
  </sheetViews>
  <sheetFormatPr defaultColWidth="1.5703125" defaultRowHeight="15" customHeight="1" zeroHeight="1" x14ac:dyDescent="0.25"/>
  <cols>
    <col min="1" max="1" width="30.28515625" style="816" bestFit="1" customWidth="1"/>
    <col min="2" max="2" width="9.42578125" style="816" bestFit="1" customWidth="1"/>
    <col min="3" max="3" width="8.7109375" style="816" bestFit="1" customWidth="1"/>
    <col min="4" max="4" width="44.42578125" style="816" customWidth="1"/>
    <col min="5" max="5" width="39.7109375" style="816" customWidth="1"/>
    <col min="6" max="8" width="15" style="816" bestFit="1" customWidth="1"/>
    <col min="9" max="9" width="15" style="816" customWidth="1"/>
    <col min="10" max="13" width="15" style="816" hidden="1" customWidth="1"/>
    <col min="14" max="14" width="15.5703125" style="816" customWidth="1"/>
    <col min="15" max="15" width="12.140625" style="816" customWidth="1"/>
    <col min="16" max="24" width="8.140625" style="816" customWidth="1"/>
    <col min="25" max="25" width="9.140625" style="816" customWidth="1"/>
    <col min="26" max="16384" width="1.5703125" style="816"/>
  </cols>
  <sheetData>
    <row r="1" spans="1:25 16384:16384" ht="76.5" customHeight="1" x14ac:dyDescent="0.25">
      <c r="A1" s="3013"/>
      <c r="B1" s="3015" t="s">
        <v>2236</v>
      </c>
      <c r="C1" s="3015"/>
      <c r="D1" s="817" t="s">
        <v>835</v>
      </c>
      <c r="E1" s="817" t="s">
        <v>836</v>
      </c>
      <c r="F1" s="818" t="s">
        <v>837</v>
      </c>
      <c r="G1" s="818" t="s">
        <v>838</v>
      </c>
      <c r="H1" s="818" t="s">
        <v>839</v>
      </c>
      <c r="I1" s="819" t="s">
        <v>2237</v>
      </c>
      <c r="J1" s="818" t="s">
        <v>2238</v>
      </c>
      <c r="K1" s="818" t="s">
        <v>2239</v>
      </c>
      <c r="L1" s="818" t="s">
        <v>2240</v>
      </c>
      <c r="M1" s="818" t="s">
        <v>2241</v>
      </c>
      <c r="N1" s="3017" t="s">
        <v>26</v>
      </c>
    </row>
    <row r="2" spans="1:25 16384:16384" x14ac:dyDescent="0.25">
      <c r="A2" s="3014"/>
      <c r="B2" s="3016"/>
      <c r="C2" s="3016"/>
      <c r="D2" s="820">
        <v>1</v>
      </c>
      <c r="E2" s="820">
        <v>1</v>
      </c>
      <c r="F2" s="820">
        <v>1</v>
      </c>
      <c r="G2" s="820">
        <v>1</v>
      </c>
      <c r="H2" s="820">
        <v>1</v>
      </c>
      <c r="I2" s="820">
        <v>1</v>
      </c>
      <c r="J2" s="820">
        <v>1</v>
      </c>
      <c r="K2" s="820">
        <v>1</v>
      </c>
      <c r="L2" s="820">
        <v>1</v>
      </c>
      <c r="M2" s="820">
        <v>1</v>
      </c>
      <c r="N2" s="3018"/>
    </row>
    <row r="3" spans="1:25 16384:16384" ht="15.75" thickBot="1" x14ac:dyDescent="0.3">
      <c r="A3" s="3020" t="s">
        <v>2242</v>
      </c>
      <c r="B3" s="3021" t="s">
        <v>1336</v>
      </c>
      <c r="C3" s="821" t="s">
        <v>2243</v>
      </c>
      <c r="D3" s="822"/>
      <c r="E3" s="823"/>
      <c r="F3" s="823"/>
      <c r="G3" s="823"/>
      <c r="H3" s="823"/>
      <c r="I3" s="823"/>
      <c r="J3" s="823"/>
      <c r="K3" s="823"/>
      <c r="L3" s="823"/>
      <c r="M3" s="823"/>
      <c r="N3" s="3019"/>
    </row>
    <row r="4" spans="1:25 16384:16384" ht="52.5" customHeight="1" thickTop="1" x14ac:dyDescent="0.25">
      <c r="A4" s="3020"/>
      <c r="B4" s="3022"/>
      <c r="C4" s="824" t="s">
        <v>2244</v>
      </c>
      <c r="D4" s="825"/>
      <c r="E4" s="825"/>
      <c r="F4" s="825"/>
      <c r="G4" s="825"/>
      <c r="H4" s="825"/>
      <c r="I4" s="825"/>
      <c r="J4" s="825"/>
      <c r="K4" s="825"/>
      <c r="L4" s="825"/>
      <c r="M4" s="825"/>
      <c r="N4" s="826">
        <f t="shared" ref="N4:N14" si="0">SUM(D4:M4)</f>
        <v>0</v>
      </c>
    </row>
    <row r="5" spans="1:25 16384:16384" x14ac:dyDescent="0.25">
      <c r="A5" s="827" t="s">
        <v>2245</v>
      </c>
      <c r="B5" s="828" t="s">
        <v>2246</v>
      </c>
      <c r="C5" s="828" t="s">
        <v>1545</v>
      </c>
      <c r="D5" s="829"/>
      <c r="E5" s="3023"/>
      <c r="F5" s="3024"/>
      <c r="G5" s="3024"/>
      <c r="H5" s="3024"/>
      <c r="I5" s="3024"/>
      <c r="J5" s="3024"/>
      <c r="K5" s="3024"/>
      <c r="L5" s="3024"/>
      <c r="M5" s="3025"/>
      <c r="N5" s="830">
        <f t="shared" si="0"/>
        <v>0</v>
      </c>
    </row>
    <row r="6" spans="1:25 16384:16384" x14ac:dyDescent="0.25">
      <c r="A6" s="827" t="s">
        <v>2247</v>
      </c>
      <c r="B6" s="831" t="s">
        <v>2246</v>
      </c>
      <c r="C6" s="828" t="s">
        <v>1545</v>
      </c>
      <c r="D6" s="829"/>
      <c r="E6" s="829"/>
      <c r="F6" s="2995"/>
      <c r="G6" s="2996"/>
      <c r="H6" s="2996"/>
      <c r="I6" s="2996"/>
      <c r="J6" s="2996"/>
      <c r="K6" s="2996"/>
      <c r="L6" s="2996"/>
      <c r="M6" s="2996"/>
      <c r="N6" s="830">
        <f t="shared" ref="N6:N11" si="1">SUM(D6:M6)</f>
        <v>0</v>
      </c>
      <c r="XFD6" s="832"/>
    </row>
    <row r="7" spans="1:25 16384:16384" x14ac:dyDescent="0.25">
      <c r="A7" s="827" t="s">
        <v>2248</v>
      </c>
      <c r="B7" s="831" t="s">
        <v>2246</v>
      </c>
      <c r="C7" s="828" t="s">
        <v>1545</v>
      </c>
      <c r="D7" s="829"/>
      <c r="E7" s="829"/>
      <c r="F7" s="829"/>
      <c r="G7" s="2995"/>
      <c r="H7" s="2996"/>
      <c r="I7" s="2996"/>
      <c r="J7" s="2996"/>
      <c r="K7" s="2996"/>
      <c r="L7" s="2996"/>
      <c r="M7" s="2996"/>
      <c r="N7" s="830">
        <f t="shared" si="1"/>
        <v>0</v>
      </c>
    </row>
    <row r="8" spans="1:25 16384:16384" x14ac:dyDescent="0.25">
      <c r="A8" s="827" t="s">
        <v>2249</v>
      </c>
      <c r="B8" s="831" t="s">
        <v>2246</v>
      </c>
      <c r="C8" s="828" t="s">
        <v>1545</v>
      </c>
      <c r="D8" s="829"/>
      <c r="E8" s="829"/>
      <c r="F8" s="829"/>
      <c r="G8" s="829"/>
      <c r="H8" s="2995"/>
      <c r="I8" s="2996"/>
      <c r="J8" s="2996"/>
      <c r="K8" s="2996"/>
      <c r="L8" s="2996"/>
      <c r="M8" s="2996"/>
      <c r="N8" s="830">
        <f t="shared" si="1"/>
        <v>0</v>
      </c>
    </row>
    <row r="9" spans="1:25 16384:16384" x14ac:dyDescent="0.25">
      <c r="A9" s="827" t="s">
        <v>2250</v>
      </c>
      <c r="B9" s="831" t="s">
        <v>2246</v>
      </c>
      <c r="C9" s="828" t="s">
        <v>1545</v>
      </c>
      <c r="D9" s="829"/>
      <c r="E9" s="829"/>
      <c r="F9" s="829"/>
      <c r="G9" s="829"/>
      <c r="H9" s="829"/>
      <c r="I9" s="2995"/>
      <c r="J9" s="2996"/>
      <c r="K9" s="2996"/>
      <c r="L9" s="2996"/>
      <c r="M9" s="2996"/>
      <c r="N9" s="830">
        <f t="shared" si="1"/>
        <v>0</v>
      </c>
    </row>
    <row r="10" spans="1:25 16384:16384" x14ac:dyDescent="0.25">
      <c r="A10" s="827" t="s">
        <v>2251</v>
      </c>
      <c r="B10" s="831" t="s">
        <v>2246</v>
      </c>
      <c r="C10" s="828" t="s">
        <v>1545</v>
      </c>
      <c r="D10" s="829"/>
      <c r="E10" s="833"/>
      <c r="F10" s="833"/>
      <c r="G10" s="833"/>
      <c r="H10" s="829"/>
      <c r="I10" s="829"/>
      <c r="J10" s="2995"/>
      <c r="K10" s="2996"/>
      <c r="L10" s="2996"/>
      <c r="M10" s="2996"/>
      <c r="N10" s="830">
        <f t="shared" si="1"/>
        <v>0</v>
      </c>
    </row>
    <row r="11" spans="1:25 16384:16384" hidden="1" x14ac:dyDescent="0.25">
      <c r="A11" s="827" t="s">
        <v>2252</v>
      </c>
      <c r="B11" s="831" t="s">
        <v>2246</v>
      </c>
      <c r="C11" s="828" t="s">
        <v>1545</v>
      </c>
      <c r="D11" s="829"/>
      <c r="E11" s="833"/>
      <c r="F11" s="833"/>
      <c r="G11" s="833"/>
      <c r="H11" s="829"/>
      <c r="I11" s="829"/>
      <c r="J11" s="829"/>
      <c r="K11" s="2995"/>
      <c r="L11" s="2996"/>
      <c r="M11" s="2996"/>
      <c r="N11" s="830">
        <f t="shared" si="1"/>
        <v>0</v>
      </c>
    </row>
    <row r="12" spans="1:25 16384:16384" hidden="1" x14ac:dyDescent="0.25">
      <c r="A12" s="827" t="s">
        <v>2253</v>
      </c>
      <c r="B12" s="831" t="s">
        <v>2246</v>
      </c>
      <c r="C12" s="828" t="s">
        <v>1545</v>
      </c>
      <c r="D12" s="829"/>
      <c r="E12" s="833"/>
      <c r="F12" s="833"/>
      <c r="G12" s="833"/>
      <c r="H12" s="829"/>
      <c r="I12" s="834"/>
      <c r="J12" s="829"/>
      <c r="K12" s="829"/>
      <c r="L12" s="2995"/>
      <c r="M12" s="2996"/>
      <c r="N12" s="830">
        <f>SUM(D12:M12)</f>
        <v>0</v>
      </c>
    </row>
    <row r="13" spans="1:25 16384:16384" hidden="1" x14ac:dyDescent="0.25">
      <c r="A13" s="827" t="s">
        <v>2254</v>
      </c>
      <c r="B13" s="831" t="s">
        <v>2246</v>
      </c>
      <c r="C13" s="828" t="s">
        <v>1545</v>
      </c>
      <c r="D13" s="829"/>
      <c r="E13" s="833"/>
      <c r="F13" s="833"/>
      <c r="G13" s="833"/>
      <c r="H13" s="829"/>
      <c r="I13" s="834"/>
      <c r="J13" s="829"/>
      <c r="K13" s="829"/>
      <c r="L13" s="829"/>
      <c r="M13" s="835"/>
      <c r="N13" s="830">
        <f t="shared" si="0"/>
        <v>0</v>
      </c>
    </row>
    <row r="14" spans="1:25 16384:16384" ht="16.5" hidden="1" customHeight="1" x14ac:dyDescent="0.25">
      <c r="A14" s="827" t="s">
        <v>2255</v>
      </c>
      <c r="B14" s="831" t="s">
        <v>2246</v>
      </c>
      <c r="C14" s="828" t="s">
        <v>1545</v>
      </c>
      <c r="D14" s="833"/>
      <c r="E14" s="833"/>
      <c r="F14" s="833"/>
      <c r="G14" s="833"/>
      <c r="H14" s="833"/>
      <c r="I14" s="829"/>
      <c r="J14" s="829"/>
      <c r="K14" s="829"/>
      <c r="L14" s="829"/>
      <c r="M14" s="829"/>
      <c r="N14" s="830">
        <f t="shared" si="0"/>
        <v>0</v>
      </c>
      <c r="O14" s="751"/>
    </row>
    <row r="15" spans="1:25 16384:16384" x14ac:dyDescent="0.25">
      <c r="A15" s="2997" t="s">
        <v>2256</v>
      </c>
      <c r="B15" s="2998"/>
      <c r="C15" s="2998"/>
      <c r="D15" s="836">
        <f>(D4*D2)-SUM(D5:D14)</f>
        <v>0</v>
      </c>
      <c r="E15" s="836">
        <f>(E4*E2)-SUM(E6:E14)</f>
        <v>0</v>
      </c>
      <c r="F15" s="836">
        <f>(F4*F2)-SUM(F7:F14)</f>
        <v>0</v>
      </c>
      <c r="G15" s="836">
        <f>(G4*G2)-SUM(G8:G14)</f>
        <v>0</v>
      </c>
      <c r="H15" s="836">
        <f>(H4*H2)-SUM(H9:H14)</f>
        <v>0</v>
      </c>
      <c r="I15" s="836">
        <f>(I4*I2)-SUM(I10:I14)</f>
        <v>0</v>
      </c>
      <c r="J15" s="836">
        <f>(J4*J2)-SUM(J11:J14)</f>
        <v>0</v>
      </c>
      <c r="K15" s="836">
        <f>(K4*K2)-SUM(K12:K14)</f>
        <v>0</v>
      </c>
      <c r="L15" s="836">
        <f>(L4*L2)-SUM(L13:L14)</f>
        <v>0</v>
      </c>
      <c r="M15" s="836">
        <f>(M4*M2)-SUM(M14)</f>
        <v>0</v>
      </c>
      <c r="N15" s="837">
        <f>SUM(D15:M15)</f>
        <v>0</v>
      </c>
      <c r="O15" s="751"/>
      <c r="P15" s="838" t="s">
        <v>835</v>
      </c>
      <c r="Q15" s="838" t="s">
        <v>836</v>
      </c>
      <c r="R15" s="838" t="s">
        <v>837</v>
      </c>
      <c r="S15" s="838" t="s">
        <v>838</v>
      </c>
      <c r="T15" s="838" t="s">
        <v>839</v>
      </c>
      <c r="U15" s="838" t="s">
        <v>2237</v>
      </c>
      <c r="V15" s="838" t="s">
        <v>2238</v>
      </c>
      <c r="W15" s="838" t="s">
        <v>2239</v>
      </c>
      <c r="X15" s="838" t="s">
        <v>2240</v>
      </c>
      <c r="Y15" s="838" t="s">
        <v>2241</v>
      </c>
    </row>
    <row r="16" spans="1:25 16384:16384" hidden="1" x14ac:dyDescent="0.25">
      <c r="A16" s="2999">
        <f>A20</f>
        <v>100016303690019</v>
      </c>
      <c r="B16" s="3000"/>
      <c r="C16" s="3000"/>
      <c r="D16" s="839" t="e">
        <f>IF(D20="No","0",D15*($N$20/$O$16))</f>
        <v>#DIV/0!</v>
      </c>
      <c r="E16" s="839" t="e">
        <f t="shared" ref="E16:M16" si="2">IF(E20="No","0",E15*($N$20/$O$16))</f>
        <v>#DIV/0!</v>
      </c>
      <c r="F16" s="839" t="e">
        <f t="shared" si="2"/>
        <v>#DIV/0!</v>
      </c>
      <c r="G16" s="839" t="e">
        <f t="shared" si="2"/>
        <v>#DIV/0!</v>
      </c>
      <c r="H16" s="839" t="e">
        <f>IF(H20="No","0",H15*($N$20/$O$16))</f>
        <v>#DIV/0!</v>
      </c>
      <c r="I16" s="839" t="e">
        <f t="shared" si="2"/>
        <v>#DIV/0!</v>
      </c>
      <c r="J16" s="839" t="e">
        <f t="shared" si="2"/>
        <v>#DIV/0!</v>
      </c>
      <c r="K16" s="839" t="e">
        <f t="shared" si="2"/>
        <v>#DIV/0!</v>
      </c>
      <c r="L16" s="839" t="e">
        <f t="shared" si="2"/>
        <v>#DIV/0!</v>
      </c>
      <c r="M16" s="839" t="e">
        <f t="shared" si="2"/>
        <v>#DIV/0!</v>
      </c>
      <c r="N16" s="840" t="e">
        <f>SUM(D16:M16)</f>
        <v>#DIV/0!</v>
      </c>
      <c r="O16" s="816">
        <f>SUMIF(D20:M20,"Yes",D15:M15)</f>
        <v>0</v>
      </c>
      <c r="P16" s="841" t="e">
        <f>D15-D16</f>
        <v>#DIV/0!</v>
      </c>
      <c r="Q16" s="841" t="e">
        <f>E15-E16</f>
        <v>#DIV/0!</v>
      </c>
      <c r="R16" s="841" t="e">
        <f>F15-F16</f>
        <v>#DIV/0!</v>
      </c>
      <c r="S16" s="841" t="e">
        <f>G15-G16</f>
        <v>#DIV/0!</v>
      </c>
      <c r="T16" s="841" t="e">
        <f>H15-H16</f>
        <v>#DIV/0!</v>
      </c>
      <c r="U16" s="841" t="e">
        <f>I15-I16</f>
        <v>#DIV/0!</v>
      </c>
      <c r="V16" s="841" t="e">
        <f>J15-J16</f>
        <v>#DIV/0!</v>
      </c>
      <c r="W16" s="841" t="e">
        <f>K15-K16</f>
        <v>#DIV/0!</v>
      </c>
      <c r="X16" s="841" t="e">
        <f>L15-L16</f>
        <v>#DIV/0!</v>
      </c>
      <c r="Y16" s="841" t="e">
        <f>M15-M16</f>
        <v>#DIV/0!</v>
      </c>
    </row>
    <row r="17" spans="1:25" hidden="1" x14ac:dyDescent="0.25">
      <c r="A17" s="2999">
        <f>A21</f>
        <v>0</v>
      </c>
      <c r="B17" s="3000"/>
      <c r="C17" s="3000"/>
      <c r="D17" s="839" t="e">
        <f>IF(D21="No","0",P16*($N$21/$O$17))</f>
        <v>#DIV/0!</v>
      </c>
      <c r="E17" s="839" t="e">
        <f>IF(E21="No","0",Q16*($N$21/$O$17))</f>
        <v>#DIV/0!</v>
      </c>
      <c r="F17" s="839" t="e">
        <f t="shared" ref="F17:M17" si="3">IF(F21="No","0",R16*($N$21/$O$17))</f>
        <v>#DIV/0!</v>
      </c>
      <c r="G17" s="839" t="e">
        <f t="shared" si="3"/>
        <v>#DIV/0!</v>
      </c>
      <c r="H17" s="839" t="e">
        <f>IF(H21="No","0",T16*($N$21/$O$17))</f>
        <v>#DIV/0!</v>
      </c>
      <c r="I17" s="839" t="e">
        <f t="shared" si="3"/>
        <v>#DIV/0!</v>
      </c>
      <c r="J17" s="839" t="e">
        <f t="shared" si="3"/>
        <v>#DIV/0!</v>
      </c>
      <c r="K17" s="839" t="e">
        <f t="shared" si="3"/>
        <v>#DIV/0!</v>
      </c>
      <c r="L17" s="839" t="e">
        <f t="shared" si="3"/>
        <v>#DIV/0!</v>
      </c>
      <c r="M17" s="839" t="e">
        <f t="shared" si="3"/>
        <v>#DIV/0!</v>
      </c>
      <c r="N17" s="840" t="e">
        <f>SUM(D17:M17)</f>
        <v>#DIV/0!</v>
      </c>
      <c r="O17" s="816" t="e">
        <f>SUMIF(D21:M21,"Yes",P16:Y16)+0.000000000000000001</f>
        <v>#DIV/0!</v>
      </c>
      <c r="P17" s="841" t="e">
        <f>P16-D17</f>
        <v>#DIV/0!</v>
      </c>
      <c r="Q17" s="841" t="e">
        <f t="shared" ref="Q17:Y18" si="4">Q16-E17</f>
        <v>#DIV/0!</v>
      </c>
      <c r="R17" s="841" t="e">
        <f t="shared" si="4"/>
        <v>#DIV/0!</v>
      </c>
      <c r="S17" s="841" t="e">
        <f t="shared" si="4"/>
        <v>#DIV/0!</v>
      </c>
      <c r="T17" s="841" t="e">
        <f t="shared" si="4"/>
        <v>#DIV/0!</v>
      </c>
      <c r="U17" s="841" t="e">
        <f t="shared" si="4"/>
        <v>#DIV/0!</v>
      </c>
      <c r="V17" s="841" t="e">
        <f t="shared" si="4"/>
        <v>#DIV/0!</v>
      </c>
      <c r="W17" s="841" t="e">
        <f t="shared" si="4"/>
        <v>#DIV/0!</v>
      </c>
      <c r="X17" s="841" t="e">
        <f t="shared" si="4"/>
        <v>#DIV/0!</v>
      </c>
      <c r="Y17" s="841" t="e">
        <f t="shared" si="4"/>
        <v>#DIV/0!</v>
      </c>
    </row>
    <row r="18" spans="1:25" hidden="1" x14ac:dyDescent="0.25">
      <c r="A18" s="3001" t="str">
        <f>A22</f>
        <v>Magnus Facilty 03 (A/c detail)</v>
      </c>
      <c r="B18" s="3002"/>
      <c r="C18" s="3003"/>
      <c r="D18" s="839" t="e">
        <f>IF(D22="No","0",P17*($N$22/$O$18))</f>
        <v>#DIV/0!</v>
      </c>
      <c r="E18" s="839" t="e">
        <f>IF(E22="No","0",Q17*($N$22/$O$18))</f>
        <v>#DIV/0!</v>
      </c>
      <c r="F18" s="839" t="e">
        <f t="shared" ref="F18:M18" si="5">IF(F22="No","0",R17*($N$22/$O$18))</f>
        <v>#DIV/0!</v>
      </c>
      <c r="G18" s="839" t="e">
        <f t="shared" si="5"/>
        <v>#DIV/0!</v>
      </c>
      <c r="H18" s="839" t="e">
        <f t="shared" si="5"/>
        <v>#DIV/0!</v>
      </c>
      <c r="I18" s="839" t="e">
        <f t="shared" si="5"/>
        <v>#DIV/0!</v>
      </c>
      <c r="J18" s="839" t="e">
        <f t="shared" si="5"/>
        <v>#DIV/0!</v>
      </c>
      <c r="K18" s="839" t="e">
        <f t="shared" si="5"/>
        <v>#DIV/0!</v>
      </c>
      <c r="L18" s="839" t="e">
        <f t="shared" si="5"/>
        <v>#DIV/0!</v>
      </c>
      <c r="M18" s="839" t="e">
        <f t="shared" si="5"/>
        <v>#DIV/0!</v>
      </c>
      <c r="N18" s="840" t="e">
        <f t="shared" ref="N18:N19" si="6">SUM(D18:M18)</f>
        <v>#DIV/0!</v>
      </c>
      <c r="O18" s="816" t="e">
        <f>SUMIF(D22:M22,"Yes",P17:Y17)+0.000000000000000001</f>
        <v>#DIV/0!</v>
      </c>
      <c r="P18" s="841" t="e">
        <f>P17-D18</f>
        <v>#DIV/0!</v>
      </c>
      <c r="Q18" s="841" t="e">
        <f>Q17-E18</f>
        <v>#DIV/0!</v>
      </c>
      <c r="R18" s="841" t="e">
        <f>R17-F18</f>
        <v>#DIV/0!</v>
      </c>
      <c r="S18" s="841" t="e">
        <f t="shared" si="4"/>
        <v>#DIV/0!</v>
      </c>
      <c r="T18" s="841" t="e">
        <f t="shared" si="4"/>
        <v>#DIV/0!</v>
      </c>
      <c r="U18" s="841" t="e">
        <f t="shared" si="4"/>
        <v>#DIV/0!</v>
      </c>
      <c r="V18" s="841" t="e">
        <f t="shared" si="4"/>
        <v>#DIV/0!</v>
      </c>
      <c r="W18" s="841" t="e">
        <f t="shared" si="4"/>
        <v>#DIV/0!</v>
      </c>
      <c r="X18" s="841" t="e">
        <f t="shared" si="4"/>
        <v>#DIV/0!</v>
      </c>
      <c r="Y18" s="841" t="e">
        <f t="shared" si="4"/>
        <v>#DIV/0!</v>
      </c>
    </row>
    <row r="19" spans="1:25" ht="15.75" hidden="1" customHeight="1" x14ac:dyDescent="0.25">
      <c r="A19" s="3001" t="str">
        <f>A23</f>
        <v>Magnus Facilty 04 (A/c detail)</v>
      </c>
      <c r="B19" s="3002"/>
      <c r="C19" s="3003"/>
      <c r="D19" s="839" t="e">
        <f t="shared" ref="D19:M19" si="7">IF(D23="No","0",P18*($N$23/$O$19))</f>
        <v>#DIV/0!</v>
      </c>
      <c r="E19" s="839" t="e">
        <f t="shared" si="7"/>
        <v>#DIV/0!</v>
      </c>
      <c r="F19" s="839" t="e">
        <f t="shared" si="7"/>
        <v>#DIV/0!</v>
      </c>
      <c r="G19" s="839" t="e">
        <f t="shared" si="7"/>
        <v>#DIV/0!</v>
      </c>
      <c r="H19" s="839" t="e">
        <f t="shared" si="7"/>
        <v>#DIV/0!</v>
      </c>
      <c r="I19" s="839" t="e">
        <f t="shared" si="7"/>
        <v>#DIV/0!</v>
      </c>
      <c r="J19" s="839" t="e">
        <f t="shared" si="7"/>
        <v>#DIV/0!</v>
      </c>
      <c r="K19" s="839" t="e">
        <f t="shared" si="7"/>
        <v>#DIV/0!</v>
      </c>
      <c r="L19" s="839" t="e">
        <f t="shared" si="7"/>
        <v>#DIV/0!</v>
      </c>
      <c r="M19" s="839" t="e">
        <f t="shared" si="7"/>
        <v>#DIV/0!</v>
      </c>
      <c r="N19" s="840" t="e">
        <f t="shared" si="6"/>
        <v>#DIV/0!</v>
      </c>
      <c r="O19" s="816" t="e">
        <f>SUMIF(D23:M23,"Yes",P18:Y18)+0.000000000000000001</f>
        <v>#DIV/0!</v>
      </c>
    </row>
    <row r="20" spans="1:25" ht="15.75" thickBot="1" x14ac:dyDescent="0.3">
      <c r="A20" s="842">
        <v>100016303690019</v>
      </c>
      <c r="B20" s="842" t="s">
        <v>2246</v>
      </c>
      <c r="C20" s="3004" t="s">
        <v>2258</v>
      </c>
      <c r="D20" s="843" t="s">
        <v>1340</v>
      </c>
      <c r="E20" s="843" t="s">
        <v>1340</v>
      </c>
      <c r="F20" s="843" t="s">
        <v>1340</v>
      </c>
      <c r="G20" s="843" t="s">
        <v>1340</v>
      </c>
      <c r="H20" s="843" t="s">
        <v>1340</v>
      </c>
      <c r="I20" s="843" t="s">
        <v>1340</v>
      </c>
      <c r="J20" s="843" t="s">
        <v>1340</v>
      </c>
      <c r="K20" s="843" t="s">
        <v>1340</v>
      </c>
      <c r="L20" s="843" t="s">
        <v>1340</v>
      </c>
      <c r="M20" s="843" t="s">
        <v>1340</v>
      </c>
      <c r="N20" s="844">
        <v>0</v>
      </c>
    </row>
    <row r="21" spans="1:25" ht="16.5" thickTop="1" thickBot="1" x14ac:dyDescent="0.3">
      <c r="A21" s="842"/>
      <c r="B21" s="845" t="s">
        <v>2257</v>
      </c>
      <c r="C21" s="3004"/>
      <c r="D21" s="843" t="s">
        <v>1340</v>
      </c>
      <c r="E21" s="843" t="s">
        <v>1340</v>
      </c>
      <c r="F21" s="843" t="s">
        <v>1340</v>
      </c>
      <c r="G21" s="843" t="s">
        <v>1340</v>
      </c>
      <c r="H21" s="843" t="s">
        <v>1340</v>
      </c>
      <c r="I21" s="843" t="s">
        <v>1340</v>
      </c>
      <c r="J21" s="843" t="s">
        <v>1340</v>
      </c>
      <c r="K21" s="843" t="s">
        <v>1340</v>
      </c>
      <c r="L21" s="843" t="s">
        <v>1340</v>
      </c>
      <c r="M21" s="843" t="s">
        <v>1340</v>
      </c>
      <c r="N21" s="844"/>
    </row>
    <row r="22" spans="1:25" ht="16.5" hidden="1" thickTop="1" thickBot="1" x14ac:dyDescent="0.3">
      <c r="A22" s="842" t="s">
        <v>2259</v>
      </c>
      <c r="B22" s="845" t="s">
        <v>2257</v>
      </c>
      <c r="C22" s="3004"/>
      <c r="D22" s="843" t="s">
        <v>1340</v>
      </c>
      <c r="E22" s="843" t="s">
        <v>1340</v>
      </c>
      <c r="F22" s="843" t="s">
        <v>1340</v>
      </c>
      <c r="G22" s="843" t="s">
        <v>1340</v>
      </c>
      <c r="H22" s="843" t="s">
        <v>1340</v>
      </c>
      <c r="I22" s="843" t="s">
        <v>1340</v>
      </c>
      <c r="J22" s="843" t="s">
        <v>1340</v>
      </c>
      <c r="K22" s="843" t="s">
        <v>1340</v>
      </c>
      <c r="L22" s="843" t="s">
        <v>1340</v>
      </c>
      <c r="M22" s="843" t="s">
        <v>1340</v>
      </c>
      <c r="N22" s="844"/>
    </row>
    <row r="23" spans="1:25" ht="16.5" hidden="1" thickTop="1" thickBot="1" x14ac:dyDescent="0.3">
      <c r="A23" s="842" t="s">
        <v>2260</v>
      </c>
      <c r="B23" s="845" t="s">
        <v>2257</v>
      </c>
      <c r="C23" s="3004"/>
      <c r="D23" s="843" t="s">
        <v>1340</v>
      </c>
      <c r="E23" s="843" t="s">
        <v>1340</v>
      </c>
      <c r="F23" s="843" t="s">
        <v>1340</v>
      </c>
      <c r="G23" s="843" t="s">
        <v>1340</v>
      </c>
      <c r="H23" s="843" t="s">
        <v>1340</v>
      </c>
      <c r="I23" s="843" t="s">
        <v>1340</v>
      </c>
      <c r="J23" s="843" t="s">
        <v>1340</v>
      </c>
      <c r="K23" s="843" t="s">
        <v>1340</v>
      </c>
      <c r="L23" s="843" t="s">
        <v>1340</v>
      </c>
      <c r="M23" s="843" t="s">
        <v>1340</v>
      </c>
      <c r="N23" s="844"/>
    </row>
    <row r="24" spans="1:25" ht="16.5" thickTop="1" thickBot="1" x14ac:dyDescent="0.3">
      <c r="A24" s="3005" t="s">
        <v>2261</v>
      </c>
      <c r="B24" s="3006"/>
      <c r="C24" s="3007"/>
      <c r="D24" s="846" t="e">
        <f>IF(D2="","-",IF(SUM(D5:D14,D16,D17,D18,D19)/D4&gt;D2,"Not Okay","Okay"))</f>
        <v>#DIV/0!</v>
      </c>
      <c r="E24" s="846" t="e">
        <f>IF(E2="","-",IF(SUM(E6:E14,E16,E17,E18,E19)/E4&gt;E2,"Not Okay","Okay"))</f>
        <v>#DIV/0!</v>
      </c>
      <c r="F24" s="846" t="e">
        <f>IF(F2="","-",IF(SUM(F7:F14,F16,F17,F18,F19)/F4&gt;F2,"Not Okay","Okay"))</f>
        <v>#DIV/0!</v>
      </c>
      <c r="G24" s="846" t="e">
        <f>IF(G2="","-",IF(SUM(G8:G14,G16,G17,G18,G19)/G4&gt;G2,"Not Okay","Okay"))</f>
        <v>#DIV/0!</v>
      </c>
      <c r="H24" s="846" t="e">
        <f>IF(H2="","-",IF(SUM(H9:H14,H16,H17,H18,H19)/H4&gt;H2,"Not Okay","Okay"))</f>
        <v>#DIV/0!</v>
      </c>
      <c r="I24" s="846" t="e">
        <f>IF(I2="","-",IF(SUM(I10:I14,I16,I17,I18,I19)/I4&gt;I2,"Not Okay","Okay"))</f>
        <v>#DIV/0!</v>
      </c>
      <c r="J24" s="846" t="e">
        <f>IF(J2="","-",IF(SUM(J11:J14,J16,J17,J18,J19)/J4&gt;J2,"Not Okay","Okay"))</f>
        <v>#DIV/0!</v>
      </c>
      <c r="K24" s="846" t="e">
        <f>IF(K2="","-",IF(SUM(K12:K14,K16,K17,K18,K19)/K4&gt;K2,"Not Okay","Okay"))</f>
        <v>#DIV/0!</v>
      </c>
      <c r="L24" s="846" t="e">
        <f>IF(L2="","-",IF(SUM(L13:L14,L16,L17,L18,L19)/L4&gt;L2,"Not Okay","Okay"))</f>
        <v>#DIV/0!</v>
      </c>
      <c r="M24" s="846" t="e">
        <f>IF(M2="","-",IF(SUM(M14,M16,M17,M18,M19)/M4&gt;M2,"Not Okay","Okay"))</f>
        <v>#DIV/0!</v>
      </c>
      <c r="N24" s="847"/>
    </row>
    <row r="25" spans="1:25" ht="15.75" thickBot="1" x14ac:dyDescent="0.3">
      <c r="A25" s="3008" t="s">
        <v>1869</v>
      </c>
      <c r="B25" s="3009"/>
      <c r="C25" s="3010"/>
      <c r="D25" s="848" t="e">
        <f>SUM(D5:D14,D16,D17,D18,D19)</f>
        <v>#DIV/0!</v>
      </c>
      <c r="E25" s="848" t="e">
        <f>SUM(E6:E14,E16,E17,E18,E19)</f>
        <v>#DIV/0!</v>
      </c>
      <c r="F25" s="848" t="e">
        <f>SUM(F7:F14,F16,F17,F18,F19)</f>
        <v>#DIV/0!</v>
      </c>
      <c r="G25" s="848" t="e">
        <f>SUM(G8:G14,G16,G17,G18,G19)</f>
        <v>#DIV/0!</v>
      </c>
      <c r="H25" s="848" t="e">
        <f>SUM(H9:H14,H16,H17,H18,H19)</f>
        <v>#DIV/0!</v>
      </c>
      <c r="I25" s="848" t="e">
        <f>SUM(I10:I14,I16,I17,I18,I19)</f>
        <v>#DIV/0!</v>
      </c>
      <c r="J25" s="848" t="e">
        <f>SUM(J11:J14,J16,J17,J18,J19)</f>
        <v>#DIV/0!</v>
      </c>
      <c r="K25" s="848" t="e">
        <f>SUM(K12:K14,K16,K17,K18,K19)</f>
        <v>#DIV/0!</v>
      </c>
      <c r="L25" s="848" t="e">
        <f>SUM(L13:L14,L16,L17,L18,L19)</f>
        <v>#DIV/0!</v>
      </c>
      <c r="M25" s="848" t="e">
        <f>SUM(M14,M16,M17,M18,M19)</f>
        <v>#DIV/0!</v>
      </c>
      <c r="N25" s="849">
        <f>SUM(N5:N14)+SUM(N20:N23)</f>
        <v>0</v>
      </c>
    </row>
    <row r="26" spans="1:25" x14ac:dyDescent="0.25">
      <c r="A26" s="2982" t="s">
        <v>2262</v>
      </c>
      <c r="B26" s="2983"/>
      <c r="C26" s="2983"/>
      <c r="D26" s="850" t="e">
        <f t="shared" ref="D26:N26" si="8">D25/D4</f>
        <v>#DIV/0!</v>
      </c>
      <c r="E26" s="850" t="e">
        <f t="shared" si="8"/>
        <v>#DIV/0!</v>
      </c>
      <c r="F26" s="850" t="e">
        <f t="shared" si="8"/>
        <v>#DIV/0!</v>
      </c>
      <c r="G26" s="850" t="e">
        <f t="shared" si="8"/>
        <v>#DIV/0!</v>
      </c>
      <c r="H26" s="850" t="e">
        <f t="shared" si="8"/>
        <v>#DIV/0!</v>
      </c>
      <c r="I26" s="850" t="e">
        <f t="shared" si="8"/>
        <v>#DIV/0!</v>
      </c>
      <c r="J26" s="850" t="e">
        <f t="shared" si="8"/>
        <v>#DIV/0!</v>
      </c>
      <c r="K26" s="850" t="e">
        <f t="shared" si="8"/>
        <v>#DIV/0!</v>
      </c>
      <c r="L26" s="850" t="e">
        <f t="shared" si="8"/>
        <v>#DIV/0!</v>
      </c>
      <c r="M26" s="850" t="e">
        <f t="shared" si="8"/>
        <v>#DIV/0!</v>
      </c>
      <c r="N26" s="851" t="e">
        <f t="shared" si="8"/>
        <v>#DIV/0!</v>
      </c>
    </row>
    <row r="27" spans="1:25" x14ac:dyDescent="0.25">
      <c r="A27" s="3011" t="s">
        <v>2263</v>
      </c>
      <c r="B27" s="3012"/>
      <c r="C27" s="3012"/>
      <c r="D27" s="852" t="e">
        <f>IF(SUMIF(C5:C14,"Yes",D5:D19)=D25,"-",(D4-(IF($C$5="Yes",D5/75%,0)+IF($C$6="Yes",D6/75%,0)+IF($C$7="Yes",D7/75%,0)+IF($C$8="Yes",D8/75%,0)+IF($C$9="Yes",D9/75%,0)+IF($C$10="Yes",D10/75%,0)+IF($C$11="Yes",D11/75%,0)+IF($C$12="Yes",D12/75%,0)+IF($C$13="Yes",D13/75%,0)+IF($C$14="Yes",D14/75%,0))))</f>
        <v>#DIV/0!</v>
      </c>
      <c r="E27" s="852" t="e">
        <f>IF(SUMIF(C6:C14,"Yes",E6:E19)=E25,"-",(E4-(IF($C$6="Yes",E6/75%,0)+IF($C$7="Yes",E7/75%,0)+IF($C$8="Yes",E8/75%,0)+IF($C$9="Yes",E9/75%,0)+IF($C$10="Yes",E10/75%,0)+IF($C$11="Yes",E11/75%,0)+IF($C$12="Yes",E12/75%,0)+IF($C$13="Yes",E13/75%,0)+IF($C$14="Yes",E14/75%,0))))</f>
        <v>#DIV/0!</v>
      </c>
      <c r="F27" s="852" t="e">
        <f>IF(SUMIF(C7:C14,"Yes",F7:F19)=F25,"-",(F4-(IF($C$7="Yes",F7/75%,0)+IF($C$8="Yes",F8/75%,0)+IF($C$9="Yes",F9/75%,0)+IF($C$10="Yes",F10/75%,0)+IF($C$11="Yes",F11/75%,0)+IF($C$12="Yes",F12/75%,0)+IF($C$13="Yes",F13/75%,0)+IF($C$14="Yes",F14/75%,0))))</f>
        <v>#DIV/0!</v>
      </c>
      <c r="G27" s="852" t="e">
        <f>IF(SUMIF(C8:C14,"Yes",G8:G19)=G25,"-",(G4-(IF($C$8="Yes",G8/75%,0)+IF($C$9="Yes",G9/75%,0)+IF($C$10="Yes",G10/75%,0)+IF($C$11="Yes",G11/75%,0)+IF($C$12="Yes",G12/75%,0)+IF($C$13="Yes",G13/75%,0)+IF($C$14="Yes",G14/75%,0))))</f>
        <v>#DIV/0!</v>
      </c>
      <c r="H27" s="852" t="e">
        <f>IF(SUMIF(C9:C14,"Yes",H9:H19)=H25,"-",(H4-(IF($C$9="Yes",H9/75%,0)+IF($C$10="Yes",H10/75%,0)+IF($C$11="Yes",H11/75%,0)+IF($C$12="Yes",H12/75%,0)+IF($C$13="Yes",H13/75%,0)+IF($C$14="Yes",H14/75%,0))))</f>
        <v>#DIV/0!</v>
      </c>
      <c r="I27" s="852" t="e">
        <f>IF(SUMIF(C10:C14,"Yes",I10:I19)=I25,"-",(I4-(IF($C$10="Yes",I10/75%,0)+IF($C$11="Yes",I11/75%,0)+IF($C$12="Yes",I12/75%,0)+IF($C$13="Yes",I13/75%,0)+IF($C$14="Yes",I14/75%,0))))</f>
        <v>#DIV/0!</v>
      </c>
      <c r="J27" s="852" t="e">
        <f>IF(SUMIF(C11:C14,"Yes",J11:J19)=J25,"-",(J4-(IF($C$11="Yes",J11/75%,0)+IF($C$12="Yes",J12/75%,0)+IF($C$13="Yes",J13/75%,0)+IF($C$14="Yes",J14/75%,0))))</f>
        <v>#DIV/0!</v>
      </c>
      <c r="K27" s="852" t="e">
        <f>IF(SUMIF(C12:C14,"Yes",K12:K19)=K25,"-",(K4-(IF($C$12="Yes",K12/75%,0)+IF($C$13="Yes",K13/75%,0)+IF($C$14="Yes",K14/75%,0))))</f>
        <v>#DIV/0!</v>
      </c>
      <c r="L27" s="852" t="e">
        <f>IF(SUMIF(C13:C14,"Yes",L13:L19)=L25,"-",(L4-(IF($C$13="Yes",L13/75%,0)+IF($C$14="Yes",L14/75%,0))))</f>
        <v>#DIV/0!</v>
      </c>
      <c r="M27" s="852" t="e">
        <f>IF(SUMIF(C14,"Yes",M14:M19)=M25,"-",(M4-(IF($C$14="Yes",M14/75%,0))))</f>
        <v>#DIV/0!</v>
      </c>
      <c r="N27" s="853" t="e">
        <f>SUM(D27:M27)</f>
        <v>#DIV/0!</v>
      </c>
    </row>
    <row r="28" spans="1:25" ht="15.75" thickBot="1" x14ac:dyDescent="0.3">
      <c r="A28" s="2993" t="s">
        <v>2264</v>
      </c>
      <c r="B28" s="2994"/>
      <c r="C28" s="2994"/>
      <c r="D28" s="854" t="e">
        <f>IF(SUMIF(C5:C14,"Yes",D5:D19)=D25,"-",(D25-(IF($C$5="Yes",D5,0)+IF($C$6="Yes",D6,0)+IF($C$7="Yes",D7,0)+IF($C$8="Yes",D8,0)+IF($C$9="Yes",D9,0)+IF($C$10="Yes",D10,0)+IF($C$11="Yes",D11,0)+IF($C$12="Yes",D12,0)+IF($C$13="Yes",D13,0)+IF($C$14="Yes",D14,0))))</f>
        <v>#DIV/0!</v>
      </c>
      <c r="E28" s="854" t="e">
        <f>IF(SUMIF(C6:C14,"Yes",E6:E19)=E25,"-",(E25-(IF($C$6="Yes",E6,0)+IF($C$7="Yes",E7,0)+IF($C$8="Yes",E8,0)+IF($C$9="Yes",E9,0)+IF($C$10="Yes",E10,0)+IF($C$11="Yes",E11,0)+IF($C$12="Yes",E12,0)+IF($C$13="Yes",E13,0)+IF($C$14="Yes",E14,0))))</f>
        <v>#DIV/0!</v>
      </c>
      <c r="F28" s="854" t="e">
        <f>IF(SUMIF(C7:C14,"Yes",F7:F19)=F25,"-",(F25-(IF($C$7="Yes",F7,0)+IF($C$8="Yes",F8,0)+IF($C$9="Yes",F9,0)+IF($C$10="Yes",F10,0)+IF($C$11="Yes",F11,0)+IF($C$12="Yes",F12,0)+IF($C$13="Yes",F13,0)+IF($C$14="Yes",F14,0))))</f>
        <v>#DIV/0!</v>
      </c>
      <c r="G28" s="854" t="e">
        <f>IF(SUMIF(C8:C14,"Yes",G8:G19)=G25,"-",(G25-(IF($C$8="Yes",G8,0)+IF($C$9="Yes",G9,0)+IF($C$10="Yes",G10,0)+IF($C$11="Yes",G11,0)+IF($C$12="Yes",G12,0)+IF($C$13="Yes",G13,0)+IF($C$14="Yes",G14,0))))</f>
        <v>#DIV/0!</v>
      </c>
      <c r="H28" s="854" t="e">
        <f>IF(SUMIF(C9:C14,"Yes",H9:H19)=H25,"-",(H25-(IF($C$9="Yes",H9,0)+IF($C$10="Yes",H10,0)+IF($C$11="Yes",H11,0)+IF($C$12="Yes",H12,0)+IF($C$13="Yes",H13,0)+IF($C$14="Yes",H14,0))))</f>
        <v>#DIV/0!</v>
      </c>
      <c r="I28" s="854" t="e">
        <f>IF(SUMIF(C10:C14,"Yes",I10:I19)=I25,"-",(I25-(IF($C$10="Yes",I10,0)+IF($C$11="Yes",I11,0)+IF($C$12="Yes",I12,0)+IF($C$13="Yes",I13,0)+IF($C$14="Yes",I14,0))))</f>
        <v>#DIV/0!</v>
      </c>
      <c r="J28" s="854" t="e">
        <f>IF(SUMIF(C11:C14,"Yes",J11:J19)=J25,"-",(J25-(IF($C$11="Yes",J11,0)+IF($C$12="Yes",J12,0)+IF($C$13="Yes",J13,0)+IF($C$14="Yes",J14,0))))</f>
        <v>#DIV/0!</v>
      </c>
      <c r="K28" s="854" t="e">
        <f>IF(SUMIF(C12:C14,"Yes",K12:K19)=K25,"-",(K25-(IF($C$12="Yes",K12,0)+IF($C$13="Yes",K13,0)+IF($C$14="Yes",K14,0))))</f>
        <v>#DIV/0!</v>
      </c>
      <c r="L28" s="854" t="e">
        <f>IF(SUMIF(C13:C14,"Yes",L13:L19)=L25,"-",(L25-(IF($C$13="Yes",L13,0)+IF($C$14="Yes",L14,0))))</f>
        <v>#DIV/0!</v>
      </c>
      <c r="M28" s="854" t="e">
        <f>IF(SUMIF(C14,"Yes",M14:M19)=M25,"-",(M25-(IF($C$14="Yes",M14,0))))</f>
        <v>#DIV/0!</v>
      </c>
      <c r="N28" s="855" t="e">
        <f>SUM(D28:M28)</f>
        <v>#DIV/0!</v>
      </c>
    </row>
    <row r="29" spans="1:25" s="858" customFormat="1" ht="16.5" thickBot="1" x14ac:dyDescent="0.3">
      <c r="A29" s="2982" t="s">
        <v>2265</v>
      </c>
      <c r="B29" s="2983"/>
      <c r="C29" s="2983"/>
      <c r="D29" s="856" t="e">
        <f>D28/D27</f>
        <v>#DIV/0!</v>
      </c>
      <c r="E29" s="856" t="e">
        <f>E28/E27</f>
        <v>#DIV/0!</v>
      </c>
      <c r="F29" s="856" t="e">
        <f>F28/F27</f>
        <v>#DIV/0!</v>
      </c>
      <c r="G29" s="856" t="e">
        <f t="shared" ref="G29:M29" si="9">G28/G27</f>
        <v>#DIV/0!</v>
      </c>
      <c r="H29" s="856" t="e">
        <f t="shared" si="9"/>
        <v>#DIV/0!</v>
      </c>
      <c r="I29" s="856" t="e">
        <f t="shared" si="9"/>
        <v>#DIV/0!</v>
      </c>
      <c r="J29" s="856" t="e">
        <f t="shared" si="9"/>
        <v>#DIV/0!</v>
      </c>
      <c r="K29" s="856" t="e">
        <f t="shared" si="9"/>
        <v>#DIV/0!</v>
      </c>
      <c r="L29" s="856" t="e">
        <f t="shared" si="9"/>
        <v>#DIV/0!</v>
      </c>
      <c r="M29" s="856" t="e">
        <f t="shared" si="9"/>
        <v>#DIV/0!</v>
      </c>
      <c r="N29" s="857"/>
    </row>
    <row r="30" spans="1:25" x14ac:dyDescent="0.25">
      <c r="A30" s="2984" t="s">
        <v>2266</v>
      </c>
      <c r="B30" s="2985"/>
      <c r="C30" s="2986"/>
      <c r="D30" s="859" t="str">
        <f t="shared" ref="D30:M30" si="10">D1</f>
        <v>Prop 1</v>
      </c>
      <c r="E30" s="859" t="str">
        <f t="shared" si="10"/>
        <v>Prop 2</v>
      </c>
      <c r="F30" s="859" t="str">
        <f t="shared" si="10"/>
        <v>Prop 3</v>
      </c>
      <c r="G30" s="859" t="str">
        <f t="shared" si="10"/>
        <v>Prop 4</v>
      </c>
      <c r="H30" s="859" t="str">
        <f t="shared" si="10"/>
        <v>Prop 5</v>
      </c>
      <c r="I30" s="859" t="str">
        <f t="shared" si="10"/>
        <v>Prop 6</v>
      </c>
      <c r="J30" s="859" t="str">
        <f t="shared" si="10"/>
        <v>Prop 7</v>
      </c>
      <c r="K30" s="859" t="str">
        <f t="shared" si="10"/>
        <v>Prop 8</v>
      </c>
      <c r="L30" s="859" t="str">
        <f t="shared" si="10"/>
        <v>Prop 9</v>
      </c>
      <c r="M30" s="859" t="str">
        <f t="shared" si="10"/>
        <v>Prop 10</v>
      </c>
      <c r="N30" s="2987"/>
    </row>
    <row r="31" spans="1:25" x14ac:dyDescent="0.25">
      <c r="A31" s="2976" t="str">
        <f t="shared" ref="A31:A40" si="11">A5</f>
        <v>Fac 01 (Mention A/c No./ LOS ID)</v>
      </c>
      <c r="B31" s="2977"/>
      <c r="C31" s="2977"/>
      <c r="D31" s="860" t="str">
        <f>IF(D5="","-",IF(SUMIF(C5:C14,"Yes",D5:D19)=D25,D5/D26,IF(C5="Yes",D5/75%,D5/($D$28/$D$27))))</f>
        <v>-</v>
      </c>
      <c r="E31" s="2990"/>
      <c r="F31" s="2991"/>
      <c r="G31" s="2991"/>
      <c r="H31" s="2991"/>
      <c r="I31" s="2991"/>
      <c r="J31" s="2991"/>
      <c r="K31" s="2991"/>
      <c r="L31" s="2991"/>
      <c r="M31" s="2992"/>
      <c r="N31" s="2988"/>
    </row>
    <row r="32" spans="1:25" x14ac:dyDescent="0.25">
      <c r="A32" s="2976" t="str">
        <f t="shared" si="11"/>
        <v>Fac 02 (Mention A/c No./ LOS ID)</v>
      </c>
      <c r="B32" s="2977"/>
      <c r="C32" s="2977"/>
      <c r="D32" s="860" t="str">
        <f>IF(D6="","-",IF(SUMIF(C5:C14,"Yes",D5:D19)=D25,D6/D26,IF(C6="Yes",D6/75%,D6/($D$28/$D$27))))</f>
        <v>-</v>
      </c>
      <c r="E32" s="861" t="str">
        <f>IF(E6="","-",IF(SUMIF(C6:C14,"Yes",E6:E19)=E25,E6/E26,IF(C6="Yes",E6/75%,E6/($E$28/$E$27))))</f>
        <v>-</v>
      </c>
      <c r="F32" s="2980"/>
      <c r="G32" s="2980"/>
      <c r="H32" s="2980"/>
      <c r="I32" s="2980"/>
      <c r="J32" s="2980"/>
      <c r="K32" s="2980"/>
      <c r="L32" s="2980"/>
      <c r="M32" s="2981"/>
      <c r="N32" s="2988"/>
    </row>
    <row r="33" spans="1:14" x14ac:dyDescent="0.25">
      <c r="A33" s="2976" t="str">
        <f t="shared" si="11"/>
        <v>Fac 03 (Mention A/c No./ LOS ID)</v>
      </c>
      <c r="B33" s="2977"/>
      <c r="C33" s="2977"/>
      <c r="D33" s="860" t="str">
        <f>IF(D7="","-",IF(SUMIF(C5:C14,"Yes",D5:D19)=D25,D7/D26,IF(C7="Yes",D7/75%,D7/($D$28/$D$27))))</f>
        <v>-</v>
      </c>
      <c r="E33" s="860" t="str">
        <f>IF(E7="","-",IF(SUMIF(C6:C14,"Yes",E6:E19)=E25,E7/E26,IF(C7="Yes",E7/75%,E7/($E$28/$E$27))))</f>
        <v>-</v>
      </c>
      <c r="F33" s="861" t="str">
        <f>IF(F7="","-",IF(SUMIF(C7:C14,"Yes",F7:F19)=F25,F7/F26,IF(C7="Yes",F7/75%,F7/($F$28/$F$27))))</f>
        <v>-</v>
      </c>
      <c r="G33" s="2980"/>
      <c r="H33" s="2980"/>
      <c r="I33" s="2980"/>
      <c r="J33" s="2980"/>
      <c r="K33" s="2980"/>
      <c r="L33" s="2980"/>
      <c r="M33" s="2981"/>
      <c r="N33" s="2988"/>
    </row>
    <row r="34" spans="1:14" x14ac:dyDescent="0.25">
      <c r="A34" s="2976" t="str">
        <f t="shared" si="11"/>
        <v>Fac 04 (Mention A/c No./ LOS ID)</v>
      </c>
      <c r="B34" s="2977"/>
      <c r="C34" s="2977"/>
      <c r="D34" s="860" t="str">
        <f>IF(D8="","-",IF(SUMIF(C5:C14,"Yes",D5:D19)=D25,D8/D26,IF(C8="Yes",D8/75%,D8/($D$28/$D$27))))</f>
        <v>-</v>
      </c>
      <c r="E34" s="860" t="str">
        <f>IF(E8="","-",IF(SUMIF(C6:C14,"Yes",E6:E19)=E25,E8/E26,IF(C8="Yes",E8/75%,E8/($E$28/$E$27))))</f>
        <v>-</v>
      </c>
      <c r="F34" s="860" t="str">
        <f>IF(F8="","-",IF(SUMIF(C7:C14,"Yes",F7:F19)=F25,F8/F26,IF(C8="Yes",F8/75%,F8/($F$28/$F$27))))</f>
        <v>-</v>
      </c>
      <c r="G34" s="861" t="str">
        <f>IF(G8="","-",IF(SUMIF(C8:C14,"Yes",G8:G19)=G25,G8/G26,IF(C8="Yes",G8/75%,G8/(G$28/G$27))))</f>
        <v>-</v>
      </c>
      <c r="H34" s="2980"/>
      <c r="I34" s="2980"/>
      <c r="J34" s="2980"/>
      <c r="K34" s="2980"/>
      <c r="L34" s="2980"/>
      <c r="M34" s="2981"/>
      <c r="N34" s="2988"/>
    </row>
    <row r="35" spans="1:14" x14ac:dyDescent="0.25">
      <c r="A35" s="2976" t="str">
        <f t="shared" si="11"/>
        <v>Fac 05 (Mention A/c No./ LOS ID)</v>
      </c>
      <c r="B35" s="2977"/>
      <c r="C35" s="2977"/>
      <c r="D35" s="860" t="str">
        <f>IF(D9="","-",IF(SUMIF(C5:C14,"Yes",D5:D19)=D25,D9/D26,IF(C9="Yes",D9/75%,D9/($D$28/$D$27))))</f>
        <v>-</v>
      </c>
      <c r="E35" s="860" t="str">
        <f>IF(E9="","-",IF(SUMIF(C6:C14,"Yes",E6:E19)=E25,E9/E26,IF(C9="Yes",E9/75%,E9/($E$28/$E$27))))</f>
        <v>-</v>
      </c>
      <c r="F35" s="860" t="str">
        <f>IF(F9="","-",IF(SUMIF(C7:C14,"Yes",F7:F19)=F25,F9/F26,IF(C9="Yes",F9/75%,F9/($F$28/$F$27))))</f>
        <v>-</v>
      </c>
      <c r="G35" s="860" t="str">
        <f>IF(G9="","-",IF(SUMIF(C8:C14,"Yes",G8:G19)=G25,G9/G26,IF(G9="","-",IF(C9="Yes",G9/75%,G9/(G$28/G$27)))))</f>
        <v>-</v>
      </c>
      <c r="H35" s="861" t="str">
        <f>IF(H9="","-",IF(SUMIF(C9:C14,"Yes",H9:H19)=H25,H9/H26,IF($C9="Yes",H9/75%,H9/(H$28/H$27))))</f>
        <v>-</v>
      </c>
      <c r="I35" s="2980"/>
      <c r="J35" s="2980"/>
      <c r="K35" s="2980"/>
      <c r="L35" s="2980"/>
      <c r="M35" s="2981"/>
      <c r="N35" s="2988"/>
    </row>
    <row r="36" spans="1:14" x14ac:dyDescent="0.25">
      <c r="A36" s="2976" t="str">
        <f t="shared" si="11"/>
        <v>Fac 06 (Mention A/c No./ LOS ID)</v>
      </c>
      <c r="B36" s="2977"/>
      <c r="C36" s="2977"/>
      <c r="D36" s="860" t="str">
        <f>IF(D10="","-",IF(SUMIF(C5:C14,"Yes",D5:D19)=D25,D10/D26,IF(C10="Yes",D10/75%,D10/($D$28/$D$27))))</f>
        <v>-</v>
      </c>
      <c r="E36" s="860" t="str">
        <f>IF(E10="","-",IF(SUMIF(C6:C14,"Yes",E6:E19)=E25,E10/E26,IF(C10="Yes",E10/75%,E10/($E$28/$E$27))))</f>
        <v>-</v>
      </c>
      <c r="F36" s="860" t="str">
        <f>IF(F10="","-",IF(SUMIF(C7:C14,"Yes",F7:F19)=F25,F10/F26,IF(C10="Yes",F10/75%,F10/($F$28/$F$27))))</f>
        <v>-</v>
      </c>
      <c r="G36" s="860" t="str">
        <f>IF(G10="","-",IF(SUMIF(C8:C14,"Yes",G8:G19)=G25,G10/G26,IF(C10="Yes",G10/75%,G10/(G$28/G$27))))</f>
        <v>-</v>
      </c>
      <c r="H36" s="860" t="str">
        <f>IF(H10="","-",IF(SUMIF(C9:C14,"Yes",H9:H19)=H25,H10/H26,IF($C10="Yes",H10/75%,H10/(H$28/H$27))))</f>
        <v>-</v>
      </c>
      <c r="I36" s="861" t="str">
        <f>IF(I10="","-",IF(SUMIF(C10:C14,"Yes",I10:I19)=I25,I10/I26,IF($C10="Yes",I10/75%,I10/(I$28/I$27))))</f>
        <v>-</v>
      </c>
      <c r="J36" s="2980"/>
      <c r="K36" s="2980"/>
      <c r="L36" s="2980"/>
      <c r="M36" s="2981"/>
      <c r="N36" s="2988"/>
    </row>
    <row r="37" spans="1:14" hidden="1" x14ac:dyDescent="0.25">
      <c r="A37" s="2976" t="str">
        <f t="shared" si="11"/>
        <v>Fac 07 (Mention A/c No./ LOS ID)</v>
      </c>
      <c r="B37" s="2977"/>
      <c r="C37" s="2977"/>
      <c r="D37" s="860" t="str">
        <f>IF(D11="","-",IF(SUMIF(C5:C14,"Yes",D5:D19)=D25,D11/D26,IF(C11="Yes",D11/75%,D11/($D$28/$D$27))))</f>
        <v>-</v>
      </c>
      <c r="E37" s="860" t="str">
        <f>IF(E11="","-",IF(SUMIF(C6:C14,"Yes",E6:E19)=E25,E11/E26,IF(C11="Yes",E11/75%,E11/($E$28/$E$27))))</f>
        <v>-</v>
      </c>
      <c r="F37" s="860" t="str">
        <f>IF(F11="","-",IF(SUMIF(C7:C14,"Yes",F7:F19)=F25,F11/F26,IF(C11="Yes",F11/75%,F11/($F$28/$F$27))))</f>
        <v>-</v>
      </c>
      <c r="G37" s="860" t="str">
        <f>IF(G11="","-",IF(SUMIF(C8:C14,"Yes",G8:G19)=G25,G11/G26,IF(C11="Yes",G11/75%,G11/(G$28/G$27))))</f>
        <v>-</v>
      </c>
      <c r="H37" s="860" t="str">
        <f>IF(H11="","-",IF(SUMIF(C9:C14,"Yes",H9:H19)=H25,H11/H26,IF($C11="Yes",H11/75%,H11/(H$28/H$27))))</f>
        <v>-</v>
      </c>
      <c r="I37" s="860" t="str">
        <f>IF(I11="","-",IF(SUMIF(C10:C14,"Yes",I10:I19)=I25,I11/I26,IF($C11="Yes",I11/75%,I11/(I$28/I$27))))</f>
        <v>-</v>
      </c>
      <c r="J37" s="861" t="str">
        <f>IF(J11="","-",IF(SUMIF(C11:C14,"Yes",J11:J19)=J25,J11/J26,IF($C11="Yes",J11/75%,J11/(J$28/J$27))))</f>
        <v>-</v>
      </c>
      <c r="K37" s="2980"/>
      <c r="L37" s="2980"/>
      <c r="M37" s="2981"/>
      <c r="N37" s="2988"/>
    </row>
    <row r="38" spans="1:14" hidden="1" x14ac:dyDescent="0.25">
      <c r="A38" s="2976" t="str">
        <f t="shared" si="11"/>
        <v>Fac 08 (Mention A/c No./ LOS ID)</v>
      </c>
      <c r="B38" s="2977"/>
      <c r="C38" s="2977"/>
      <c r="D38" s="860" t="str">
        <f>IF(D12="","-",IF(SUMIF(C5:C14,"Yes",D5:D19)=D25,D12/D26,IF(C12="Yes",D12/75%,D12/($D$28/$D$27))))</f>
        <v>-</v>
      </c>
      <c r="E38" s="860" t="str">
        <f>IF(E12="","-",IF(SUMIF(C6:C14,"Yes",E6:E19)=E25,E12/E26,IF(C12="Yes",E12/75%,E12/($E$28/$E$27))))</f>
        <v>-</v>
      </c>
      <c r="F38" s="860" t="str">
        <f>IF(F12="","-",IF(SUMIF(C7:C14,"Yes",F7:F19)=F25,F12/F26,IF(C12="Yes",F12/75%,F12/($F$28/$F$27))))</f>
        <v>-</v>
      </c>
      <c r="G38" s="860" t="str">
        <f>IF(G12="","-",IF(SUMIF(C8:C14,"Yes",G8:G19)=G25,G12/G26,IF(C12="Yes",G12/75%,G12/(G$28/G$27))))</f>
        <v>-</v>
      </c>
      <c r="H38" s="860" t="str">
        <f>IF(H12="","-",IF(SUMIF(C9:C14,"Yes",H9:H19)=H25,H12/H26,IF($C12="Yes",H12/75%,H12/(H$28/H$27))))</f>
        <v>-</v>
      </c>
      <c r="I38" s="860" t="str">
        <f>IF(I12="","-",IF(SUMIF(C10:C14,"Yes",I10:I19)=I25,I12/I26,IF($C12="Yes",I12/75%,I12/(I$28/I$27))))</f>
        <v>-</v>
      </c>
      <c r="J38" s="860" t="str">
        <f>IF(J12="","-",IF(SUMIF(C11:C14,"Yes",J11:J19)=J25,J12/J26,IF($C12="Yes",J12/75%,J12/(J$28/J$27))))</f>
        <v>-</v>
      </c>
      <c r="K38" s="861" t="str">
        <f>IF(K12="","-",IF(SUMIF(C12:C14,"Yes",K12:K19)=K25,K12/K26,IF($C12="Yes",K12/75%,K12/(K$28/K$27))))</f>
        <v>-</v>
      </c>
      <c r="L38" s="2980"/>
      <c r="M38" s="2981"/>
      <c r="N38" s="2988"/>
    </row>
    <row r="39" spans="1:14" hidden="1" x14ac:dyDescent="0.25">
      <c r="A39" s="2976" t="str">
        <f t="shared" si="11"/>
        <v>Fac 09 (Mention A/c No./ LOS ID)</v>
      </c>
      <c r="B39" s="2977"/>
      <c r="C39" s="2977"/>
      <c r="D39" s="860" t="str">
        <f>IF(D13="","-",IF(SUMIF(C5:C14,"Yes",D5:D19)=D25,D13/D26,IF(C13="Yes",D13/75%,D13/($D$28/$D$27))))</f>
        <v>-</v>
      </c>
      <c r="E39" s="860" t="str">
        <f>IF(E13="","-",IF(SUMIF(C6:C14,"Yes",E6:E19)=E25,E13/E26,IF(C13="Yes",E13/75%,E13/($E$28/$E$27))))</f>
        <v>-</v>
      </c>
      <c r="F39" s="860" t="str">
        <f>IF(F13="","-",IF(SUMIF(C7:C14,"Yes",F7:F19)=F25,F13/F26,IF(C13="Yes",F13/75%,F13/($F$28/$F$27))))</f>
        <v>-</v>
      </c>
      <c r="G39" s="860" t="str">
        <f>IF(G13="","-",IF(SUMIF(C8:C14,"Yes",G8:G19)=G25,G13/G26,IF(C13="Yes",G13/75%,G13/(G$28/G$27))))</f>
        <v>-</v>
      </c>
      <c r="H39" s="860" t="str">
        <f>IF(H13="","-",IF(SUMIF(C9:C14,"Yes",H9:H19)=H25,H13/H26,IF($C13="Yes",H13/75%,H13/(H$28/H$27))))</f>
        <v>-</v>
      </c>
      <c r="I39" s="860" t="str">
        <f>IF(I13="","-",IF(SUMIF(C10:C14,"Yes",I10:I19)=I25,I13/I26,IF($C13="Yes",I13/75%,I13/(I$28/I$27))))</f>
        <v>-</v>
      </c>
      <c r="J39" s="860" t="str">
        <f>IF(J13="","-",IF(SUMIF(C11:C14,"Yes",J11:J19)=J25,J13/J26,IF($C13="Yes",J13/75%,J13/(J$28/J$27))))</f>
        <v>-</v>
      </c>
      <c r="K39" s="860" t="str">
        <f>IF(K13="","-",IF(SUMIF(C12:C14,"Yes",K12:K19)=K25,K13/K26,IF($C13="Yes",K13/75%,K13/(K$28/K$27))))</f>
        <v>-</v>
      </c>
      <c r="L39" s="861" t="str">
        <f>IF(L13="","-",IF(SUMIF(C13:C14,"Yes",L13:L19)=L25,L13/L26,IF($C13="Yes",L13/75%,L13/(L$28/L$27))))</f>
        <v>-</v>
      </c>
      <c r="M39" s="862"/>
      <c r="N39" s="2988"/>
    </row>
    <row r="40" spans="1:14" hidden="1" x14ac:dyDescent="0.25">
      <c r="A40" s="2976" t="str">
        <f t="shared" si="11"/>
        <v>Fac 10 (Mention A/c No./ LOS ID)</v>
      </c>
      <c r="B40" s="2977"/>
      <c r="C40" s="2977"/>
      <c r="D40" s="860" t="str">
        <f>IF(D14="","-",IF(SUMIF(C5:C14,"Yes",D5:D19)=D25,D14/D26,IF(C14="Yes",D14/75%,D14/($D$28/$D$27))))</f>
        <v>-</v>
      </c>
      <c r="E40" s="860" t="str">
        <f>IF(E14="","-",IF(SUMIF(C6:C14,"Yes",E6:E19)=E25,E14/E26,IF(C14="Yes",E14/75%,E14/($E$28/$E$27))))</f>
        <v>-</v>
      </c>
      <c r="F40" s="860" t="str">
        <f>IF(F14="","-",IF(SUMIF(C7:C14,"Yes",F7:F19)=F25,F14/F26,IF(C14="Yes",F14/75%,F14/($F$28/$F$27))))</f>
        <v>-</v>
      </c>
      <c r="G40" s="860" t="str">
        <f>IF(G14="","-",IF(SUMIF(C8:C14,"Yes",G8:G19)=G25,G14/G26,IF(C14="Yes",G14/75%,G14/(G$28/G$27))))</f>
        <v>-</v>
      </c>
      <c r="H40" s="860" t="str">
        <f>IF(H14="","-",IF(SUMIF(C9:C14,"Yes",H9:H19)=H25,H14/H26,IF($C14="Yes",H14/75%,H14/(H$28/H$27))))</f>
        <v>-</v>
      </c>
      <c r="I40" s="860" t="str">
        <f>IF(I14="","-",IF(SUMIF(C10:C14,"Yes",I10:I19)=I25,I14/I26,IF($C14="Yes",I14/75%,I14/(I$28/I$27))))</f>
        <v>-</v>
      </c>
      <c r="J40" s="860" t="str">
        <f>IF(J14="","-",IF(SUMIF(C11:C14,"Yes",J11:J19)=J25,J14/J26,IF($C14="Yes",J14/75%,J14/(J$28/J$27))))</f>
        <v>-</v>
      </c>
      <c r="K40" s="860" t="str">
        <f>IF(K14="","-",IF(SUMIF(C12:C14,"Yes",K12:K19)=K25,K14/K26,IF($C14="Yes",K14/75%,K14/(K$28/K$27))))</f>
        <v>-</v>
      </c>
      <c r="L40" s="860" t="str">
        <f>IF(L14="","-",IF(SUMIF(C13:C14,"Yes",L13:L19)=L25,L14/L26,IF($C14="Yes",L14/75%,L14/(L$28/L$27))))</f>
        <v>-</v>
      </c>
      <c r="M40" s="861" t="str">
        <f>IF(M14="","-",IF(SUMIF(C14,"Yes",M14:M19)=M25,M14/M26,IF($C14="Yes",M14/75%,M14/(M$28/M$27))))</f>
        <v>-</v>
      </c>
      <c r="N40" s="2988"/>
    </row>
    <row r="41" spans="1:14" x14ac:dyDescent="0.25">
      <c r="A41" s="2976">
        <f>A20</f>
        <v>100016303690019</v>
      </c>
      <c r="B41" s="2977"/>
      <c r="C41" s="2977"/>
      <c r="D41" s="863" t="e">
        <f>IF(D16="","-",D16/($D$28/$D$27))</f>
        <v>#DIV/0!</v>
      </c>
      <c r="E41" s="863" t="e">
        <f>IF(E16="","-",E16/($E$28/$E$27))</f>
        <v>#DIV/0!</v>
      </c>
      <c r="F41" s="863" t="e">
        <f t="shared" ref="F41:M44" si="12">IF(F16="","-",F16/(F$28/F$27))</f>
        <v>#DIV/0!</v>
      </c>
      <c r="G41" s="863" t="e">
        <f t="shared" si="12"/>
        <v>#DIV/0!</v>
      </c>
      <c r="H41" s="863" t="e">
        <f t="shared" si="12"/>
        <v>#DIV/0!</v>
      </c>
      <c r="I41" s="863" t="e">
        <f t="shared" si="12"/>
        <v>#DIV/0!</v>
      </c>
      <c r="J41" s="863" t="e">
        <f t="shared" si="12"/>
        <v>#DIV/0!</v>
      </c>
      <c r="K41" s="863" t="e">
        <f t="shared" si="12"/>
        <v>#DIV/0!</v>
      </c>
      <c r="L41" s="863" t="e">
        <f t="shared" si="12"/>
        <v>#DIV/0!</v>
      </c>
      <c r="M41" s="863" t="e">
        <f t="shared" si="12"/>
        <v>#DIV/0!</v>
      </c>
      <c r="N41" s="2988"/>
    </row>
    <row r="42" spans="1:14" x14ac:dyDescent="0.25">
      <c r="A42" s="2976">
        <f>A21</f>
        <v>0</v>
      </c>
      <c r="B42" s="2977"/>
      <c r="C42" s="2977"/>
      <c r="D42" s="863" t="e">
        <f>IF(D17="","-",D17/($D$28/$D$27))</f>
        <v>#DIV/0!</v>
      </c>
      <c r="E42" s="863" t="e">
        <f>IF(E17="","-",E17/($E$28/$E$27))</f>
        <v>#DIV/0!</v>
      </c>
      <c r="F42" s="863" t="e">
        <f>IF(F17="","-",F17/($F$28/$F$27))</f>
        <v>#DIV/0!</v>
      </c>
      <c r="G42" s="863" t="e">
        <f t="shared" si="12"/>
        <v>#DIV/0!</v>
      </c>
      <c r="H42" s="863" t="e">
        <f t="shared" si="12"/>
        <v>#DIV/0!</v>
      </c>
      <c r="I42" s="863" t="e">
        <f t="shared" si="12"/>
        <v>#DIV/0!</v>
      </c>
      <c r="J42" s="863" t="e">
        <f t="shared" si="12"/>
        <v>#DIV/0!</v>
      </c>
      <c r="K42" s="863" t="e">
        <f t="shared" si="12"/>
        <v>#DIV/0!</v>
      </c>
      <c r="L42" s="863" t="e">
        <f t="shared" si="12"/>
        <v>#DIV/0!</v>
      </c>
      <c r="M42" s="863" t="e">
        <f t="shared" si="12"/>
        <v>#DIV/0!</v>
      </c>
      <c r="N42" s="2988"/>
    </row>
    <row r="43" spans="1:14" hidden="1" x14ac:dyDescent="0.25">
      <c r="A43" s="2976" t="str">
        <f>A22</f>
        <v>Magnus Facilty 03 (A/c detail)</v>
      </c>
      <c r="B43" s="2977"/>
      <c r="C43" s="2977"/>
      <c r="D43" s="863" t="e">
        <f>IF(D18="","-",D18/($D$28/$D$27))</f>
        <v>#DIV/0!</v>
      </c>
      <c r="E43" s="863" t="e">
        <f>IF(E18="","-",E18/($E$28/$E$27))</f>
        <v>#DIV/0!</v>
      </c>
      <c r="F43" s="863" t="e">
        <f>IF(F18="","-",F18/($F$28/$F$27))</f>
        <v>#DIV/0!</v>
      </c>
      <c r="G43" s="863" t="e">
        <f t="shared" si="12"/>
        <v>#DIV/0!</v>
      </c>
      <c r="H43" s="863" t="e">
        <f t="shared" si="12"/>
        <v>#DIV/0!</v>
      </c>
      <c r="I43" s="863" t="e">
        <f t="shared" si="12"/>
        <v>#DIV/0!</v>
      </c>
      <c r="J43" s="863" t="e">
        <f t="shared" si="12"/>
        <v>#DIV/0!</v>
      </c>
      <c r="K43" s="863" t="e">
        <f t="shared" si="12"/>
        <v>#DIV/0!</v>
      </c>
      <c r="L43" s="863" t="e">
        <f t="shared" si="12"/>
        <v>#DIV/0!</v>
      </c>
      <c r="M43" s="863" t="e">
        <f t="shared" si="12"/>
        <v>#DIV/0!</v>
      </c>
      <c r="N43" s="2988"/>
    </row>
    <row r="44" spans="1:14" hidden="1" x14ac:dyDescent="0.25">
      <c r="A44" s="2976" t="str">
        <f>A23</f>
        <v>Magnus Facilty 04 (A/c detail)</v>
      </c>
      <c r="B44" s="2977"/>
      <c r="C44" s="2977"/>
      <c r="D44" s="863" t="e">
        <f>IF(D19="","-",D19/($D$28/$D$27))</f>
        <v>#DIV/0!</v>
      </c>
      <c r="E44" s="863" t="e">
        <f>IF(E19="","-",E19/($E$28/$E$27))</f>
        <v>#DIV/0!</v>
      </c>
      <c r="F44" s="863" t="e">
        <f>IF(F19="","-",F19/($F$28/$F$27))</f>
        <v>#DIV/0!</v>
      </c>
      <c r="G44" s="863" t="e">
        <f t="shared" si="12"/>
        <v>#DIV/0!</v>
      </c>
      <c r="H44" s="863" t="e">
        <f t="shared" si="12"/>
        <v>#DIV/0!</v>
      </c>
      <c r="I44" s="863" t="e">
        <f t="shared" si="12"/>
        <v>#DIV/0!</v>
      </c>
      <c r="J44" s="863" t="e">
        <f t="shared" si="12"/>
        <v>#DIV/0!</v>
      </c>
      <c r="K44" s="863" t="e">
        <f t="shared" si="12"/>
        <v>#DIV/0!</v>
      </c>
      <c r="L44" s="863" t="e">
        <f t="shared" si="12"/>
        <v>#DIV/0!</v>
      </c>
      <c r="M44" s="863" t="e">
        <f t="shared" si="12"/>
        <v>#DIV/0!</v>
      </c>
      <c r="N44" s="2989"/>
    </row>
    <row r="45" spans="1:14" ht="15.75" thickBot="1" x14ac:dyDescent="0.3">
      <c r="A45" s="2978" t="s">
        <v>1338</v>
      </c>
      <c r="B45" s="2979"/>
      <c r="C45" s="2979"/>
      <c r="D45" s="864" t="e">
        <f>SUM(D31:D44)</f>
        <v>#DIV/0!</v>
      </c>
      <c r="E45" s="864" t="e">
        <f>SUM(E32:E44)</f>
        <v>#DIV/0!</v>
      </c>
      <c r="F45" s="864" t="e">
        <f>SUM(F33:F44)</f>
        <v>#DIV/0!</v>
      </c>
      <c r="G45" s="864" t="e">
        <f>SUM(G34:G44)</f>
        <v>#DIV/0!</v>
      </c>
      <c r="H45" s="864" t="e">
        <f>SUM(H35:H44)</f>
        <v>#DIV/0!</v>
      </c>
      <c r="I45" s="864" t="e">
        <f>SUM(I36:I44)</f>
        <v>#DIV/0!</v>
      </c>
      <c r="J45" s="864" t="e">
        <f>SUM(J37:J44)</f>
        <v>#DIV/0!</v>
      </c>
      <c r="K45" s="864" t="e">
        <f>SUM(K38:K44)</f>
        <v>#DIV/0!</v>
      </c>
      <c r="L45" s="864" t="e">
        <f>SUM(L39:L44)</f>
        <v>#DIV/0!</v>
      </c>
      <c r="M45" s="864" t="e">
        <f>SUM(M40:M44)</f>
        <v>#DIV/0!</v>
      </c>
      <c r="N45" s="865" t="e">
        <f>SUM(D45:M45)</f>
        <v>#DIV/0!</v>
      </c>
    </row>
    <row r="46" spans="1:14" x14ac:dyDescent="0.25"/>
    <row r="47" spans="1:14" ht="21" x14ac:dyDescent="0.25">
      <c r="A47" s="2974" t="s">
        <v>2267</v>
      </c>
      <c r="B47" s="2974"/>
      <c r="C47" s="2974"/>
      <c r="D47" s="2975" t="s">
        <v>2563</v>
      </c>
      <c r="E47" s="2975"/>
      <c r="F47" s="2975"/>
      <c r="G47" s="2975"/>
      <c r="H47" s="2975"/>
      <c r="I47" s="2975"/>
      <c r="J47" s="2975"/>
      <c r="K47" s="2975"/>
      <c r="L47" s="2975"/>
      <c r="M47" s="2975"/>
      <c r="N47" s="2975"/>
    </row>
    <row r="49" spans="6:6" hidden="1" x14ac:dyDescent="0.25">
      <c r="F49" s="866"/>
    </row>
    <row r="50" spans="6:6" hidden="1" x14ac:dyDescent="0.25">
      <c r="F50" s="866"/>
    </row>
    <row r="51" spans="6:6" x14ac:dyDescent="0.25"/>
    <row r="52" spans="6:6" x14ac:dyDescent="0.25"/>
  </sheetData>
  <sheetProtection algorithmName="SHA-512" hashValue="Yddei9htKIqq6JjnC2pW8M9NQH0y+Ovjjg3lhWcGb6SyZQ9+zQqDQO9NxnUFrD83kKV6Z/cifmpAFzLEddaKqw==" saltValue="eIMjNpkiFbzPAnzfKx7orA==" spinCount="100000" sheet="1" objects="1" scenarios="1" formatColumns="0" formatRows="0"/>
  <protectedRanges>
    <protectedRange sqref="A1:A2" name="Range3"/>
    <protectedRange sqref="A5:D14 E6:E14 F7:F14 G8:G14 H9:H14 I10:I14 J11:J14 K12:K14 L13:L14 M14 A20:B23 D20:N23 D1:M4" name="Range1"/>
    <protectedRange sqref="D47:N47" name="Range2"/>
    <protectedRange sqref="N20:N23" name="Range4"/>
  </protectedRanges>
  <mergeCells count="52">
    <mergeCell ref="K11:M11"/>
    <mergeCell ref="A1:A2"/>
    <mergeCell ref="B1:C2"/>
    <mergeCell ref="N1:N3"/>
    <mergeCell ref="A3:A4"/>
    <mergeCell ref="B3:B4"/>
    <mergeCell ref="E5:M5"/>
    <mergeCell ref="F6:M6"/>
    <mergeCell ref="G7:M7"/>
    <mergeCell ref="H8:M8"/>
    <mergeCell ref="I9:M9"/>
    <mergeCell ref="J10:M10"/>
    <mergeCell ref="A28:C28"/>
    <mergeCell ref="L12:M12"/>
    <mergeCell ref="A15:C15"/>
    <mergeCell ref="A16:C16"/>
    <mergeCell ref="A17:C17"/>
    <mergeCell ref="A18:C18"/>
    <mergeCell ref="A19:C19"/>
    <mergeCell ref="C20:C23"/>
    <mergeCell ref="A24:C24"/>
    <mergeCell ref="A25:C25"/>
    <mergeCell ref="A26:C26"/>
    <mergeCell ref="A27:C27"/>
    <mergeCell ref="A29:C29"/>
    <mergeCell ref="A30:C30"/>
    <mergeCell ref="N30:N44"/>
    <mergeCell ref="A31:C31"/>
    <mergeCell ref="E31:M31"/>
    <mergeCell ref="A32:C32"/>
    <mergeCell ref="F32:M32"/>
    <mergeCell ref="A33:C33"/>
    <mergeCell ref="G33:M33"/>
    <mergeCell ref="A34:C34"/>
    <mergeCell ref="A42:C42"/>
    <mergeCell ref="H34:M34"/>
    <mergeCell ref="A35:C35"/>
    <mergeCell ref="I35:M35"/>
    <mergeCell ref="A36:C36"/>
    <mergeCell ref="J36:M36"/>
    <mergeCell ref="A37:C37"/>
    <mergeCell ref="K37:M37"/>
    <mergeCell ref="A38:C38"/>
    <mergeCell ref="L38:M38"/>
    <mergeCell ref="A39:C39"/>
    <mergeCell ref="A47:C47"/>
    <mergeCell ref="D47:N47"/>
    <mergeCell ref="A40:C40"/>
    <mergeCell ref="A41:C41"/>
    <mergeCell ref="A43:C43"/>
    <mergeCell ref="A44:C44"/>
    <mergeCell ref="A45:C45"/>
  </mergeCells>
  <conditionalFormatting sqref="D45">
    <cfRule type="cellIs" dxfId="82" priority="41" operator="notEqual">
      <formula>$D$4</formula>
    </cfRule>
    <cfRule type="cellIs" dxfId="81" priority="50" operator="equal">
      <formula>$D$4</formula>
    </cfRule>
  </conditionalFormatting>
  <conditionalFormatting sqref="E45">
    <cfRule type="cellIs" dxfId="80" priority="40" operator="notEqual">
      <formula>E4</formula>
    </cfRule>
    <cfRule type="cellIs" dxfId="79" priority="49" operator="equal">
      <formula>$E$4</formula>
    </cfRule>
  </conditionalFormatting>
  <conditionalFormatting sqref="F45">
    <cfRule type="cellIs" dxfId="78" priority="39" operator="notEqual">
      <formula>F4</formula>
    </cfRule>
    <cfRule type="cellIs" dxfId="77" priority="48" operator="equal">
      <formula>$F$4</formula>
    </cfRule>
  </conditionalFormatting>
  <conditionalFormatting sqref="H45">
    <cfRule type="cellIs" dxfId="76" priority="38" operator="notEqual">
      <formula>H4</formula>
    </cfRule>
    <cfRule type="cellIs" dxfId="75" priority="47" operator="equal">
      <formula>$H$4</formula>
    </cfRule>
  </conditionalFormatting>
  <conditionalFormatting sqref="I45">
    <cfRule type="cellIs" dxfId="74" priority="37" operator="notEqual">
      <formula>I4</formula>
    </cfRule>
    <cfRule type="cellIs" dxfId="73" priority="46" operator="equal">
      <formula>$I$4</formula>
    </cfRule>
  </conditionalFormatting>
  <conditionalFormatting sqref="J45">
    <cfRule type="cellIs" dxfId="72" priority="36" operator="notEqual">
      <formula>J4</formula>
    </cfRule>
    <cfRule type="cellIs" dxfId="71" priority="45" operator="equal">
      <formula>$J$4</formula>
    </cfRule>
  </conditionalFormatting>
  <conditionalFormatting sqref="K45">
    <cfRule type="cellIs" dxfId="70" priority="35" operator="notEqual">
      <formula>K4</formula>
    </cfRule>
    <cfRule type="cellIs" dxfId="69" priority="44" operator="equal">
      <formula>$K$4</formula>
    </cfRule>
  </conditionalFormatting>
  <conditionalFormatting sqref="L45">
    <cfRule type="cellIs" dxfId="68" priority="34" operator="notEqual">
      <formula>L4</formula>
    </cfRule>
    <cfRule type="cellIs" dxfId="67" priority="43" operator="equal">
      <formula>$L$4</formula>
    </cfRule>
  </conditionalFormatting>
  <conditionalFormatting sqref="M45">
    <cfRule type="cellIs" dxfId="66" priority="33" operator="notEqual">
      <formula>M4</formula>
    </cfRule>
    <cfRule type="cellIs" dxfId="65" priority="42" operator="equal">
      <formula>$M$4</formula>
    </cfRule>
  </conditionalFormatting>
  <conditionalFormatting sqref="D24">
    <cfRule type="cellIs" dxfId="64" priority="32" operator="equal">
      <formula>"Not Okay"</formula>
    </cfRule>
  </conditionalFormatting>
  <conditionalFormatting sqref="N45">
    <cfRule type="cellIs" dxfId="63" priority="28" operator="notEqual">
      <formula>$N$4</formula>
    </cfRule>
    <cfRule type="cellIs" dxfId="62" priority="29" operator="equal">
      <formula>$N$4</formula>
    </cfRule>
    <cfRule type="cellIs" dxfId="61" priority="30" operator="notEqual">
      <formula>N4</formula>
    </cfRule>
    <cfRule type="cellIs" dxfId="60" priority="31" operator="equal">
      <formula>$M$4</formula>
    </cfRule>
  </conditionalFormatting>
  <conditionalFormatting sqref="G45">
    <cfRule type="cellIs" dxfId="59" priority="26" operator="equal">
      <formula>$G$4</formula>
    </cfRule>
    <cfRule type="cellIs" dxfId="58" priority="27" operator="notEqual">
      <formula>G4</formula>
    </cfRule>
  </conditionalFormatting>
  <conditionalFormatting sqref="C5:C14">
    <cfRule type="cellIs" dxfId="57" priority="25" operator="equal">
      <formula>"Yes"</formula>
    </cfRule>
  </conditionalFormatting>
  <conditionalFormatting sqref="C6:C14">
    <cfRule type="cellIs" dxfId="56" priority="24" operator="equal">
      <formula>"Yes"</formula>
    </cfRule>
  </conditionalFormatting>
  <conditionalFormatting sqref="E24">
    <cfRule type="cellIs" dxfId="55" priority="23" operator="equal">
      <formula>"Not Okay"</formula>
    </cfRule>
  </conditionalFormatting>
  <conditionalFormatting sqref="F24">
    <cfRule type="cellIs" dxfId="54" priority="22" operator="equal">
      <formula>"Not Okay"</formula>
    </cfRule>
  </conditionalFormatting>
  <conditionalFormatting sqref="G24">
    <cfRule type="cellIs" dxfId="53" priority="21" operator="equal">
      <formula>"Not Okay"</formula>
    </cfRule>
  </conditionalFormatting>
  <conditionalFormatting sqref="H24">
    <cfRule type="cellIs" dxfId="52" priority="20" operator="equal">
      <formula>"Not Okay"</formula>
    </cfRule>
  </conditionalFormatting>
  <conditionalFormatting sqref="I24">
    <cfRule type="cellIs" dxfId="51" priority="19" operator="equal">
      <formula>"Not Okay"</formula>
    </cfRule>
  </conditionalFormatting>
  <conditionalFormatting sqref="J24">
    <cfRule type="cellIs" dxfId="50" priority="18" operator="equal">
      <formula>"Not Okay"</formula>
    </cfRule>
  </conditionalFormatting>
  <conditionalFormatting sqref="K24">
    <cfRule type="cellIs" dxfId="49" priority="17" operator="equal">
      <formula>"Not Okay"</formula>
    </cfRule>
  </conditionalFormatting>
  <conditionalFormatting sqref="L24">
    <cfRule type="cellIs" dxfId="48" priority="16" operator="equal">
      <formula>"Not Okay"</formula>
    </cfRule>
  </conditionalFormatting>
  <conditionalFormatting sqref="M24">
    <cfRule type="cellIs" dxfId="47" priority="15" operator="equal">
      <formula>"Not Okay"</formula>
    </cfRule>
  </conditionalFormatting>
  <conditionalFormatting sqref="D31">
    <cfRule type="cellIs" dxfId="46" priority="14" operator="lessThan">
      <formula>0</formula>
    </cfRule>
  </conditionalFormatting>
  <conditionalFormatting sqref="D32:D40">
    <cfRule type="cellIs" dxfId="45" priority="13" operator="lessThan">
      <formula>0</formula>
    </cfRule>
  </conditionalFormatting>
  <conditionalFormatting sqref="E32:E40">
    <cfRule type="cellIs" dxfId="44" priority="12" operator="lessThan">
      <formula>0</formula>
    </cfRule>
  </conditionalFormatting>
  <conditionalFormatting sqref="F33:F40">
    <cfRule type="cellIs" dxfId="43" priority="11" operator="lessThan">
      <formula>0</formula>
    </cfRule>
  </conditionalFormatting>
  <conditionalFormatting sqref="G34:G40">
    <cfRule type="cellIs" dxfId="42" priority="10" operator="lessThan">
      <formula>0</formula>
    </cfRule>
  </conditionalFormatting>
  <conditionalFormatting sqref="H35:H40">
    <cfRule type="cellIs" dxfId="41" priority="9" operator="lessThan">
      <formula>0</formula>
    </cfRule>
  </conditionalFormatting>
  <conditionalFormatting sqref="I36:I40">
    <cfRule type="cellIs" dxfId="40" priority="8" operator="lessThan">
      <formula>0</formula>
    </cfRule>
  </conditionalFormatting>
  <conditionalFormatting sqref="J37:J40">
    <cfRule type="cellIs" dxfId="39" priority="7" operator="lessThan">
      <formula>0</formula>
    </cfRule>
  </conditionalFormatting>
  <conditionalFormatting sqref="K38:K40">
    <cfRule type="cellIs" dxfId="38" priority="6" operator="lessThan">
      <formula>0</formula>
    </cfRule>
  </conditionalFormatting>
  <conditionalFormatting sqref="L39:L40">
    <cfRule type="cellIs" dxfId="37" priority="5" operator="lessThan">
      <formula>0</formula>
    </cfRule>
  </conditionalFormatting>
  <conditionalFormatting sqref="M40">
    <cfRule type="cellIs" dxfId="36" priority="4" operator="lessThan">
      <formula>0</formula>
    </cfRule>
  </conditionalFormatting>
  <conditionalFormatting sqref="D41">
    <cfRule type="cellIs" dxfId="35" priority="3" operator="lessThan">
      <formula>0</formula>
    </cfRule>
  </conditionalFormatting>
  <conditionalFormatting sqref="D42:D44">
    <cfRule type="cellIs" dxfId="34" priority="2" operator="lessThan">
      <formula>0</formula>
    </cfRule>
  </conditionalFormatting>
  <conditionalFormatting sqref="E41:M44">
    <cfRule type="cellIs" dxfId="33" priority="1" operator="lessThan">
      <formula>0</formula>
    </cfRule>
  </conditionalFormatting>
  <dataValidations count="2">
    <dataValidation type="list" allowBlank="1" showInputMessage="1" showErrorMessage="1" sqref="C5:C14 D20:M23" xr:uid="{00000000-0002-0000-3E00-000000000000}">
      <formula1>"Yes, No"</formula1>
    </dataValidation>
    <dataValidation type="list" allowBlank="1" showInputMessage="1" showErrorMessage="1" sqref="B5:B14 B20:B23" xr:uid="{00000000-0002-0000-3E00-000001000000}">
      <formula1>"Existing, Proposed"</formula1>
    </dataValidation>
  </dataValidations>
  <pageMargins left="0.7" right="0.7" top="0.75" bottom="0.75" header="0.3" footer="0.3"/>
  <pageSetup paperSize="9" scale="61" orientation="landscape" r:id="rId1"/>
  <headerFooter>
    <oddFooter>&amp;C&amp;1#&amp;"Calibri"&amp;10&amp;K000000 For internal use only</oddFooter>
  </headerFooter>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72B16-1929-47DC-B9B0-ECF7AEE87226}">
  <sheetPr codeName="Sheet60">
    <pageSetUpPr fitToPage="1"/>
  </sheetPr>
  <dimension ref="A1:E30"/>
  <sheetViews>
    <sheetView zoomScale="90" zoomScaleNormal="90" workbookViewId="0">
      <selection sqref="A1:F2"/>
    </sheetView>
  </sheetViews>
  <sheetFormatPr defaultColWidth="9.140625" defaultRowHeight="15" x14ac:dyDescent="0.25"/>
  <cols>
    <col min="1" max="1" width="6.28515625" style="1441" customWidth="1"/>
    <col min="2" max="2" width="91.140625" style="1441" customWidth="1"/>
    <col min="3" max="3" width="47.140625" style="1441" customWidth="1"/>
    <col min="4" max="16384" width="9.140625" style="1441"/>
  </cols>
  <sheetData>
    <row r="1" spans="1:5" ht="15.75" thickBot="1" x14ac:dyDescent="0.3">
      <c r="A1" s="3027" t="s">
        <v>3405</v>
      </c>
      <c r="B1" s="3027"/>
      <c r="C1" s="3027"/>
    </row>
    <row r="2" spans="1:5" ht="15.75" thickBot="1" x14ac:dyDescent="0.3">
      <c r="A2" s="1442" t="s">
        <v>1537</v>
      </c>
      <c r="B2" s="1443" t="s">
        <v>2051</v>
      </c>
      <c r="C2" s="1444" t="s">
        <v>2052</v>
      </c>
    </row>
    <row r="3" spans="1:5" x14ac:dyDescent="0.25">
      <c r="A3" s="1445">
        <v>1</v>
      </c>
      <c r="B3" s="1446" t="s">
        <v>2654</v>
      </c>
      <c r="C3" s="1447"/>
      <c r="E3" s="1448"/>
    </row>
    <row r="4" spans="1:5" x14ac:dyDescent="0.25">
      <c r="A4" s="1449">
        <v>2</v>
      </c>
      <c r="B4" s="1450" t="s">
        <v>2655</v>
      </c>
      <c r="C4" s="1451"/>
      <c r="E4" s="1448"/>
    </row>
    <row r="5" spans="1:5" ht="30" x14ac:dyDescent="0.25">
      <c r="A5" s="1449">
        <v>3</v>
      </c>
      <c r="B5" s="1452" t="s">
        <v>2656</v>
      </c>
      <c r="C5" s="1451"/>
      <c r="E5" s="1448"/>
    </row>
    <row r="6" spans="1:5" x14ac:dyDescent="0.25">
      <c r="A6" s="1449">
        <v>4</v>
      </c>
      <c r="B6" s="1452" t="s">
        <v>2657</v>
      </c>
      <c r="C6" s="1451"/>
      <c r="E6" s="1448"/>
    </row>
    <row r="7" spans="1:5" x14ac:dyDescent="0.25">
      <c r="A7" s="1449">
        <v>5</v>
      </c>
      <c r="B7" s="1450" t="s">
        <v>2658</v>
      </c>
      <c r="C7" s="1453"/>
      <c r="E7" s="1448"/>
    </row>
    <row r="8" spans="1:5" x14ac:dyDescent="0.25">
      <c r="A8" s="1449">
        <v>6</v>
      </c>
      <c r="B8" s="1450" t="s">
        <v>2659</v>
      </c>
      <c r="C8" s="1454"/>
    </row>
    <row r="9" spans="1:5" x14ac:dyDescent="0.25">
      <c r="A9" s="1449">
        <v>7</v>
      </c>
      <c r="B9" s="1450" t="s">
        <v>2660</v>
      </c>
      <c r="C9" s="1454"/>
    </row>
    <row r="10" spans="1:5" x14ac:dyDescent="0.25">
      <c r="A10" s="1449">
        <v>8</v>
      </c>
      <c r="B10" s="1450" t="s">
        <v>2661</v>
      </c>
      <c r="C10" s="1453"/>
    </row>
    <row r="11" spans="1:5" x14ac:dyDescent="0.25">
      <c r="A11" s="1449">
        <v>9</v>
      </c>
      <c r="B11" s="1450" t="s">
        <v>2662</v>
      </c>
      <c r="C11" s="1453"/>
    </row>
    <row r="12" spans="1:5" ht="30" x14ac:dyDescent="0.25">
      <c r="A12" s="1449">
        <v>10</v>
      </c>
      <c r="B12" s="1452" t="s">
        <v>2663</v>
      </c>
      <c r="C12" s="1455"/>
    </row>
    <row r="13" spans="1:5" x14ac:dyDescent="0.25">
      <c r="A13" s="1449">
        <v>11</v>
      </c>
      <c r="B13" s="1450" t="s">
        <v>631</v>
      </c>
      <c r="C13" s="1456" t="str">
        <f>IF(OR(C3="",C4="",C5="",C6="",C7="",C8="",C9="",C10="",C11="",C12=""),"Please input details in point 1,2,3,4,5,6,7, 8 &amp; 9",IF(AND(C3="HL Topup for home repair",OR(C7="NCR",C7="Ludhiana",C7="Kolkata",C7="Ahmedabad",C7="Surat",C7="Pune",C7="Mumbai",C7="Kolkata",C7="Aurangabad",C7="Bangalore",C7="Chennai",C7="Muradabad"),C4&lt;=500000,C8="Yes",C9="Resident Indian",C10="Yes",C11="Yes",C12="Yes"),"PSL Qualified",IF(AND(C3="HL Topup for home repair",OR(C7="Kolhapur",C7="Salem",C7="Vellore"),C4&lt;=200000,C8="Yes",C9="Resident Indian",C10="Yes",C11="Yes",C12="Yes"),"PSL Qualified",IF(AND(C3="HL fresh",OR(C7="Kolhapur",C7="Salem",C7="Vellore"),C4&lt;=2500000,C8="Yes",C10="Yes",C11="Yes",C12="Yes",C6="Yes",C9="Resident Indian"),"PSL Qualified",IF(AND(C3="HL fresh",OR(C7="NCR",C7="Ludhiana",C7="Kolkata",C7="Ahmedabad",C7="Surat",C7="Pune",C7="Mumbai",C7="Kolkata",C7="Aurangabad",C7="Bangalore",C7="Chennai",C7="Muradabad"),C4&lt;=3500000,C6="Yes",C8="Yes",C10="Yes",C11="Yes",C12="Yes",C9="Resident Indian"),"PSL Qualified",IF(AND(C3="HL BT",OR(C7="Kolhapur",C7="Salem",C7="Vellore"),C4&lt;=2500000,C5="Yes",C6="Yes",C8="Yes",C10="Yes",C11="Yes",C12="Yes",C9="Resident Indian"),"PSL Qualified",IF(AND(C3="HL BT",OR(C7="NCR",C7="Ludhiana",C7="Kolkata",C7="Ahmedabad",C7="Surat",C7="Pune",C7="Mumbai",C7="Kolkata",C7="Aurangabad",C7="Bangalore",C7="Chennai",C7="Muradabad"),C5="Yes",C4&lt;=3500000,C6="Yes",C8="Yes",C10="Yes",C11="Yes",C12="Yes",C9="Resident Indian"),"PSL Qualified","PSL Non Qualified")))))))</f>
        <v>Please input details in point 1,2,3,4,5,6,7, 8 &amp; 9</v>
      </c>
    </row>
    <row r="14" spans="1:5" ht="15.75" thickBot="1" x14ac:dyDescent="0.3">
      <c r="A14" s="1457">
        <v>12</v>
      </c>
      <c r="B14" s="1458" t="s">
        <v>2664</v>
      </c>
      <c r="C14" s="1457" t="str">
        <f>IF(C13="PSL Qualified","'0017",IF(C13="PSL Non Qualified","0044",""))</f>
        <v/>
      </c>
    </row>
    <row r="15" spans="1:5" x14ac:dyDescent="0.25">
      <c r="A15" s="1459"/>
      <c r="B15" s="1441" t="s">
        <v>2071</v>
      </c>
      <c r="C15" s="1459"/>
    </row>
    <row r="16" spans="1:5" x14ac:dyDescent="0.25">
      <c r="A16" s="1459"/>
      <c r="B16" s="3028"/>
      <c r="C16" s="3028"/>
    </row>
    <row r="17" spans="1:3" x14ac:dyDescent="0.25">
      <c r="A17" s="1459"/>
      <c r="B17" s="3028"/>
      <c r="C17" s="3028"/>
    </row>
    <row r="18" spans="1:3" x14ac:dyDescent="0.25">
      <c r="A18" s="1459"/>
      <c r="B18" s="1460" t="s">
        <v>2073</v>
      </c>
    </row>
    <row r="19" spans="1:3" x14ac:dyDescent="0.25">
      <c r="A19" s="1459" t="s">
        <v>578</v>
      </c>
      <c r="B19" s="3026" t="s">
        <v>2665</v>
      </c>
      <c r="C19" s="3026"/>
    </row>
    <row r="20" spans="1:3" x14ac:dyDescent="0.25">
      <c r="A20" s="1459" t="s">
        <v>585</v>
      </c>
      <c r="B20" s="3029" t="s">
        <v>2666</v>
      </c>
      <c r="C20" s="3029"/>
    </row>
    <row r="21" spans="1:3" x14ac:dyDescent="0.25">
      <c r="A21" s="1461" t="s">
        <v>589</v>
      </c>
      <c r="B21" s="3026" t="s">
        <v>2667</v>
      </c>
      <c r="C21" s="3026"/>
    </row>
    <row r="22" spans="1:3" x14ac:dyDescent="0.25">
      <c r="A22" s="1461" t="s">
        <v>2668</v>
      </c>
      <c r="B22" s="3026" t="s">
        <v>2669</v>
      </c>
      <c r="C22" s="3026"/>
    </row>
    <row r="23" spans="1:3" ht="29.1" customHeight="1" x14ac:dyDescent="0.25">
      <c r="A23" s="1461" t="s">
        <v>2670</v>
      </c>
      <c r="B23" s="3026" t="s">
        <v>2671</v>
      </c>
      <c r="C23" s="3026"/>
    </row>
    <row r="24" spans="1:3" x14ac:dyDescent="0.25">
      <c r="B24" s="1462"/>
      <c r="C24" s="1462"/>
    </row>
    <row r="25" spans="1:3" x14ac:dyDescent="0.25">
      <c r="B25" s="1462"/>
      <c r="C25" s="1462"/>
    </row>
    <row r="26" spans="1:3" x14ac:dyDescent="0.25">
      <c r="B26" s="1462"/>
      <c r="C26" s="1462"/>
    </row>
    <row r="28" spans="1:3" x14ac:dyDescent="0.25">
      <c r="B28" s="1441" t="s">
        <v>2082</v>
      </c>
      <c r="C28" s="1441" t="s">
        <v>2082</v>
      </c>
    </row>
    <row r="30" spans="1:3" x14ac:dyDescent="0.25">
      <c r="B30" s="1441" t="s">
        <v>2083</v>
      </c>
      <c r="C30" s="1441" t="s">
        <v>2084</v>
      </c>
    </row>
  </sheetData>
  <sheetProtection algorithmName="SHA-512" hashValue="wcm2IktPDYoeR3tgYXjxwyHB+R0y0Cki7+iNUxpEqvl7b/wRfPyEI3M0pjGkcDx3yJA8mhn3XHp/2hENhX87Rg==" saltValue="/HzR1o8eW1CJl65dDPSwpA==" spinCount="100000" sheet="1" objects="1" scenarios="1" selectLockedCells="1"/>
  <protectedRanges>
    <protectedRange sqref="B30:C30" name="Range1"/>
    <protectedRange sqref="C8:C12" name="Range1_1"/>
  </protectedRanges>
  <mergeCells count="7">
    <mergeCell ref="B23:C23"/>
    <mergeCell ref="A1:C1"/>
    <mergeCell ref="B16:C17"/>
    <mergeCell ref="B19:C19"/>
    <mergeCell ref="B20:C20"/>
    <mergeCell ref="B21:C21"/>
    <mergeCell ref="B22:C22"/>
  </mergeCells>
  <conditionalFormatting sqref="C13">
    <cfRule type="cellIs" dxfId="32" priority="1" operator="equal">
      <formula>"PSL Non Qualified"</formula>
    </cfRule>
    <cfRule type="cellIs" dxfId="31" priority="2" operator="equal">
      <formula>"PSL Qualified"</formula>
    </cfRule>
  </conditionalFormatting>
  <dataValidations count="4">
    <dataValidation type="list" allowBlank="1" showInputMessage="1" showErrorMessage="1" sqref="C9" xr:uid="{3133433F-9BD4-438E-99DA-1D56B503D1B4}">
      <formula1>"Resident Indian,NRI,PIO/OCI,Foreign National"</formula1>
    </dataValidation>
    <dataValidation type="list" allowBlank="1" showInputMessage="1" showErrorMessage="1" sqref="C3" xr:uid="{F8A9E7DD-A00D-4929-AEE6-A8DFBB2AF447}">
      <formula1>"HL fresh,HL BT,HL Topup for home repair,HL Topup for other purpose"</formula1>
    </dataValidation>
    <dataValidation type="list" allowBlank="1" showInputMessage="1" showErrorMessage="1" sqref="C5:C6 C8 C10:C12" xr:uid="{213D835B-F4A4-43A4-81AE-BEEBAE8BAA2C}">
      <formula1>"Yes,No"</formula1>
    </dataValidation>
    <dataValidation type="list" allowBlank="1" showInputMessage="1" showErrorMessage="1" sqref="C7" xr:uid="{1DB04D20-944F-40BB-9CDF-12932BDBE80A}">
      <formula1>"Ludhiana,NCR,Kolkata,Ahmedabad,Surat,Pune,Mumbai,Kolhapur,Aurangabad,Bangalore,Chennai,Salem,Vellore,Muradabad"</formula1>
    </dataValidation>
  </dataValidations>
  <pageMargins left="0.70866141732283472" right="0.70866141732283472" top="0.19685039370078741" bottom="0.35433070866141736" header="0.15748031496062992" footer="0.15748031496062992"/>
  <pageSetup paperSize="9" scale="90" orientation="landscape" r:id="rId1"/>
  <headerFooter>
    <oddFooter>&amp;C&amp;"Calibri"&amp;11&amp;K000000&amp;"Calibri"&amp;11&amp;K000000&amp;"Calibri"&amp;11&amp;K000000&amp;"Calibri"&amp;11&amp;K000000&amp;"Calibri"&amp;11&amp;K000000&amp;"Calibri"&amp;11&amp;K000000&amp;"Calibri"&amp;11&amp;K000000&amp;"arial unicode ms,Regular"For internal use only</oddFooter>
    <evenFooter>&amp;C&amp;"arial unicode ms,Regular"For internal use only</evenFooter>
    <firstFooter>&amp;C&amp;"arial unicode ms,Regular"For internal use only</first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BD14E-E75F-43AC-8787-72CCFACDB1EC}">
  <sheetPr codeName="Sheet66">
    <pageSetUpPr fitToPage="1"/>
  </sheetPr>
  <dimension ref="A1:AF52"/>
  <sheetViews>
    <sheetView showGridLines="0" zoomScale="85" zoomScaleNormal="85" workbookViewId="0">
      <selection sqref="A1:F2"/>
    </sheetView>
  </sheetViews>
  <sheetFormatPr defaultColWidth="0" defaultRowHeight="15" x14ac:dyDescent="0.25"/>
  <cols>
    <col min="1" max="1" width="9.5703125" style="1441" bestFit="1" customWidth="1"/>
    <col min="2" max="2" width="22.42578125" style="1441" customWidth="1"/>
    <col min="3" max="3" width="55.140625" style="1441" customWidth="1"/>
    <col min="4" max="4" width="20.140625" style="1441" customWidth="1"/>
    <col min="5" max="5" width="31.85546875" style="1441" customWidth="1"/>
    <col min="6" max="6" width="51.140625" style="1441" customWidth="1"/>
    <col min="7" max="8" width="9.140625" style="1441" customWidth="1"/>
    <col min="9" max="9" width="9.140625" style="1441" hidden="1" customWidth="1"/>
    <col min="10" max="10" width="3.140625" style="1441" hidden="1" customWidth="1"/>
    <col min="11" max="11" width="33.28515625" style="1441" hidden="1" customWidth="1"/>
    <col min="12" max="12" width="12.7109375" style="1441" hidden="1" customWidth="1"/>
    <col min="13" max="13" width="6.7109375" style="1441" hidden="1" customWidth="1"/>
    <col min="14" max="14" width="8.7109375" style="1441" hidden="1" customWidth="1"/>
    <col min="15" max="15" width="11.42578125" style="1441" hidden="1" customWidth="1"/>
    <col min="16" max="16" width="11.5703125" style="1441" hidden="1" customWidth="1"/>
    <col min="17" max="17" width="12.5703125" style="1441" hidden="1" customWidth="1"/>
    <col min="18" max="18" width="9" style="1441" hidden="1" customWidth="1"/>
    <col min="19" max="19" width="33.28515625" style="1441" hidden="1" customWidth="1"/>
    <col min="20" max="21" width="2.140625" style="1441" hidden="1" customWidth="1"/>
    <col min="22" max="22" width="5.140625" style="1441" hidden="1" customWidth="1"/>
    <col min="23" max="23" width="33.28515625" style="1441" hidden="1" customWidth="1"/>
    <col min="24" max="24" width="12.5703125" style="1441" hidden="1" customWidth="1"/>
    <col min="25" max="26" width="2.140625" style="1441" hidden="1" customWidth="1"/>
    <col min="27" max="30" width="5.140625" style="1441" hidden="1" customWidth="1"/>
    <col min="31" max="31" width="8.42578125" style="1441" hidden="1" customWidth="1"/>
    <col min="32" max="32" width="6.140625" style="1441" hidden="1" customWidth="1"/>
    <col min="33" max="16384" width="5.140625" style="1441" hidden="1"/>
  </cols>
  <sheetData>
    <row r="1" spans="1:31" ht="20.100000000000001" customHeight="1" x14ac:dyDescent="0.25">
      <c r="A1" s="3045" t="s">
        <v>3406</v>
      </c>
      <c r="B1" s="3045"/>
      <c r="C1" s="3045"/>
      <c r="D1" s="3045"/>
      <c r="E1" s="3045"/>
      <c r="F1" s="3045"/>
    </row>
    <row r="2" spans="1:31" ht="20.100000000000001" customHeight="1" x14ac:dyDescent="0.25">
      <c r="A2" s="1463" t="s">
        <v>498</v>
      </c>
      <c r="B2" s="1464" t="s">
        <v>2672</v>
      </c>
      <c r="C2" s="1464" t="s">
        <v>2048</v>
      </c>
      <c r="D2" s="1464" t="s">
        <v>2049</v>
      </c>
      <c r="E2" s="1464" t="s">
        <v>1073</v>
      </c>
      <c r="F2" s="1464" t="s">
        <v>2050</v>
      </c>
    </row>
    <row r="3" spans="1:31" ht="20.100000000000001" customHeight="1" x14ac:dyDescent="0.25">
      <c r="A3" s="1465"/>
      <c r="B3" s="1466"/>
      <c r="C3" s="1467"/>
      <c r="D3" s="1467"/>
      <c r="E3" s="1468"/>
      <c r="F3" s="1469"/>
    </row>
    <row r="4" spans="1:31" ht="20.100000000000001" customHeight="1" x14ac:dyDescent="0.25">
      <c r="A4" s="1470"/>
      <c r="F4" s="1471"/>
    </row>
    <row r="5" spans="1:31" ht="20.100000000000001" customHeight="1" x14ac:dyDescent="0.25">
      <c r="A5" s="1464" t="s">
        <v>1537</v>
      </c>
      <c r="B5" s="3046" t="s">
        <v>2051</v>
      </c>
      <c r="C5" s="3046"/>
      <c r="D5" s="3046"/>
      <c r="E5" s="3046"/>
      <c r="F5" s="1464" t="s">
        <v>2052</v>
      </c>
    </row>
    <row r="6" spans="1:31" ht="20.100000000000001" customHeight="1" x14ac:dyDescent="0.25">
      <c r="A6" s="1472">
        <v>1</v>
      </c>
      <c r="B6" s="3043" t="s">
        <v>2053</v>
      </c>
      <c r="C6" s="3043"/>
      <c r="D6" s="3043"/>
      <c r="E6" s="3043"/>
      <c r="F6" s="1473"/>
    </row>
    <row r="7" spans="1:31" ht="20.100000000000001" customHeight="1" x14ac:dyDescent="0.25">
      <c r="A7" s="1472">
        <v>2</v>
      </c>
      <c r="B7" s="3044" t="s">
        <v>2054</v>
      </c>
      <c r="C7" s="3044"/>
      <c r="D7" s="3044"/>
      <c r="E7" s="3044"/>
      <c r="F7" s="1473"/>
      <c r="J7" s="1459" t="s">
        <v>476</v>
      </c>
      <c r="K7" s="1459" t="s">
        <v>2055</v>
      </c>
      <c r="L7" s="1459" t="s">
        <v>2056</v>
      </c>
      <c r="M7" s="1441" t="s">
        <v>2057</v>
      </c>
    </row>
    <row r="8" spans="1:31" ht="20.100000000000001" customHeight="1" x14ac:dyDescent="0.25">
      <c r="A8" s="1474" t="s">
        <v>2058</v>
      </c>
      <c r="B8" s="3044" t="s">
        <v>3407</v>
      </c>
      <c r="C8" s="3044"/>
      <c r="D8" s="3044"/>
      <c r="E8" s="3044"/>
      <c r="F8" s="1473"/>
      <c r="J8" s="1459">
        <v>1</v>
      </c>
      <c r="K8" s="1441" t="s">
        <v>2673</v>
      </c>
      <c r="L8" s="1459" t="s">
        <v>1340</v>
      </c>
      <c r="M8" s="1475" t="s">
        <v>2683</v>
      </c>
      <c r="R8" s="1475" t="s">
        <v>2674</v>
      </c>
      <c r="S8" s="1441" t="s">
        <v>2673</v>
      </c>
      <c r="V8" s="1476" t="s">
        <v>3408</v>
      </c>
      <c r="W8" s="1441" t="s">
        <v>2673</v>
      </c>
      <c r="Y8" s="1441">
        <v>1</v>
      </c>
      <c r="Z8" s="1441" t="e">
        <f>VLOOKUP(F12,$V$8:$Y$46,4,0)</f>
        <v>#N/A</v>
      </c>
      <c r="AA8" s="1477" t="s">
        <v>2696</v>
      </c>
      <c r="AB8" s="1477">
        <v>1</v>
      </c>
      <c r="AC8" s="1477" t="s">
        <v>2696</v>
      </c>
      <c r="AD8" s="1441" t="e">
        <f>VLOOKUP(F12,V8:AA46,6,0)</f>
        <v>#N/A</v>
      </c>
      <c r="AE8" s="1441" t="e">
        <f>VLOOKUP(AD8,AA8:AB46,2,0)</f>
        <v>#N/A</v>
      </c>
    </row>
    <row r="9" spans="1:31" ht="20.100000000000001" customHeight="1" x14ac:dyDescent="0.25">
      <c r="A9" s="1474" t="s">
        <v>2059</v>
      </c>
      <c r="B9" s="3043" t="s">
        <v>3409</v>
      </c>
      <c r="C9" s="3043"/>
      <c r="D9" s="3043"/>
      <c r="E9" s="3043"/>
      <c r="F9" s="1473" t="s">
        <v>1340</v>
      </c>
      <c r="J9" s="1459"/>
      <c r="L9" s="1459"/>
      <c r="M9" s="1475"/>
      <c r="R9" s="1475" t="s">
        <v>2675</v>
      </c>
      <c r="S9" s="1441" t="s">
        <v>2060</v>
      </c>
      <c r="V9" s="1476" t="s">
        <v>3410</v>
      </c>
      <c r="W9" s="1441" t="s">
        <v>2673</v>
      </c>
      <c r="Y9" s="1441">
        <v>1</v>
      </c>
      <c r="AA9" s="1477" t="s">
        <v>2696</v>
      </c>
      <c r="AB9" s="1477">
        <v>1</v>
      </c>
      <c r="AC9" s="1477" t="s">
        <v>2696</v>
      </c>
      <c r="AD9" s="1441" t="e">
        <f>VLOOKUP(F24,V8:AA46,6,0)</f>
        <v>#N/A</v>
      </c>
      <c r="AE9" s="1441" t="e">
        <f>VLOOKUP(AD9,AA8:AB46,2,0)</f>
        <v>#N/A</v>
      </c>
    </row>
    <row r="10" spans="1:31" ht="20.100000000000001" customHeight="1" x14ac:dyDescent="0.25">
      <c r="A10" s="1472">
        <v>3</v>
      </c>
      <c r="B10" s="3044" t="s">
        <v>3411</v>
      </c>
      <c r="C10" s="3044"/>
      <c r="D10" s="3044"/>
      <c r="E10" s="3044"/>
      <c r="F10" s="1478"/>
      <c r="J10" s="1459">
        <v>3</v>
      </c>
      <c r="K10" s="1441" t="s">
        <v>2060</v>
      </c>
      <c r="L10" s="1459" t="s">
        <v>1340</v>
      </c>
      <c r="M10" s="1475" t="s">
        <v>2684</v>
      </c>
      <c r="R10" s="1475" t="s">
        <v>2676</v>
      </c>
      <c r="S10" s="1441" t="s">
        <v>2061</v>
      </c>
      <c r="V10" s="1476" t="s">
        <v>3412</v>
      </c>
      <c r="W10" s="1441" t="s">
        <v>2060</v>
      </c>
      <c r="Y10" s="1441">
        <v>1</v>
      </c>
      <c r="AA10" s="1477" t="s">
        <v>2700</v>
      </c>
      <c r="AB10" s="1477">
        <v>2</v>
      </c>
      <c r="AC10" s="1477" t="s">
        <v>2700</v>
      </c>
      <c r="AE10" s="1441" t="e">
        <f>IF(AND(AE8=0,AE9&gt;1),"NMSME",IF(AE8=AE9,"N",IF(AE9&gt;AE8,"I","D")))</f>
        <v>#N/A</v>
      </c>
    </row>
    <row r="11" spans="1:31" ht="20.100000000000001" customHeight="1" x14ac:dyDescent="0.25">
      <c r="A11" s="1472">
        <v>4</v>
      </c>
      <c r="B11" s="3044" t="s">
        <v>3413</v>
      </c>
      <c r="C11" s="3044"/>
      <c r="D11" s="3044"/>
      <c r="E11" s="3044"/>
      <c r="F11" s="1479"/>
      <c r="J11" s="1459">
        <v>4</v>
      </c>
      <c r="K11" s="1441" t="s">
        <v>2061</v>
      </c>
      <c r="L11" s="1459" t="s">
        <v>1340</v>
      </c>
      <c r="M11" s="1475" t="s">
        <v>2685</v>
      </c>
      <c r="R11" s="1475" t="s">
        <v>2678</v>
      </c>
      <c r="S11" s="1441" t="s">
        <v>2677</v>
      </c>
      <c r="V11" s="1476" t="s">
        <v>3414</v>
      </c>
      <c r="W11" s="1441" t="s">
        <v>2677</v>
      </c>
      <c r="Y11" s="1441">
        <v>1</v>
      </c>
      <c r="AA11" s="1477" t="s">
        <v>2696</v>
      </c>
      <c r="AB11" s="1477">
        <v>1</v>
      </c>
      <c r="AC11" s="1477" t="s">
        <v>2696</v>
      </c>
    </row>
    <row r="12" spans="1:31" ht="20.100000000000001" customHeight="1" x14ac:dyDescent="0.25">
      <c r="A12" s="1472">
        <v>5</v>
      </c>
      <c r="B12" s="3044" t="s">
        <v>3415</v>
      </c>
      <c r="C12" s="3044"/>
      <c r="D12" s="3044"/>
      <c r="E12" s="3044"/>
      <c r="F12" s="1473"/>
      <c r="J12" s="1459">
        <v>5</v>
      </c>
      <c r="K12" s="1441" t="s">
        <v>2677</v>
      </c>
      <c r="L12" s="1459" t="s">
        <v>1340</v>
      </c>
      <c r="M12" s="1475" t="s">
        <v>2687</v>
      </c>
      <c r="R12" s="1475" t="s">
        <v>2681</v>
      </c>
      <c r="S12" s="1441" t="s">
        <v>2063</v>
      </c>
      <c r="V12" s="1476" t="s">
        <v>3416</v>
      </c>
      <c r="W12" s="1441" t="s">
        <v>2677</v>
      </c>
      <c r="Y12" s="1441">
        <v>1</v>
      </c>
      <c r="AA12" s="1477" t="s">
        <v>2696</v>
      </c>
      <c r="AB12" s="1477">
        <v>1</v>
      </c>
      <c r="AC12" s="1477" t="s">
        <v>2696</v>
      </c>
    </row>
    <row r="13" spans="1:31" ht="20.100000000000001" customHeight="1" x14ac:dyDescent="0.25">
      <c r="A13" s="1472">
        <v>6</v>
      </c>
      <c r="B13" s="3044" t="s">
        <v>3417</v>
      </c>
      <c r="C13" s="3044"/>
      <c r="D13" s="3044"/>
      <c r="E13" s="3044"/>
      <c r="F13" s="1480" t="str">
        <f>IF(F12="","",VLOOKUP(F12,$V$8:$W$46,2,0))</f>
        <v/>
      </c>
      <c r="J13" s="1459"/>
      <c r="L13" s="1459"/>
      <c r="M13" s="1475"/>
      <c r="R13" s="1475" t="s">
        <v>2682</v>
      </c>
      <c r="S13" s="1441" t="s">
        <v>2064</v>
      </c>
      <c r="V13" s="1476" t="s">
        <v>3418</v>
      </c>
      <c r="W13" s="1441" t="s">
        <v>2063</v>
      </c>
      <c r="Y13" s="1441">
        <v>1</v>
      </c>
      <c r="AA13" s="1477" t="s">
        <v>2700</v>
      </c>
      <c r="AB13" s="1477">
        <v>2</v>
      </c>
      <c r="AC13" s="1477" t="s">
        <v>2700</v>
      </c>
    </row>
    <row r="14" spans="1:31" ht="20.100000000000001" customHeight="1" x14ac:dyDescent="0.25">
      <c r="A14" s="1472">
        <v>3</v>
      </c>
      <c r="B14" s="3043" t="s">
        <v>3419</v>
      </c>
      <c r="C14" s="3043"/>
      <c r="D14" s="3043"/>
      <c r="E14" s="3043"/>
      <c r="F14" s="1481"/>
      <c r="J14" s="1459">
        <v>7</v>
      </c>
      <c r="K14" s="1441" t="s">
        <v>2063</v>
      </c>
      <c r="L14" s="1459" t="s">
        <v>1340</v>
      </c>
      <c r="M14" s="1475" t="s">
        <v>2688</v>
      </c>
      <c r="R14" s="1475" t="s">
        <v>2065</v>
      </c>
      <c r="S14" s="1441" t="s">
        <v>355</v>
      </c>
      <c r="V14" s="1476" t="s">
        <v>3420</v>
      </c>
      <c r="W14" s="1441" t="s">
        <v>2061</v>
      </c>
      <c r="Y14" s="1441">
        <v>1</v>
      </c>
      <c r="AA14" s="1477" t="s">
        <v>2703</v>
      </c>
      <c r="AB14" s="1477">
        <v>3</v>
      </c>
      <c r="AC14" s="1477" t="s">
        <v>2703</v>
      </c>
    </row>
    <row r="15" spans="1:31" ht="20.100000000000001" customHeight="1" x14ac:dyDescent="0.25">
      <c r="A15" s="1472">
        <v>4</v>
      </c>
      <c r="B15" s="3043" t="s">
        <v>2679</v>
      </c>
      <c r="C15" s="3043"/>
      <c r="D15" s="3043"/>
      <c r="E15" s="3043"/>
      <c r="F15" s="1472"/>
      <c r="J15" s="1459">
        <v>8</v>
      </c>
      <c r="K15" s="1441" t="s">
        <v>2064</v>
      </c>
      <c r="L15" s="1459" t="s">
        <v>1340</v>
      </c>
      <c r="M15" s="1475" t="s">
        <v>2689</v>
      </c>
      <c r="R15" s="1475" t="s">
        <v>2068</v>
      </c>
      <c r="S15" s="1441" t="s">
        <v>2067</v>
      </c>
      <c r="V15" s="1476" t="s">
        <v>3421</v>
      </c>
      <c r="W15" s="1441" t="s">
        <v>2064</v>
      </c>
      <c r="Y15" s="1441">
        <v>1</v>
      </c>
      <c r="AA15" s="1477" t="s">
        <v>2703</v>
      </c>
      <c r="AB15" s="1477">
        <v>3</v>
      </c>
      <c r="AC15" s="1477" t="s">
        <v>2703</v>
      </c>
    </row>
    <row r="16" spans="1:31" ht="25.5" x14ac:dyDescent="0.25">
      <c r="A16" s="1472" t="s">
        <v>476</v>
      </c>
      <c r="B16" s="3040" t="s">
        <v>2062</v>
      </c>
      <c r="C16" s="3040"/>
      <c r="D16" s="3040"/>
      <c r="E16" s="1482" t="s">
        <v>3422</v>
      </c>
      <c r="F16" s="1472"/>
      <c r="J16" s="1459">
        <v>9</v>
      </c>
      <c r="K16" s="1441" t="s">
        <v>355</v>
      </c>
      <c r="L16" s="1459" t="s">
        <v>1545</v>
      </c>
      <c r="M16" s="1475" t="s">
        <v>2065</v>
      </c>
      <c r="R16" s="1475" t="s">
        <v>2070</v>
      </c>
      <c r="S16" s="1441" t="s">
        <v>461</v>
      </c>
      <c r="V16" s="1476" t="s">
        <v>3423</v>
      </c>
      <c r="W16" s="1441" t="s">
        <v>209</v>
      </c>
      <c r="Y16" s="1441">
        <v>2</v>
      </c>
      <c r="AA16" s="1477" t="s">
        <v>3424</v>
      </c>
      <c r="AB16" s="1477">
        <v>0</v>
      </c>
      <c r="AC16" s="1477" t="s">
        <v>3424</v>
      </c>
    </row>
    <row r="17" spans="1:29" ht="20.100000000000001" customHeight="1" x14ac:dyDescent="0.25">
      <c r="A17" s="1474" t="s">
        <v>2058</v>
      </c>
      <c r="B17" s="3041"/>
      <c r="C17" s="3041"/>
      <c r="D17" s="3041"/>
      <c r="E17" s="1483"/>
      <c r="F17" s="1472"/>
      <c r="J17" s="1459">
        <v>10</v>
      </c>
      <c r="K17" s="1441" t="s">
        <v>2067</v>
      </c>
      <c r="L17" s="1459" t="s">
        <v>1545</v>
      </c>
      <c r="M17" s="1475" t="s">
        <v>2068</v>
      </c>
      <c r="O17" s="1441" t="s">
        <v>671</v>
      </c>
      <c r="P17" s="1441" t="str">
        <f>IF(OR(F6="",F7="",AND(F7="Fresh facility",F8=""),AND(F7="Takeover",F9=""),F14=""),"Input Complete data",IF(OR(F6="Wholesale Trade",F6="Retail Trade",F6="Salaried",F6="Non Salaried Individual",F19="",U36=4,AND(F7="Fresh facility",F8="Anyother purpose"),AND(F7="Takeover",F9="No"),AND(F6="Service",U36=4),F14="Declaration by client in application form"),"Non PSL","PSL case"))</f>
        <v>Input Complete data</v>
      </c>
      <c r="R17" s="1475" t="s">
        <v>2683</v>
      </c>
      <c r="S17" s="1441" t="s">
        <v>2673</v>
      </c>
      <c r="V17" s="1476" t="s">
        <v>3425</v>
      </c>
      <c r="W17" s="1441" t="s">
        <v>209</v>
      </c>
      <c r="Y17" s="1441">
        <v>2</v>
      </c>
      <c r="AA17" s="1477" t="s">
        <v>3424</v>
      </c>
      <c r="AB17" s="1477">
        <v>0</v>
      </c>
      <c r="AC17" s="1477" t="s">
        <v>3424</v>
      </c>
    </row>
    <row r="18" spans="1:29" ht="20.100000000000001" customHeight="1" x14ac:dyDescent="0.25">
      <c r="A18" s="1474" t="s">
        <v>2059</v>
      </c>
      <c r="B18" s="3041"/>
      <c r="C18" s="3041"/>
      <c r="D18" s="3041"/>
      <c r="E18" s="1483"/>
      <c r="F18" s="1472"/>
      <c r="J18" s="1459">
        <v>11</v>
      </c>
      <c r="K18" s="1441" t="s">
        <v>461</v>
      </c>
      <c r="L18" s="1459" t="s">
        <v>1545</v>
      </c>
      <c r="M18" s="1475" t="s">
        <v>2070</v>
      </c>
      <c r="O18" s="1441" t="s">
        <v>2080</v>
      </c>
      <c r="P18" s="1441" t="str">
        <f>IF(OR(F6="",F7="",AND(F7="Fresh facility",F8=""),AND(F7="Takeover",F9=""),F14=""),"Input Complete data",IF(OR(F6="Wholesale Trade",F6="Retail Trade",F6="Salaried",F6="Non Salaried Individual",SUM(F20:F21)=0,U36=4,AND(F7="Fresh facility",F8="Anyother purpose"),AND(F7="Takeover",F9="No"),AND(F6="Service",U36=4),F14="Declaration by client in application form"),"Non PSL","PSL case"))</f>
        <v>Input Complete data</v>
      </c>
      <c r="R18" s="1475"/>
      <c r="V18" s="1476" t="s">
        <v>3426</v>
      </c>
      <c r="W18" s="1441" t="s">
        <v>2673</v>
      </c>
      <c r="Y18" s="1441">
        <v>1</v>
      </c>
      <c r="AA18" s="1477" t="s">
        <v>2696</v>
      </c>
      <c r="AB18" s="1477">
        <v>1</v>
      </c>
      <c r="AC18" s="1477" t="s">
        <v>2696</v>
      </c>
    </row>
    <row r="19" spans="1:29" ht="20.100000000000001" customHeight="1" x14ac:dyDescent="0.25">
      <c r="A19" s="1474" t="s">
        <v>2066</v>
      </c>
      <c r="B19" s="3041"/>
      <c r="C19" s="3041"/>
      <c r="D19" s="3041"/>
      <c r="E19" s="1483"/>
      <c r="F19" s="1484" t="str">
        <f>IF(SUM(E17:E20)=0,"",SUM(E17:E20))</f>
        <v/>
      </c>
      <c r="J19" s="1459">
        <v>12</v>
      </c>
      <c r="K19" s="1441" t="s">
        <v>2673</v>
      </c>
      <c r="L19" s="1459" t="s">
        <v>1545</v>
      </c>
      <c r="M19" s="1475" t="s">
        <v>2683</v>
      </c>
      <c r="R19" s="1475" t="s">
        <v>2684</v>
      </c>
      <c r="S19" s="1441" t="s">
        <v>2060</v>
      </c>
      <c r="V19" s="1476" t="s">
        <v>3427</v>
      </c>
      <c r="W19" s="1441" t="s">
        <v>2673</v>
      </c>
      <c r="Y19" s="1441">
        <v>1</v>
      </c>
      <c r="AA19" s="1477" t="s">
        <v>2696</v>
      </c>
      <c r="AB19" s="1477">
        <v>1</v>
      </c>
      <c r="AC19" s="1477" t="s">
        <v>2696</v>
      </c>
    </row>
    <row r="20" spans="1:29" ht="20.100000000000001" customHeight="1" x14ac:dyDescent="0.25">
      <c r="A20" s="1474" t="s">
        <v>2069</v>
      </c>
      <c r="B20" s="3041"/>
      <c r="C20" s="3041"/>
      <c r="D20" s="3041"/>
      <c r="E20" s="1483"/>
      <c r="F20" s="1485">
        <f>SUM(E17:E20)</f>
        <v>0</v>
      </c>
      <c r="J20" s="1459"/>
      <c r="L20" s="1459"/>
      <c r="M20" s="1475"/>
      <c r="R20" s="1475" t="s">
        <v>2685</v>
      </c>
      <c r="S20" s="1441" t="s">
        <v>2061</v>
      </c>
      <c r="V20" s="1476" t="s">
        <v>3428</v>
      </c>
      <c r="W20" s="1441" t="s">
        <v>2060</v>
      </c>
      <c r="Y20" s="1441">
        <v>1</v>
      </c>
      <c r="AA20" s="1477" t="s">
        <v>2700</v>
      </c>
      <c r="AB20" s="1477">
        <v>2</v>
      </c>
      <c r="AC20" s="1477" t="s">
        <v>2700</v>
      </c>
    </row>
    <row r="21" spans="1:29" ht="20.100000000000001" customHeight="1" x14ac:dyDescent="0.25">
      <c r="A21" s="1472">
        <v>5</v>
      </c>
      <c r="B21" s="3042" t="s">
        <v>2680</v>
      </c>
      <c r="C21" s="3042"/>
      <c r="D21" s="3042"/>
      <c r="E21" s="3042"/>
      <c r="F21" s="1486"/>
      <c r="J21" s="1459">
        <v>14</v>
      </c>
      <c r="K21" s="1441" t="s">
        <v>2060</v>
      </c>
      <c r="L21" s="1459" t="s">
        <v>1545</v>
      </c>
      <c r="M21" s="1475" t="s">
        <v>2684</v>
      </c>
      <c r="R21" s="1475" t="s">
        <v>2686</v>
      </c>
      <c r="S21" s="1441" t="s">
        <v>2072</v>
      </c>
      <c r="V21" s="1476" t="s">
        <v>3429</v>
      </c>
      <c r="W21" s="1441" t="s">
        <v>2061</v>
      </c>
      <c r="Y21" s="1441">
        <v>1</v>
      </c>
      <c r="AA21" s="1477" t="s">
        <v>2703</v>
      </c>
      <c r="AB21" s="1477">
        <v>3</v>
      </c>
      <c r="AC21" s="1477" t="s">
        <v>2703</v>
      </c>
    </row>
    <row r="22" spans="1:29" ht="20.100000000000001" customHeight="1" x14ac:dyDescent="0.25">
      <c r="A22" s="1472">
        <v>6</v>
      </c>
      <c r="B22" s="3043" t="s">
        <v>3430</v>
      </c>
      <c r="C22" s="3043"/>
      <c r="D22" s="3043"/>
      <c r="E22" s="3043"/>
      <c r="F22" s="1487" t="str">
        <f>IF(OR(F6="Salaried",F6="Wholesale Trade",F6="Retail Trade",F6="Non Salaried Individual"),F6,IF(OR(F14="CA certificate",F14="Financial"),IF(F6="Manufacturing",K35,IF(F6="Service",K36,)),"Input Complete data"))</f>
        <v>Input Complete data</v>
      </c>
      <c r="J22" s="1459">
        <v>15</v>
      </c>
      <c r="K22" s="1441" t="s">
        <v>2061</v>
      </c>
      <c r="L22" s="1459" t="s">
        <v>1545</v>
      </c>
      <c r="M22" s="1475" t="s">
        <v>2685</v>
      </c>
      <c r="R22" s="1475" t="s">
        <v>2687</v>
      </c>
      <c r="S22" s="1441" t="s">
        <v>2677</v>
      </c>
      <c r="V22" s="1476" t="s">
        <v>3431</v>
      </c>
      <c r="W22" s="1441" t="s">
        <v>2072</v>
      </c>
      <c r="Y22" s="1441">
        <v>2</v>
      </c>
      <c r="AA22" s="1477" t="s">
        <v>3424</v>
      </c>
      <c r="AB22" s="1477">
        <v>0</v>
      </c>
      <c r="AC22" s="1477" t="s">
        <v>3424</v>
      </c>
    </row>
    <row r="23" spans="1:29" s="1489" customFormat="1" ht="20.100000000000001" customHeight="1" x14ac:dyDescent="0.25">
      <c r="A23" s="1472">
        <v>7</v>
      </c>
      <c r="B23" s="3044" t="s">
        <v>3432</v>
      </c>
      <c r="C23" s="3044"/>
      <c r="D23" s="3044"/>
      <c r="E23" s="3044"/>
      <c r="F23" s="1488" t="str">
        <f>IF(F6="Service",P18,P17)</f>
        <v>Input Complete data</v>
      </c>
      <c r="J23" s="1490"/>
      <c r="L23" s="1490"/>
      <c r="M23" s="1475"/>
      <c r="R23" s="1475" t="s">
        <v>2688</v>
      </c>
      <c r="S23" s="1489" t="s">
        <v>2063</v>
      </c>
      <c r="V23" s="1476" t="s">
        <v>3433</v>
      </c>
      <c r="W23" s="1441" t="s">
        <v>2677</v>
      </c>
      <c r="Y23" s="1441">
        <v>1</v>
      </c>
      <c r="AA23" s="1477" t="s">
        <v>2696</v>
      </c>
      <c r="AB23" s="1477">
        <v>1</v>
      </c>
      <c r="AC23" s="1477" t="s">
        <v>2696</v>
      </c>
    </row>
    <row r="24" spans="1:29" s="1489" customFormat="1" ht="20.100000000000001" customHeight="1" x14ac:dyDescent="0.25">
      <c r="A24" s="1472">
        <v>8</v>
      </c>
      <c r="B24" s="3044" t="s">
        <v>2664</v>
      </c>
      <c r="C24" s="3044"/>
      <c r="D24" s="3044"/>
      <c r="E24" s="3044"/>
      <c r="F24" s="1488" t="str">
        <f>IF(OR(F23="Input Complete data",F22="Update original cost in calculator"),"Input Complete data",IF(F23="Non PSL",VLOOKUP(F22,K16:M33,3,0),IF(F23="PSL case",VLOOKUP(F22,K8:M15,3,0),"No Code")))</f>
        <v>Input Complete data</v>
      </c>
      <c r="J24" s="1490"/>
      <c r="L24" s="1490"/>
      <c r="M24" s="1475"/>
      <c r="R24" s="1475" t="s">
        <v>2689</v>
      </c>
      <c r="S24" s="1489" t="s">
        <v>2064</v>
      </c>
      <c r="V24" s="1476" t="s">
        <v>3434</v>
      </c>
      <c r="W24" s="1441" t="s">
        <v>2677</v>
      </c>
      <c r="Y24" s="1441">
        <v>1</v>
      </c>
      <c r="AA24" s="1477" t="s">
        <v>2696</v>
      </c>
      <c r="AB24" s="1477">
        <v>1</v>
      </c>
      <c r="AC24" s="1477" t="s">
        <v>2696</v>
      </c>
    </row>
    <row r="25" spans="1:29" ht="20.100000000000001" customHeight="1" x14ac:dyDescent="0.25">
      <c r="A25" s="1472">
        <v>9</v>
      </c>
      <c r="B25" s="3039" t="s">
        <v>3435</v>
      </c>
      <c r="C25" s="3039"/>
      <c r="D25" s="3039"/>
      <c r="E25" s="3039"/>
      <c r="F25" s="1491" t="str">
        <f>IF(F12="","",IF(AE10="NMSME","New to MSME",IF(AE10="I","Upgrade",IF(AE10="D","Downgrade","No Change"))))</f>
        <v/>
      </c>
      <c r="J25" s="1459">
        <v>16</v>
      </c>
      <c r="K25" s="1441" t="s">
        <v>2072</v>
      </c>
      <c r="L25" s="1459" t="s">
        <v>1545</v>
      </c>
      <c r="M25" s="1475" t="s">
        <v>2686</v>
      </c>
      <c r="R25" s="1475" t="s">
        <v>2690</v>
      </c>
      <c r="S25" s="1441" t="s">
        <v>2075</v>
      </c>
      <c r="V25" s="1476" t="s">
        <v>3436</v>
      </c>
      <c r="W25" s="1441" t="s">
        <v>2063</v>
      </c>
      <c r="Y25" s="1441">
        <v>1</v>
      </c>
      <c r="AA25" s="1477" t="s">
        <v>2700</v>
      </c>
      <c r="AB25" s="1477">
        <v>2</v>
      </c>
      <c r="AC25" s="1477" t="s">
        <v>2700</v>
      </c>
    </row>
    <row r="26" spans="1:29" ht="20.100000000000001" customHeight="1" x14ac:dyDescent="0.25">
      <c r="A26" s="1472">
        <v>10</v>
      </c>
      <c r="B26" s="3039" t="s">
        <v>3437</v>
      </c>
      <c r="C26" s="3039"/>
      <c r="D26" s="3039"/>
      <c r="E26" s="3039"/>
      <c r="F26" s="1492" t="str">
        <f ca="1">IF(F25="","",IF(F25="No Change","",IF(Z8=2,TODAY(),IF(F25="Downgrade",P47,Q47))))</f>
        <v/>
      </c>
      <c r="J26" s="1459">
        <v>17</v>
      </c>
      <c r="K26" s="1441" t="s">
        <v>2677</v>
      </c>
      <c r="L26" s="1459" t="s">
        <v>1545</v>
      </c>
      <c r="M26" s="1475" t="s">
        <v>2687</v>
      </c>
      <c r="R26" s="1475" t="s">
        <v>2693</v>
      </c>
      <c r="S26" s="1441" t="s">
        <v>2692</v>
      </c>
      <c r="V26" s="1493" t="s">
        <v>3438</v>
      </c>
      <c r="W26" s="1441" t="s">
        <v>2064</v>
      </c>
      <c r="Y26" s="1441">
        <v>1</v>
      </c>
      <c r="AA26" s="1477" t="s">
        <v>2703</v>
      </c>
      <c r="AB26" s="1477">
        <v>3</v>
      </c>
      <c r="AC26" s="1477" t="s">
        <v>2703</v>
      </c>
    </row>
    <row r="27" spans="1:29" ht="20.100000000000001" customHeight="1" x14ac:dyDescent="0.25">
      <c r="A27" s="1472">
        <v>11</v>
      </c>
      <c r="B27" s="3039" t="s">
        <v>3439</v>
      </c>
      <c r="C27" s="3039"/>
      <c r="D27" s="3039"/>
      <c r="E27" s="3039"/>
      <c r="F27" s="1492"/>
      <c r="J27" s="1459"/>
      <c r="L27" s="1459"/>
      <c r="M27" s="1475"/>
      <c r="R27" s="1475"/>
      <c r="V27" s="1493" t="s">
        <v>3440</v>
      </c>
      <c r="W27" s="1441" t="s">
        <v>2075</v>
      </c>
      <c r="Y27" s="1441">
        <v>2</v>
      </c>
      <c r="AA27" s="1477" t="s">
        <v>3424</v>
      </c>
      <c r="AB27" s="1477">
        <v>0</v>
      </c>
      <c r="AC27" s="1477" t="s">
        <v>3424</v>
      </c>
    </row>
    <row r="28" spans="1:29" ht="16.5" customHeight="1" x14ac:dyDescent="0.25">
      <c r="A28" s="3030"/>
      <c r="B28" s="3030"/>
      <c r="C28" s="3030"/>
      <c r="D28" s="3030"/>
      <c r="E28" s="3030"/>
      <c r="F28" s="3030"/>
      <c r="J28" s="1459"/>
      <c r="L28" s="1459"/>
      <c r="M28" s="1475"/>
      <c r="R28" s="1475"/>
      <c r="V28" s="1494" t="s">
        <v>2065</v>
      </c>
      <c r="W28" s="1441" t="s">
        <v>355</v>
      </c>
      <c r="Y28" s="1441">
        <v>2</v>
      </c>
      <c r="AA28" s="1477" t="s">
        <v>3424</v>
      </c>
      <c r="AB28" s="1477">
        <v>0</v>
      </c>
      <c r="AC28" s="1477" t="s">
        <v>3424</v>
      </c>
    </row>
    <row r="29" spans="1:29" x14ac:dyDescent="0.25">
      <c r="A29" s="1495"/>
      <c r="B29" s="1496" t="s">
        <v>2071</v>
      </c>
      <c r="C29" s="1497"/>
      <c r="D29" s="1497"/>
      <c r="E29" s="1497"/>
      <c r="F29" s="1461"/>
      <c r="J29" s="1459"/>
      <c r="L29" s="1459"/>
      <c r="M29" s="1475"/>
      <c r="V29" s="1494" t="s">
        <v>2068</v>
      </c>
      <c r="W29" s="1441" t="s">
        <v>2067</v>
      </c>
      <c r="Y29" s="1441">
        <v>2</v>
      </c>
      <c r="AA29" s="1477" t="s">
        <v>3424</v>
      </c>
      <c r="AB29" s="1477">
        <v>0</v>
      </c>
      <c r="AC29" s="1477" t="s">
        <v>3424</v>
      </c>
    </row>
    <row r="30" spans="1:29" x14ac:dyDescent="0.25">
      <c r="A30" s="1461"/>
      <c r="B30" s="3032"/>
      <c r="C30" s="3033"/>
      <c r="D30" s="3033"/>
      <c r="E30" s="3033"/>
      <c r="F30" s="3034"/>
      <c r="J30" s="1459">
        <v>19</v>
      </c>
      <c r="K30" s="1441" t="s">
        <v>2063</v>
      </c>
      <c r="L30" s="1459" t="s">
        <v>1545</v>
      </c>
      <c r="M30" s="1475" t="s">
        <v>2688</v>
      </c>
      <c r="R30" s="1441" t="s">
        <v>697</v>
      </c>
      <c r="V30" s="1494" t="s">
        <v>2070</v>
      </c>
      <c r="W30" s="1441" t="s">
        <v>461</v>
      </c>
      <c r="Y30" s="1441">
        <v>2</v>
      </c>
      <c r="AA30" s="1477" t="s">
        <v>3424</v>
      </c>
      <c r="AB30" s="1477">
        <v>0</v>
      </c>
      <c r="AC30" s="1477" t="s">
        <v>3424</v>
      </c>
    </row>
    <row r="31" spans="1:29" x14ac:dyDescent="0.25">
      <c r="A31" s="1461"/>
      <c r="B31" s="3035"/>
      <c r="C31" s="3036"/>
      <c r="D31" s="3036"/>
      <c r="E31" s="3036"/>
      <c r="F31" s="3037"/>
      <c r="J31" s="1459">
        <v>20</v>
      </c>
      <c r="K31" s="1441" t="s">
        <v>2064</v>
      </c>
      <c r="L31" s="1459" t="s">
        <v>1545</v>
      </c>
      <c r="M31" s="1475" t="s">
        <v>2689</v>
      </c>
      <c r="R31" s="1498">
        <f>F21</f>
        <v>0</v>
      </c>
      <c r="S31" s="1441">
        <f>IF(AND(Q36&gt;=0)*Q36&lt;=10000000,1,IF(AND(Q36&gt;=10000000)*Q36&lt;=100000000,2,IF(AND(Q36&gt;=100000000)*Q36&lt;=500000000,3,4)))</f>
        <v>1</v>
      </c>
      <c r="V31" s="1493" t="s">
        <v>3441</v>
      </c>
      <c r="W31" s="1441" t="s">
        <v>3442</v>
      </c>
      <c r="Y31" s="1441">
        <v>2</v>
      </c>
      <c r="AA31" s="1477" t="s">
        <v>3424</v>
      </c>
      <c r="AB31" s="1477">
        <v>0</v>
      </c>
      <c r="AC31" s="1477" t="s">
        <v>3424</v>
      </c>
    </row>
    <row r="32" spans="1:29" x14ac:dyDescent="0.25">
      <c r="A32" s="1461"/>
      <c r="B32" s="1496" t="s">
        <v>2073</v>
      </c>
      <c r="C32" s="1497"/>
      <c r="D32" s="1496"/>
      <c r="E32" s="1496"/>
      <c r="F32" s="1497"/>
      <c r="J32" s="1459">
        <v>21</v>
      </c>
      <c r="K32" s="1441" t="s">
        <v>2075</v>
      </c>
      <c r="L32" s="1459" t="s">
        <v>1545</v>
      </c>
      <c r="M32" s="1475" t="s">
        <v>2690</v>
      </c>
      <c r="V32" s="1494" t="s">
        <v>2693</v>
      </c>
      <c r="W32" s="1441" t="s">
        <v>2692</v>
      </c>
      <c r="Y32" s="1441">
        <v>2</v>
      </c>
      <c r="AA32" s="1477" t="s">
        <v>3424</v>
      </c>
      <c r="AB32" s="1477">
        <v>0</v>
      </c>
      <c r="AC32" s="1477" t="s">
        <v>3424</v>
      </c>
    </row>
    <row r="33" spans="1:29" ht="14.45" customHeight="1" x14ac:dyDescent="0.25">
      <c r="A33" s="1497"/>
      <c r="B33" s="1497" t="s">
        <v>3443</v>
      </c>
      <c r="C33" s="1497"/>
      <c r="D33" s="1496"/>
      <c r="E33" s="1496"/>
      <c r="F33" s="1497"/>
      <c r="J33" s="1459">
        <v>22</v>
      </c>
      <c r="K33" s="1441" t="s">
        <v>2692</v>
      </c>
      <c r="L33" s="1459" t="s">
        <v>1545</v>
      </c>
      <c r="M33" s="1475" t="s">
        <v>2693</v>
      </c>
      <c r="V33" s="1494" t="s">
        <v>2674</v>
      </c>
      <c r="W33" s="1441" t="s">
        <v>2673</v>
      </c>
      <c r="Y33" s="1441">
        <v>1</v>
      </c>
      <c r="AA33" s="1477" t="s">
        <v>2696</v>
      </c>
      <c r="AB33" s="1477">
        <v>1</v>
      </c>
      <c r="AC33" s="1477" t="s">
        <v>3424</v>
      </c>
    </row>
    <row r="34" spans="1:29" ht="15" customHeight="1" x14ac:dyDescent="0.25">
      <c r="A34" s="1461">
        <v>1</v>
      </c>
      <c r="B34" s="3038" t="s">
        <v>2074</v>
      </c>
      <c r="C34" s="3038"/>
      <c r="D34" s="3038"/>
      <c r="E34" s="3038"/>
      <c r="F34" s="3038"/>
      <c r="V34" s="1494" t="s">
        <v>2675</v>
      </c>
      <c r="W34" s="1441" t="s">
        <v>2060</v>
      </c>
      <c r="Y34" s="1441">
        <v>1</v>
      </c>
      <c r="AA34" s="1477" t="s">
        <v>2700</v>
      </c>
      <c r="AB34" s="1477">
        <v>2</v>
      </c>
      <c r="AC34" s="1477" t="s">
        <v>2700</v>
      </c>
    </row>
    <row r="35" spans="1:29" ht="15" customHeight="1" x14ac:dyDescent="0.25">
      <c r="A35" s="1461">
        <v>2</v>
      </c>
      <c r="B35" s="3031" t="s">
        <v>2691</v>
      </c>
      <c r="C35" s="3031"/>
      <c r="D35" s="3031"/>
      <c r="E35" s="3031"/>
      <c r="F35" s="3031"/>
      <c r="K35" s="1499" t="b">
        <f>IF(F6="Manufacturing",IF((Q36+R31)=0,"Update Investment/Turnover in calculator",IF(U36=1,"Manufacturing Micro Enterprise",IF(U36=2,"Manufacturing Small Enterprise",IF(U36=3,"Manufacturing Medium Enterprise","Manufacturing Large Enterprise")))))</f>
        <v>0</v>
      </c>
      <c r="L35" s="1441" t="s">
        <v>2079</v>
      </c>
      <c r="O35" s="1441" t="s">
        <v>2694</v>
      </c>
      <c r="P35" s="1441" t="s">
        <v>2695</v>
      </c>
      <c r="Q35" s="1441" t="s">
        <v>2694</v>
      </c>
      <c r="V35" s="1494" t="s">
        <v>2676</v>
      </c>
      <c r="W35" s="1441" t="s">
        <v>2061</v>
      </c>
      <c r="Y35" s="1441">
        <v>1</v>
      </c>
      <c r="AA35" s="1477" t="s">
        <v>2703</v>
      </c>
      <c r="AB35" s="1477">
        <v>3</v>
      </c>
      <c r="AC35" s="1477" t="s">
        <v>2703</v>
      </c>
    </row>
    <row r="36" spans="1:29" x14ac:dyDescent="0.25">
      <c r="A36" s="1461">
        <v>3</v>
      </c>
      <c r="B36" s="3038" t="s">
        <v>2076</v>
      </c>
      <c r="C36" s="3038"/>
      <c r="D36" s="3038"/>
      <c r="E36" s="3038"/>
      <c r="F36" s="3038"/>
      <c r="K36" s="1500" t="b">
        <f>IF(F6="Service",IF(U36=1,"Service Micro Enterprise",IF(U36=2,"Service Small Enterprise",IF(U36=3,"Service Medium Enterprise","Service Large Enterprise"))))</f>
        <v>0</v>
      </c>
      <c r="L36" s="1441" t="s">
        <v>2080</v>
      </c>
      <c r="N36" s="1441" t="s">
        <v>2696</v>
      </c>
      <c r="O36" s="1441" t="s">
        <v>2697</v>
      </c>
      <c r="P36" s="1441" t="s">
        <v>2698</v>
      </c>
      <c r="Q36" s="1501">
        <f>F20</f>
        <v>0</v>
      </c>
      <c r="S36" s="1441">
        <f>IF(AND(Q36&gt;=0)*Q36&lt;=10000000,1,IF(AND(Q36&gt;=10000000)*Q36&lt;=100000000,2,IF(AND(Q36&gt;=100000000)*Q36&lt;=500000000,3,4)))</f>
        <v>1</v>
      </c>
      <c r="T36" s="1441">
        <f>IF(AND(R31&gt;=0)*R31&lt;=50000000,1,IF(AND(R31&gt;=50000000)*R31&lt;=500000000,2,IF(AND(R31&gt;=500000000)*R31&lt;=2500000000,3,4)))</f>
        <v>1</v>
      </c>
      <c r="U36" s="1441">
        <f>IF(S31=T36,MIN(S36:T36),MAX(S36:T36))</f>
        <v>1</v>
      </c>
      <c r="V36" s="1494" t="s">
        <v>2678</v>
      </c>
      <c r="W36" s="1441" t="s">
        <v>2677</v>
      </c>
      <c r="X36" s="1502">
        <f>Q36+R31</f>
        <v>0</v>
      </c>
      <c r="Y36" s="1441">
        <v>1</v>
      </c>
      <c r="AA36" s="1477" t="s">
        <v>2696</v>
      </c>
      <c r="AB36" s="1477">
        <v>1</v>
      </c>
      <c r="AC36" s="1477" t="s">
        <v>2696</v>
      </c>
    </row>
    <row r="37" spans="1:29" x14ac:dyDescent="0.25">
      <c r="A37" s="1461">
        <v>4</v>
      </c>
      <c r="B37" s="3031" t="s">
        <v>2077</v>
      </c>
      <c r="C37" s="3031"/>
      <c r="D37" s="3031"/>
      <c r="E37" s="3031"/>
      <c r="F37" s="3031"/>
      <c r="N37" s="1441" t="s">
        <v>2700</v>
      </c>
      <c r="O37" s="1441" t="s">
        <v>2701</v>
      </c>
      <c r="P37" s="1441" t="s">
        <v>2702</v>
      </c>
      <c r="V37" s="1494" t="s">
        <v>2681</v>
      </c>
      <c r="W37" s="1441" t="s">
        <v>2063</v>
      </c>
      <c r="Y37" s="1441">
        <v>1</v>
      </c>
      <c r="AA37" s="1477" t="s">
        <v>2700</v>
      </c>
      <c r="AB37" s="1477">
        <v>2</v>
      </c>
      <c r="AC37" s="1477" t="s">
        <v>2700</v>
      </c>
    </row>
    <row r="38" spans="1:29" x14ac:dyDescent="0.25">
      <c r="A38" s="1461">
        <v>5</v>
      </c>
      <c r="B38" s="1497" t="s">
        <v>2078</v>
      </c>
      <c r="C38" s="1497"/>
      <c r="D38" s="1497"/>
      <c r="E38" s="1497"/>
      <c r="F38" s="1497"/>
      <c r="N38" s="1441" t="s">
        <v>2703</v>
      </c>
      <c r="O38" s="1441" t="s">
        <v>2702</v>
      </c>
      <c r="P38" s="1441" t="s">
        <v>2704</v>
      </c>
      <c r="V38" s="1494" t="s">
        <v>2682</v>
      </c>
      <c r="W38" s="1441" t="s">
        <v>2064</v>
      </c>
      <c r="Y38" s="1441">
        <v>1</v>
      </c>
      <c r="AA38" s="1477" t="s">
        <v>2703</v>
      </c>
      <c r="AB38" s="1477">
        <v>3</v>
      </c>
      <c r="AC38" s="1477" t="s">
        <v>2703</v>
      </c>
    </row>
    <row r="39" spans="1:29" x14ac:dyDescent="0.25">
      <c r="A39" s="1461">
        <v>6</v>
      </c>
      <c r="B39" s="1497" t="s">
        <v>2699</v>
      </c>
      <c r="C39" s="1497"/>
      <c r="D39" s="1497"/>
      <c r="E39" s="1497"/>
      <c r="F39" s="1497"/>
      <c r="V39" s="1494" t="s">
        <v>2683</v>
      </c>
      <c r="W39" s="1441" t="s">
        <v>2673</v>
      </c>
      <c r="Y39" s="1441">
        <v>1</v>
      </c>
      <c r="AA39" s="1477" t="s">
        <v>2696</v>
      </c>
      <c r="AB39" s="1477">
        <v>1</v>
      </c>
      <c r="AC39" s="1477" t="s">
        <v>2696</v>
      </c>
    </row>
    <row r="40" spans="1:29" x14ac:dyDescent="0.25">
      <c r="A40" s="1461">
        <v>7</v>
      </c>
      <c r="B40" s="1497" t="s">
        <v>2081</v>
      </c>
      <c r="C40" s="1497"/>
      <c r="D40" s="1497"/>
      <c r="E40" s="1497"/>
      <c r="F40" s="1497"/>
      <c r="V40" s="1494" t="s">
        <v>2684</v>
      </c>
      <c r="W40" s="1441" t="s">
        <v>2060</v>
      </c>
      <c r="Y40" s="1441">
        <v>1</v>
      </c>
      <c r="AA40" s="1477" t="s">
        <v>2700</v>
      </c>
      <c r="AB40" s="1477">
        <v>2</v>
      </c>
      <c r="AC40" s="1477" t="s">
        <v>2700</v>
      </c>
    </row>
    <row r="41" spans="1:29" x14ac:dyDescent="0.25">
      <c r="A41" s="3030">
        <v>8</v>
      </c>
      <c r="B41" s="3031" t="s">
        <v>2705</v>
      </c>
      <c r="C41" s="3031"/>
      <c r="D41" s="3031"/>
      <c r="E41" s="3031"/>
      <c r="F41" s="3031"/>
      <c r="K41" s="1503" t="s">
        <v>3444</v>
      </c>
      <c r="L41" s="1441">
        <v>1</v>
      </c>
      <c r="M41" s="1503" t="s">
        <v>3444</v>
      </c>
      <c r="O41" s="1441" t="str">
        <f>TEXT(F11,"MMM")</f>
        <v>Jan</v>
      </c>
      <c r="P41" s="1441">
        <f>VLOOKUP(O41,K41:L52,2,0)</f>
        <v>10</v>
      </c>
      <c r="R41" s="1441">
        <f>YEAR(F11)</f>
        <v>1900</v>
      </c>
      <c r="V41" s="1494" t="s">
        <v>2685</v>
      </c>
      <c r="W41" s="1441" t="s">
        <v>2061</v>
      </c>
      <c r="Y41" s="1441">
        <v>1</v>
      </c>
      <c r="AA41" s="1477" t="s">
        <v>2703</v>
      </c>
      <c r="AB41" s="1477">
        <v>3</v>
      </c>
      <c r="AC41" s="1477" t="s">
        <v>2703</v>
      </c>
    </row>
    <row r="42" spans="1:29" x14ac:dyDescent="0.25">
      <c r="A42" s="3030"/>
      <c r="B42" s="3031"/>
      <c r="C42" s="3031"/>
      <c r="D42" s="3031"/>
      <c r="E42" s="3031"/>
      <c r="F42" s="3031"/>
      <c r="K42" s="1441" t="s">
        <v>3445</v>
      </c>
      <c r="L42" s="1441">
        <v>2</v>
      </c>
      <c r="M42" s="1441" t="s">
        <v>3445</v>
      </c>
      <c r="O42" s="1441" t="s">
        <v>3446</v>
      </c>
      <c r="P42" s="1441">
        <v>12</v>
      </c>
      <c r="V42" s="1494" t="s">
        <v>2687</v>
      </c>
      <c r="W42" s="1441" t="s">
        <v>2677</v>
      </c>
      <c r="Y42" s="1441">
        <v>1</v>
      </c>
      <c r="AA42" s="1477" t="s">
        <v>2696</v>
      </c>
      <c r="AB42" s="1477">
        <v>1</v>
      </c>
      <c r="AC42" s="1477" t="s">
        <v>2696</v>
      </c>
    </row>
    <row r="43" spans="1:29" x14ac:dyDescent="0.25">
      <c r="A43" s="1461">
        <v>9</v>
      </c>
      <c r="B43" s="3031" t="s">
        <v>2706</v>
      </c>
      <c r="C43" s="3031"/>
      <c r="D43" s="3031"/>
      <c r="E43" s="3031"/>
      <c r="F43" s="3031"/>
      <c r="K43" s="1503" t="s">
        <v>3447</v>
      </c>
      <c r="L43" s="1441">
        <v>3</v>
      </c>
      <c r="M43" s="1503" t="s">
        <v>3447</v>
      </c>
      <c r="V43" s="1494" t="s">
        <v>2688</v>
      </c>
      <c r="W43" s="1441" t="s">
        <v>2063</v>
      </c>
      <c r="Y43" s="1441">
        <v>1</v>
      </c>
      <c r="AA43" s="1477" t="s">
        <v>2700</v>
      </c>
      <c r="AB43" s="1477">
        <v>2</v>
      </c>
      <c r="AC43" s="1477" t="s">
        <v>2700</v>
      </c>
    </row>
    <row r="44" spans="1:29" x14ac:dyDescent="0.25">
      <c r="A44" s="1497"/>
      <c r="B44" s="1497"/>
      <c r="C44" s="1497"/>
      <c r="D44" s="1497"/>
      <c r="E44" s="1497"/>
      <c r="F44" s="1497"/>
      <c r="K44" s="1441" t="s">
        <v>3448</v>
      </c>
      <c r="L44" s="1441">
        <v>4</v>
      </c>
      <c r="M44" s="1441" t="s">
        <v>3448</v>
      </c>
      <c r="O44" s="1441" t="s">
        <v>3449</v>
      </c>
      <c r="P44" s="1441">
        <f>P42-P41</f>
        <v>2</v>
      </c>
      <c r="V44" s="1494" t="s">
        <v>2689</v>
      </c>
      <c r="W44" s="1441" t="s">
        <v>2064</v>
      </c>
      <c r="Y44" s="1441">
        <v>1</v>
      </c>
      <c r="AA44" s="1477" t="s">
        <v>2703</v>
      </c>
      <c r="AB44" s="1477">
        <v>3</v>
      </c>
      <c r="AC44" s="1477" t="s">
        <v>2703</v>
      </c>
    </row>
    <row r="45" spans="1:29" x14ac:dyDescent="0.25">
      <c r="A45" s="1497"/>
      <c r="B45" s="1497"/>
      <c r="C45" s="1497"/>
      <c r="D45" s="1497"/>
      <c r="E45" s="1497"/>
      <c r="F45" s="1497"/>
      <c r="K45" s="1503" t="s">
        <v>3450</v>
      </c>
      <c r="L45" s="1441">
        <v>5</v>
      </c>
      <c r="M45" s="1503" t="s">
        <v>3450</v>
      </c>
      <c r="P45" s="1441">
        <f>IF(P44&lt;=3,R41+1,R41+2)</f>
        <v>1901</v>
      </c>
      <c r="Q45" s="1441">
        <f>P45-1</f>
        <v>1900</v>
      </c>
      <c r="V45" s="1494" t="s">
        <v>2690</v>
      </c>
      <c r="W45" s="1441" t="s">
        <v>2075</v>
      </c>
      <c r="Y45" s="1441">
        <v>2</v>
      </c>
      <c r="AA45" s="1477" t="s">
        <v>3424</v>
      </c>
      <c r="AB45" s="1477">
        <v>0</v>
      </c>
      <c r="AC45" s="1477" t="s">
        <v>3424</v>
      </c>
    </row>
    <row r="46" spans="1:29" x14ac:dyDescent="0.25">
      <c r="A46" s="1497"/>
      <c r="B46" s="1497" t="s">
        <v>2082</v>
      </c>
      <c r="C46" s="1497"/>
      <c r="D46" s="1497"/>
      <c r="E46" s="1497"/>
      <c r="F46" s="1497" t="s">
        <v>2082</v>
      </c>
      <c r="K46" s="1441" t="s">
        <v>3451</v>
      </c>
      <c r="L46" s="1441">
        <v>6</v>
      </c>
      <c r="M46" s="1441" t="s">
        <v>3451</v>
      </c>
      <c r="P46" s="1504" t="s">
        <v>3452</v>
      </c>
      <c r="V46" s="1494" t="s">
        <v>2686</v>
      </c>
      <c r="W46" s="1441" t="s">
        <v>2072</v>
      </c>
      <c r="Y46" s="1441">
        <v>2</v>
      </c>
      <c r="AA46" s="1477" t="s">
        <v>3424</v>
      </c>
      <c r="AB46" s="1477">
        <v>0</v>
      </c>
      <c r="AC46" s="1477" t="s">
        <v>3424</v>
      </c>
    </row>
    <row r="47" spans="1:29" x14ac:dyDescent="0.25">
      <c r="A47" s="1497"/>
      <c r="B47" s="1497" t="s">
        <v>2083</v>
      </c>
      <c r="C47" s="1497"/>
      <c r="D47" s="1497"/>
      <c r="E47" s="1497"/>
      <c r="F47" s="1497" t="s">
        <v>2084</v>
      </c>
      <c r="K47" s="1503" t="s">
        <v>3453</v>
      </c>
      <c r="L47" s="1441">
        <v>7</v>
      </c>
      <c r="M47" s="1503" t="s">
        <v>3453</v>
      </c>
      <c r="P47" s="1441" t="str">
        <f>P46&amp;P45</f>
        <v>01-Apr-1901</v>
      </c>
      <c r="Q47" s="1441" t="str">
        <f>P46&amp;Q45</f>
        <v>01-Apr-1900</v>
      </c>
    </row>
    <row r="48" spans="1:29" x14ac:dyDescent="0.25">
      <c r="A48" s="1497"/>
      <c r="B48" s="1497"/>
      <c r="C48" s="1497"/>
      <c r="D48" s="1497"/>
      <c r="E48" s="1497"/>
      <c r="F48" s="1497"/>
      <c r="K48" s="1503" t="s">
        <v>3454</v>
      </c>
      <c r="L48" s="1441">
        <v>8</v>
      </c>
      <c r="M48" s="1503" t="s">
        <v>3454</v>
      </c>
    </row>
    <row r="49" spans="1:13" x14ac:dyDescent="0.25">
      <c r="A49" s="1497"/>
      <c r="B49" s="1497"/>
      <c r="C49" s="1497"/>
      <c r="D49" s="1497"/>
      <c r="E49" s="1497"/>
      <c r="F49" s="1497"/>
      <c r="K49" s="1441" t="s">
        <v>3455</v>
      </c>
      <c r="L49" s="1441">
        <v>9</v>
      </c>
      <c r="M49" s="1441" t="s">
        <v>3455</v>
      </c>
    </row>
    <row r="50" spans="1:13" x14ac:dyDescent="0.25">
      <c r="K50" s="1503" t="s">
        <v>3456</v>
      </c>
      <c r="L50" s="1441">
        <v>10</v>
      </c>
      <c r="M50" s="1503" t="s">
        <v>3456</v>
      </c>
    </row>
    <row r="51" spans="1:13" x14ac:dyDescent="0.25">
      <c r="K51" s="1503" t="s">
        <v>3457</v>
      </c>
      <c r="L51" s="1441">
        <v>11</v>
      </c>
      <c r="M51" s="1503" t="s">
        <v>3457</v>
      </c>
    </row>
    <row r="52" spans="1:13" x14ac:dyDescent="0.25">
      <c r="K52" s="1441" t="s">
        <v>3446</v>
      </c>
      <c r="L52" s="1441">
        <v>12</v>
      </c>
      <c r="M52" s="1441" t="s">
        <v>3446</v>
      </c>
    </row>
  </sheetData>
  <sheetProtection algorithmName="SHA-512" hashValue="boGoSoxfEFMye67hia4higHasdWcIi3xak59D+FtiidMFYkJNAPEybJL2V0QHtVPaOX5iWDmO+I+nnq0W+ACtQ==" saltValue="GH8sLdFnIqzbZCEfGM6UJA==" spinCount="100000" sheet="1" objects="1" scenarios="1"/>
  <protectedRanges>
    <protectedRange sqref="A3:F3 F6:F12 F14 F21 B30 B17:E20" name="Range1"/>
  </protectedRanges>
  <dataConsolidate/>
  <mergeCells count="33">
    <mergeCell ref="B15:E15"/>
    <mergeCell ref="A1:F1"/>
    <mergeCell ref="B5:E5"/>
    <mergeCell ref="B6:E6"/>
    <mergeCell ref="B7:E7"/>
    <mergeCell ref="B8:E8"/>
    <mergeCell ref="B9:E9"/>
    <mergeCell ref="B10:E10"/>
    <mergeCell ref="B11:E11"/>
    <mergeCell ref="B12:E12"/>
    <mergeCell ref="B13:E13"/>
    <mergeCell ref="B14:E14"/>
    <mergeCell ref="B27:E27"/>
    <mergeCell ref="B16:D16"/>
    <mergeCell ref="B17:D17"/>
    <mergeCell ref="B18:D18"/>
    <mergeCell ref="B19:D19"/>
    <mergeCell ref="B20:D20"/>
    <mergeCell ref="B21:E21"/>
    <mergeCell ref="B22:E22"/>
    <mergeCell ref="B23:E23"/>
    <mergeCell ref="B24:E24"/>
    <mergeCell ref="B25:E25"/>
    <mergeCell ref="B26:E26"/>
    <mergeCell ref="A41:A42"/>
    <mergeCell ref="B41:F42"/>
    <mergeCell ref="B43:F43"/>
    <mergeCell ref="A28:F28"/>
    <mergeCell ref="B30:F31"/>
    <mergeCell ref="B34:F34"/>
    <mergeCell ref="B35:F35"/>
    <mergeCell ref="B36:F36"/>
    <mergeCell ref="B37:F37"/>
  </mergeCells>
  <conditionalFormatting sqref="F8">
    <cfRule type="expression" dxfId="30" priority="2">
      <formula>$F$7&lt;&gt;"Fresh facility"</formula>
    </cfRule>
  </conditionalFormatting>
  <conditionalFormatting sqref="F9">
    <cfRule type="expression" dxfId="29" priority="1">
      <formula>$F$7&lt;&gt;"Takeover"</formula>
    </cfRule>
  </conditionalFormatting>
  <dataValidations count="8">
    <dataValidation type="list" allowBlank="1" showInputMessage="1" showErrorMessage="1" sqref="F27" xr:uid="{DCE219DF-15CA-47A3-8B94-AEAD5BCD4CBB}">
      <formula1>"Yes, No"</formula1>
    </dataValidation>
    <dataValidation type="list" allowBlank="1" showInputMessage="1" showErrorMessage="1" sqref="F12" xr:uid="{076105F6-4BFB-4174-8531-FDD30865DE94}">
      <formula1>$V$8:$V$46</formula1>
    </dataValidation>
    <dataValidation type="list" allowBlank="1" showInputMessage="1" showErrorMessage="1" sqref="F14" xr:uid="{2BAB6B97-E778-443F-9083-009933BE790C}">
      <formula1>"Financial,CA certificate"</formula1>
    </dataValidation>
    <dataValidation type="decimal" operator="greaterThan" allowBlank="1" showInputMessage="1" showErrorMessage="1" error="Please input only value" sqref="F15:F18" xr:uid="{CB79E9C5-6F42-4DF3-8EB3-9B78B998D2CA}">
      <formula1>0</formula1>
    </dataValidation>
    <dataValidation type="list" allowBlank="1" showInputMessage="1" showErrorMessage="1" sqref="F8" xr:uid="{E08C3F68-79CA-4881-A60A-28C40808749A}">
      <formula1>"For business,Anyother purpose"</formula1>
    </dataValidation>
    <dataValidation type="list" allowBlank="1" showInputMessage="1" showErrorMessage="1" sqref="F7" xr:uid="{4EF5E843-3E5F-4EDF-B484-6546BD093B74}">
      <formula1>"Takeover,Fresh facility"</formula1>
    </dataValidation>
    <dataValidation type="list" allowBlank="1" showInputMessage="1" showErrorMessage="1" sqref="F9:F10" xr:uid="{5A5C0030-DDE2-4EB1-B61C-9ADE685C8A22}">
      <formula1>"Yes,No"</formula1>
    </dataValidation>
    <dataValidation type="list" allowBlank="1" showInputMessage="1" showErrorMessage="1" sqref="F6" xr:uid="{CEA8D430-B55E-40A6-91BA-C4BC6D365A95}">
      <formula1>"Salaried,Service, Manufacturing, Wholesale Trade, Retail Trade, Non Salaried Individual"</formula1>
    </dataValidation>
  </dataValidations>
  <pageMargins left="0.7" right="0.7" top="0.75" bottom="0.75" header="0.3" footer="0.3"/>
  <pageSetup paperSize="9" scale="55" orientation="landscape" horizontalDpi="4294967295" verticalDpi="4294967295" r:id="rId1"/>
  <headerFooter>
    <oddFooter>&amp;C&amp;"Calibri"&amp;11&amp;K000000&amp;"Calibri"&amp;11&amp;K000000&amp;"Calibri"&amp;11&amp;K000000&amp;"Calibri"&amp;11&amp;K000000&amp;"Calibri"&amp;11&amp;K000000&amp;"Calibri"&amp;11&amp;K000000&amp;"arial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8"/>
  <dimension ref="A1:C95"/>
  <sheetViews>
    <sheetView topLeftCell="A62" workbookViewId="0">
      <selection sqref="A1:F2"/>
    </sheetView>
  </sheetViews>
  <sheetFormatPr defaultColWidth="9.140625" defaultRowHeight="15" x14ac:dyDescent="0.25"/>
  <cols>
    <col min="1" max="1" width="78.85546875" style="752" customWidth="1"/>
    <col min="2" max="2" width="8.5703125" style="752" bestFit="1" customWidth="1"/>
    <col min="3" max="16384" width="9.140625" style="752"/>
  </cols>
  <sheetData>
    <row r="1" spans="1:3" ht="15.75" x14ac:dyDescent="0.25">
      <c r="A1" s="3049" t="s">
        <v>2564</v>
      </c>
      <c r="B1" s="3049"/>
      <c r="C1" s="3049"/>
    </row>
    <row r="2" spans="1:3" x14ac:dyDescent="0.25">
      <c r="A2" s="758" t="s">
        <v>2268</v>
      </c>
      <c r="B2" s="3050"/>
      <c r="C2" s="3051"/>
    </row>
    <row r="3" spans="1:3" x14ac:dyDescent="0.25">
      <c r="A3" s="758" t="s">
        <v>2269</v>
      </c>
      <c r="B3" s="3051"/>
      <c r="C3" s="3051"/>
    </row>
    <row r="4" spans="1:3" x14ac:dyDescent="0.25">
      <c r="A4" s="758" t="s">
        <v>2270</v>
      </c>
      <c r="B4" s="3051"/>
      <c r="C4" s="3051"/>
    </row>
    <row r="5" spans="1:3" x14ac:dyDescent="0.25">
      <c r="A5" s="758" t="s">
        <v>2049</v>
      </c>
      <c r="B5" s="3051"/>
      <c r="C5" s="3051"/>
    </row>
    <row r="6" spans="1:3" x14ac:dyDescent="0.25">
      <c r="A6" s="753" t="s">
        <v>2271</v>
      </c>
      <c r="B6" s="754" t="s">
        <v>1336</v>
      </c>
      <c r="C6" s="755" t="s">
        <v>504</v>
      </c>
    </row>
    <row r="7" spans="1:3" x14ac:dyDescent="0.25">
      <c r="A7" s="3047" t="s">
        <v>2272</v>
      </c>
      <c r="B7" s="3047"/>
      <c r="C7" s="3047"/>
    </row>
    <row r="8" spans="1:3" x14ac:dyDescent="0.25">
      <c r="A8" s="759" t="s">
        <v>487</v>
      </c>
      <c r="B8" s="756" t="s">
        <v>1340</v>
      </c>
      <c r="C8" s="760"/>
    </row>
    <row r="9" spans="1:3" x14ac:dyDescent="0.25">
      <c r="A9" s="759" t="s">
        <v>488</v>
      </c>
      <c r="B9" s="756" t="s">
        <v>1340</v>
      </c>
      <c r="C9" s="760"/>
    </row>
    <row r="10" spans="1:3" x14ac:dyDescent="0.25">
      <c r="A10" s="761" t="s">
        <v>711</v>
      </c>
      <c r="B10" s="756" t="s">
        <v>609</v>
      </c>
      <c r="C10" s="760"/>
    </row>
    <row r="11" spans="1:3" x14ac:dyDescent="0.25">
      <c r="A11" s="759" t="s">
        <v>2273</v>
      </c>
      <c r="B11" s="756" t="s">
        <v>609</v>
      </c>
      <c r="C11" s="760"/>
    </row>
    <row r="12" spans="1:3" x14ac:dyDescent="0.25">
      <c r="A12" s="759" t="s">
        <v>2274</v>
      </c>
      <c r="B12" s="756" t="s">
        <v>1340</v>
      </c>
      <c r="C12" s="760"/>
    </row>
    <row r="13" spans="1:3" x14ac:dyDescent="0.25">
      <c r="A13" s="761" t="s">
        <v>712</v>
      </c>
      <c r="B13" s="756" t="s">
        <v>1340</v>
      </c>
      <c r="C13" s="760"/>
    </row>
    <row r="14" spans="1:3" x14ac:dyDescent="0.25">
      <c r="A14" s="759" t="s">
        <v>2275</v>
      </c>
      <c r="B14" s="756" t="s">
        <v>1340</v>
      </c>
      <c r="C14" s="760"/>
    </row>
    <row r="15" spans="1:3" x14ac:dyDescent="0.25">
      <c r="A15" s="759" t="s">
        <v>490</v>
      </c>
      <c r="B15" s="756" t="s">
        <v>1340</v>
      </c>
      <c r="C15" s="760"/>
    </row>
    <row r="16" spans="1:3" x14ac:dyDescent="0.25">
      <c r="A16" s="759" t="s">
        <v>2276</v>
      </c>
      <c r="B16" s="756" t="s">
        <v>1340</v>
      </c>
      <c r="C16" s="760"/>
    </row>
    <row r="17" spans="1:3" x14ac:dyDescent="0.25">
      <c r="A17" s="759" t="s">
        <v>678</v>
      </c>
      <c r="B17" s="756" t="s">
        <v>1340</v>
      </c>
      <c r="C17" s="760"/>
    </row>
    <row r="18" spans="1:3" x14ac:dyDescent="0.25">
      <c r="A18" s="759" t="s">
        <v>502</v>
      </c>
      <c r="B18" s="756" t="s">
        <v>1340</v>
      </c>
      <c r="C18" s="760"/>
    </row>
    <row r="19" spans="1:3" x14ac:dyDescent="0.25">
      <c r="A19" s="759" t="s">
        <v>491</v>
      </c>
      <c r="B19" s="756" t="s">
        <v>1340</v>
      </c>
      <c r="C19" s="760"/>
    </row>
    <row r="20" spans="1:3" x14ac:dyDescent="0.25">
      <c r="A20" s="761" t="s">
        <v>2277</v>
      </c>
      <c r="B20" s="756" t="s">
        <v>1340</v>
      </c>
      <c r="C20" s="760"/>
    </row>
    <row r="21" spans="1:3" x14ac:dyDescent="0.25">
      <c r="A21" s="759" t="s">
        <v>2278</v>
      </c>
      <c r="B21" s="756" t="s">
        <v>1340</v>
      </c>
      <c r="C21" s="760"/>
    </row>
    <row r="22" spans="1:3" x14ac:dyDescent="0.25">
      <c r="A22" s="761" t="s">
        <v>489</v>
      </c>
      <c r="B22" s="756" t="s">
        <v>1340</v>
      </c>
      <c r="C22" s="760"/>
    </row>
    <row r="23" spans="1:3" x14ac:dyDescent="0.25">
      <c r="A23" s="3047" t="s">
        <v>2279</v>
      </c>
      <c r="B23" s="3047"/>
      <c r="C23" s="3047"/>
    </row>
    <row r="24" spans="1:3" x14ac:dyDescent="0.25">
      <c r="A24" s="759" t="s">
        <v>2280</v>
      </c>
      <c r="B24" s="757" t="s">
        <v>609</v>
      </c>
      <c r="C24" s="760"/>
    </row>
    <row r="25" spans="1:3" x14ac:dyDescent="0.25">
      <c r="A25" s="759" t="s">
        <v>2281</v>
      </c>
      <c r="B25" s="757" t="s">
        <v>609</v>
      </c>
      <c r="C25" s="760"/>
    </row>
    <row r="26" spans="1:3" x14ac:dyDescent="0.25">
      <c r="A26" s="759" t="s">
        <v>2282</v>
      </c>
      <c r="B26" s="757" t="s">
        <v>609</v>
      </c>
      <c r="C26" s="760"/>
    </row>
    <row r="27" spans="1:3" x14ac:dyDescent="0.25">
      <c r="A27" s="759" t="s">
        <v>2283</v>
      </c>
      <c r="B27" s="757" t="s">
        <v>609</v>
      </c>
      <c r="C27" s="760"/>
    </row>
    <row r="28" spans="1:3" x14ac:dyDescent="0.25">
      <c r="A28" s="759" t="s">
        <v>2284</v>
      </c>
      <c r="B28" s="757" t="s">
        <v>609</v>
      </c>
      <c r="C28" s="760"/>
    </row>
    <row r="29" spans="1:3" x14ac:dyDescent="0.25">
      <c r="A29" s="759" t="s">
        <v>2285</v>
      </c>
      <c r="B29" s="757" t="s">
        <v>609</v>
      </c>
      <c r="C29" s="760"/>
    </row>
    <row r="30" spans="1:3" x14ac:dyDescent="0.25">
      <c r="A30" s="759" t="s">
        <v>2286</v>
      </c>
      <c r="B30" s="757" t="s">
        <v>1340</v>
      </c>
      <c r="C30" s="760"/>
    </row>
    <row r="31" spans="1:3" x14ac:dyDescent="0.25">
      <c r="A31" s="759" t="s">
        <v>2287</v>
      </c>
      <c r="B31" s="757" t="s">
        <v>1340</v>
      </c>
      <c r="C31" s="760"/>
    </row>
    <row r="32" spans="1:3" x14ac:dyDescent="0.25">
      <c r="A32" s="759" t="s">
        <v>2288</v>
      </c>
      <c r="B32" s="757" t="s">
        <v>1340</v>
      </c>
      <c r="C32" s="760"/>
    </row>
    <row r="33" spans="1:3" x14ac:dyDescent="0.25">
      <c r="A33" s="759" t="s">
        <v>2289</v>
      </c>
      <c r="B33" s="757" t="s">
        <v>1340</v>
      </c>
      <c r="C33" s="760"/>
    </row>
    <row r="34" spans="1:3" x14ac:dyDescent="0.25">
      <c r="A34" s="759" t="s">
        <v>2290</v>
      </c>
      <c r="B34" s="757" t="s">
        <v>1340</v>
      </c>
      <c r="C34" s="760"/>
    </row>
    <row r="35" spans="1:3" x14ac:dyDescent="0.25">
      <c r="A35" s="759" t="s">
        <v>2291</v>
      </c>
      <c r="B35" s="757" t="s">
        <v>1340</v>
      </c>
      <c r="C35" s="760"/>
    </row>
    <row r="36" spans="1:3" x14ac:dyDescent="0.25">
      <c r="A36" s="759" t="s">
        <v>3227</v>
      </c>
      <c r="B36" s="757" t="s">
        <v>1340</v>
      </c>
      <c r="C36" s="760"/>
    </row>
    <row r="37" spans="1:3" x14ac:dyDescent="0.25">
      <c r="A37" s="759" t="s">
        <v>2292</v>
      </c>
      <c r="B37" s="757" t="s">
        <v>1340</v>
      </c>
      <c r="C37" s="760"/>
    </row>
    <row r="38" spans="1:3" x14ac:dyDescent="0.25">
      <c r="A38" s="759" t="s">
        <v>2293</v>
      </c>
      <c r="B38" s="757" t="s">
        <v>1340</v>
      </c>
      <c r="C38" s="760"/>
    </row>
    <row r="39" spans="1:3" x14ac:dyDescent="0.25">
      <c r="A39" s="759" t="s">
        <v>709</v>
      </c>
      <c r="B39" s="757" t="s">
        <v>1340</v>
      </c>
      <c r="C39" s="760"/>
    </row>
    <row r="40" spans="1:3" x14ac:dyDescent="0.25">
      <c r="A40" s="759" t="s">
        <v>2294</v>
      </c>
      <c r="B40" s="757" t="s">
        <v>1340</v>
      </c>
      <c r="C40" s="760"/>
    </row>
    <row r="41" spans="1:3" x14ac:dyDescent="0.25">
      <c r="A41" s="759" t="s">
        <v>2295</v>
      </c>
      <c r="B41" s="757" t="s">
        <v>1340</v>
      </c>
      <c r="C41" s="760"/>
    </row>
    <row r="42" spans="1:3" x14ac:dyDescent="0.25">
      <c r="A42" s="759" t="s">
        <v>2296</v>
      </c>
      <c r="B42" s="757" t="s">
        <v>1340</v>
      </c>
      <c r="C42" s="760"/>
    </row>
    <row r="43" spans="1:3" x14ac:dyDescent="0.25">
      <c r="A43" s="759" t="s">
        <v>710</v>
      </c>
      <c r="B43" s="757" t="s">
        <v>1340</v>
      </c>
      <c r="C43" s="760"/>
    </row>
    <row r="44" spans="1:3" x14ac:dyDescent="0.25">
      <c r="A44" s="759" t="s">
        <v>708</v>
      </c>
      <c r="B44" s="757" t="s">
        <v>1340</v>
      </c>
      <c r="C44" s="760"/>
    </row>
    <row r="45" spans="1:3" x14ac:dyDescent="0.25">
      <c r="A45" s="759" t="s">
        <v>2297</v>
      </c>
      <c r="B45" s="757" t="s">
        <v>1340</v>
      </c>
      <c r="C45" s="760"/>
    </row>
    <row r="46" spans="1:3" x14ac:dyDescent="0.25">
      <c r="A46" s="3047" t="s">
        <v>2298</v>
      </c>
      <c r="B46" s="3047"/>
      <c r="C46" s="3047"/>
    </row>
    <row r="47" spans="1:3" x14ac:dyDescent="0.25">
      <c r="A47" s="758" t="s">
        <v>2299</v>
      </c>
      <c r="B47" s="756" t="s">
        <v>1340</v>
      </c>
      <c r="C47" s="760"/>
    </row>
    <row r="48" spans="1:3" x14ac:dyDescent="0.25">
      <c r="A48" s="758" t="s">
        <v>2300</v>
      </c>
      <c r="B48" s="756" t="s">
        <v>1340</v>
      </c>
      <c r="C48" s="760"/>
    </row>
    <row r="49" spans="1:3" x14ac:dyDescent="0.25">
      <c r="A49" s="758" t="s">
        <v>2301</v>
      </c>
      <c r="B49" s="756" t="s">
        <v>1340</v>
      </c>
      <c r="C49" s="760"/>
    </row>
    <row r="50" spans="1:3" x14ac:dyDescent="0.25">
      <c r="A50" s="758" t="s">
        <v>2302</v>
      </c>
      <c r="B50" s="756" t="s">
        <v>609</v>
      </c>
      <c r="C50" s="760"/>
    </row>
    <row r="51" spans="1:3" x14ac:dyDescent="0.25">
      <c r="A51" s="758" t="s">
        <v>2303</v>
      </c>
      <c r="B51" s="756" t="s">
        <v>1340</v>
      </c>
      <c r="C51" s="760"/>
    </row>
    <row r="52" spans="1:3" x14ac:dyDescent="0.25">
      <c r="A52" s="758" t="s">
        <v>2304</v>
      </c>
      <c r="B52" s="756" t="s">
        <v>1340</v>
      </c>
      <c r="C52" s="760"/>
    </row>
    <row r="53" spans="1:3" x14ac:dyDescent="0.25">
      <c r="A53" s="758" t="s">
        <v>2305</v>
      </c>
      <c r="B53" s="756" t="s">
        <v>609</v>
      </c>
      <c r="C53" s="760"/>
    </row>
    <row r="54" spans="1:3" x14ac:dyDescent="0.25">
      <c r="A54" s="758" t="s">
        <v>2306</v>
      </c>
      <c r="B54" s="756" t="s">
        <v>1340</v>
      </c>
      <c r="C54" s="760"/>
    </row>
    <row r="55" spans="1:3" x14ac:dyDescent="0.25">
      <c r="A55" s="758" t="s">
        <v>2307</v>
      </c>
      <c r="B55" s="756" t="s">
        <v>1340</v>
      </c>
      <c r="C55" s="760"/>
    </row>
    <row r="56" spans="1:3" x14ac:dyDescent="0.25">
      <c r="A56" s="758" t="s">
        <v>2308</v>
      </c>
      <c r="B56" s="756" t="s">
        <v>609</v>
      </c>
      <c r="C56" s="760"/>
    </row>
    <row r="57" spans="1:3" x14ac:dyDescent="0.25">
      <c r="A57" s="758" t="s">
        <v>2309</v>
      </c>
      <c r="B57" s="756" t="s">
        <v>1340</v>
      </c>
      <c r="C57" s="760"/>
    </row>
    <row r="58" spans="1:3" x14ac:dyDescent="0.25">
      <c r="A58" s="758" t="s">
        <v>2310</v>
      </c>
      <c r="B58" s="756" t="s">
        <v>1340</v>
      </c>
      <c r="C58" s="760"/>
    </row>
    <row r="59" spans="1:3" x14ac:dyDescent="0.25">
      <c r="A59" s="758" t="s">
        <v>2311</v>
      </c>
      <c r="B59" s="756" t="s">
        <v>1340</v>
      </c>
      <c r="C59" s="760"/>
    </row>
    <row r="60" spans="1:3" x14ac:dyDescent="0.25">
      <c r="A60" s="758" t="s">
        <v>2312</v>
      </c>
      <c r="B60" s="756" t="s">
        <v>1340</v>
      </c>
      <c r="C60" s="760"/>
    </row>
    <row r="61" spans="1:3" x14ac:dyDescent="0.25">
      <c r="A61" s="3047" t="s">
        <v>2313</v>
      </c>
      <c r="B61" s="3047"/>
      <c r="C61" s="3047"/>
    </row>
    <row r="62" spans="1:3" x14ac:dyDescent="0.25">
      <c r="A62" s="758" t="s">
        <v>2314</v>
      </c>
      <c r="B62" s="756" t="s">
        <v>1340</v>
      </c>
      <c r="C62" s="760"/>
    </row>
    <row r="63" spans="1:3" x14ac:dyDescent="0.25">
      <c r="A63" s="758" t="s">
        <v>2315</v>
      </c>
      <c r="B63" s="756" t="s">
        <v>1340</v>
      </c>
      <c r="C63" s="760"/>
    </row>
    <row r="64" spans="1:3" x14ac:dyDescent="0.25">
      <c r="A64" s="758" t="s">
        <v>2316</v>
      </c>
      <c r="B64" s="756" t="s">
        <v>1340</v>
      </c>
      <c r="C64" s="760"/>
    </row>
    <row r="65" spans="1:3" x14ac:dyDescent="0.25">
      <c r="A65" s="758" t="s">
        <v>2317</v>
      </c>
      <c r="B65" s="756" t="s">
        <v>1340</v>
      </c>
      <c r="C65" s="760"/>
    </row>
    <row r="66" spans="1:3" x14ac:dyDescent="0.25">
      <c r="A66" s="758" t="s">
        <v>2318</v>
      </c>
      <c r="B66" s="756" t="s">
        <v>1340</v>
      </c>
      <c r="C66" s="760"/>
    </row>
    <row r="67" spans="1:3" x14ac:dyDescent="0.25">
      <c r="A67" s="758" t="s">
        <v>2565</v>
      </c>
      <c r="B67" s="756" t="s">
        <v>1340</v>
      </c>
      <c r="C67" s="760"/>
    </row>
    <row r="68" spans="1:3" ht="30" x14ac:dyDescent="0.25">
      <c r="A68" s="758" t="s">
        <v>1087</v>
      </c>
      <c r="B68" s="756" t="s">
        <v>1340</v>
      </c>
      <c r="C68" s="760"/>
    </row>
    <row r="69" spans="1:3" x14ac:dyDescent="0.25">
      <c r="A69" s="758" t="s">
        <v>2319</v>
      </c>
      <c r="B69" s="756" t="s">
        <v>1340</v>
      </c>
      <c r="C69" s="760"/>
    </row>
    <row r="70" spans="1:3" x14ac:dyDescent="0.25">
      <c r="A70" s="758" t="s">
        <v>2320</v>
      </c>
      <c r="B70" s="756" t="s">
        <v>1340</v>
      </c>
      <c r="C70" s="760"/>
    </row>
    <row r="71" spans="1:3" x14ac:dyDescent="0.25">
      <c r="A71" s="758" t="s">
        <v>2321</v>
      </c>
      <c r="B71" s="756" t="s">
        <v>1340</v>
      </c>
      <c r="C71" s="760"/>
    </row>
    <row r="72" spans="1:3" x14ac:dyDescent="0.25">
      <c r="A72" s="758" t="s">
        <v>2322</v>
      </c>
      <c r="B72" s="756" t="s">
        <v>609</v>
      </c>
      <c r="C72" s="760"/>
    </row>
    <row r="73" spans="1:3" x14ac:dyDescent="0.25">
      <c r="A73" s="758" t="s">
        <v>2323</v>
      </c>
      <c r="B73" s="756" t="s">
        <v>1340</v>
      </c>
      <c r="C73" s="760"/>
    </row>
    <row r="74" spans="1:3" x14ac:dyDescent="0.25">
      <c r="A74" s="758" t="s">
        <v>2324</v>
      </c>
      <c r="B74" s="756" t="s">
        <v>609</v>
      </c>
      <c r="C74" s="760"/>
    </row>
    <row r="75" spans="1:3" x14ac:dyDescent="0.25">
      <c r="A75" s="758" t="s">
        <v>2325</v>
      </c>
      <c r="B75" s="756" t="s">
        <v>1340</v>
      </c>
      <c r="C75" s="760"/>
    </row>
    <row r="76" spans="1:3" ht="30" x14ac:dyDescent="0.25">
      <c r="A76" s="758" t="s">
        <v>2566</v>
      </c>
      <c r="B76" s="756" t="s">
        <v>1340</v>
      </c>
      <c r="C76" s="760"/>
    </row>
    <row r="77" spans="1:3" x14ac:dyDescent="0.25">
      <c r="A77" s="758" t="s">
        <v>713</v>
      </c>
      <c r="B77" s="756" t="s">
        <v>1340</v>
      </c>
      <c r="C77" s="760"/>
    </row>
    <row r="78" spans="1:3" x14ac:dyDescent="0.25">
      <c r="A78" s="758" t="s">
        <v>2326</v>
      </c>
      <c r="B78" s="756" t="s">
        <v>609</v>
      </c>
      <c r="C78" s="760"/>
    </row>
    <row r="79" spans="1:3" x14ac:dyDescent="0.25">
      <c r="A79" s="758" t="s">
        <v>2327</v>
      </c>
      <c r="B79" s="756" t="s">
        <v>609</v>
      </c>
      <c r="C79" s="760"/>
    </row>
    <row r="80" spans="1:3" x14ac:dyDescent="0.25">
      <c r="A80" s="758" t="s">
        <v>2328</v>
      </c>
      <c r="B80" s="756" t="s">
        <v>1340</v>
      </c>
      <c r="C80" s="760"/>
    </row>
    <row r="81" spans="1:3" x14ac:dyDescent="0.25">
      <c r="A81" s="758" t="s">
        <v>2329</v>
      </c>
      <c r="B81" s="756" t="s">
        <v>1340</v>
      </c>
      <c r="C81" s="760"/>
    </row>
    <row r="82" spans="1:3" x14ac:dyDescent="0.25">
      <c r="A82" s="758" t="s">
        <v>2330</v>
      </c>
      <c r="B82" s="756" t="s">
        <v>1340</v>
      </c>
      <c r="C82" s="760"/>
    </row>
    <row r="83" spans="1:3" x14ac:dyDescent="0.25">
      <c r="A83" s="758" t="s">
        <v>2331</v>
      </c>
      <c r="B83" s="756" t="s">
        <v>609</v>
      </c>
      <c r="C83" s="760"/>
    </row>
    <row r="84" spans="1:3" x14ac:dyDescent="0.25">
      <c r="A84" s="758" t="s">
        <v>2332</v>
      </c>
      <c r="B84" s="756" t="s">
        <v>1340</v>
      </c>
      <c r="C84" s="760"/>
    </row>
    <row r="85" spans="1:3" x14ac:dyDescent="0.25">
      <c r="A85" s="758" t="s">
        <v>2333</v>
      </c>
      <c r="B85" s="756" t="s">
        <v>1340</v>
      </c>
      <c r="C85" s="760"/>
    </row>
    <row r="86" spans="1:3" x14ac:dyDescent="0.25">
      <c r="A86" s="758" t="s">
        <v>2334</v>
      </c>
      <c r="B86" s="756" t="s">
        <v>609</v>
      </c>
      <c r="C86" s="760"/>
    </row>
    <row r="87" spans="1:3" x14ac:dyDescent="0.25">
      <c r="A87" s="3047" t="s">
        <v>2335</v>
      </c>
      <c r="B87" s="3047"/>
      <c r="C87" s="3047"/>
    </row>
    <row r="88" spans="1:3" x14ac:dyDescent="0.25">
      <c r="A88" s="758" t="s">
        <v>726</v>
      </c>
      <c r="B88" s="756" t="s">
        <v>609</v>
      </c>
      <c r="C88" s="760"/>
    </row>
    <row r="89" spans="1:3" x14ac:dyDescent="0.25">
      <c r="A89" s="758" t="s">
        <v>727</v>
      </c>
      <c r="B89" s="756" t="s">
        <v>609</v>
      </c>
      <c r="C89" s="760"/>
    </row>
    <row r="94" spans="1:3" x14ac:dyDescent="0.25">
      <c r="A94" s="3048" t="s">
        <v>2336</v>
      </c>
      <c r="B94" s="3048"/>
      <c r="C94" s="3048"/>
    </row>
    <row r="95" spans="1:3" x14ac:dyDescent="0.25">
      <c r="A95" s="752" t="s">
        <v>2337</v>
      </c>
      <c r="B95" s="752" t="s">
        <v>2338</v>
      </c>
    </row>
  </sheetData>
  <mergeCells count="11">
    <mergeCell ref="A7:C7"/>
    <mergeCell ref="A1:C1"/>
    <mergeCell ref="B2:C2"/>
    <mergeCell ref="B3:C3"/>
    <mergeCell ref="B4:C4"/>
    <mergeCell ref="B5:C5"/>
    <mergeCell ref="A23:C23"/>
    <mergeCell ref="A46:C46"/>
    <mergeCell ref="A61:C61"/>
    <mergeCell ref="A87:C87"/>
    <mergeCell ref="A94:C94"/>
  </mergeCells>
  <conditionalFormatting sqref="B88:B89 B86 B8:B22 B62:B84">
    <cfRule type="cellIs" dxfId="28" priority="22" operator="equal">
      <formula>"NA"</formula>
    </cfRule>
    <cfRule type="cellIs" dxfId="27" priority="23" operator="equal">
      <formula>"Pending"</formula>
    </cfRule>
    <cfRule type="cellIs" dxfId="26" priority="24" operator="equal">
      <formula>"Yes"</formula>
    </cfRule>
  </conditionalFormatting>
  <conditionalFormatting sqref="B47:B60">
    <cfRule type="cellIs" dxfId="25" priority="19" operator="equal">
      <formula>"NA"</formula>
    </cfRule>
    <cfRule type="cellIs" dxfId="24" priority="20" operator="equal">
      <formula>"Pending"</formula>
    </cfRule>
    <cfRule type="cellIs" dxfId="23" priority="21" operator="equal">
      <formula>"Yes"</formula>
    </cfRule>
  </conditionalFormatting>
  <conditionalFormatting sqref="B84 B86">
    <cfRule type="cellIs" dxfId="22" priority="16" operator="equal">
      <formula>"NA"</formula>
    </cfRule>
    <cfRule type="cellIs" dxfId="21" priority="17" operator="equal">
      <formula>"Pending"</formula>
    </cfRule>
    <cfRule type="cellIs" dxfId="20" priority="18" operator="equal">
      <formula>"Yes"</formula>
    </cfRule>
  </conditionalFormatting>
  <conditionalFormatting sqref="B86">
    <cfRule type="cellIs" dxfId="19" priority="13" operator="equal">
      <formula>"NA"</formula>
    </cfRule>
    <cfRule type="cellIs" dxfId="18" priority="14" operator="equal">
      <formula>"Pending"</formula>
    </cfRule>
    <cfRule type="cellIs" dxfId="17" priority="15" operator="equal">
      <formula>"Yes"</formula>
    </cfRule>
  </conditionalFormatting>
  <conditionalFormatting sqref="B85">
    <cfRule type="cellIs" dxfId="16" priority="10" operator="equal">
      <formula>"NA"</formula>
    </cfRule>
    <cfRule type="cellIs" dxfId="15" priority="11" operator="equal">
      <formula>"Pending"</formula>
    </cfRule>
    <cfRule type="cellIs" dxfId="14" priority="12" operator="equal">
      <formula>"Yes"</formula>
    </cfRule>
  </conditionalFormatting>
  <conditionalFormatting sqref="B85">
    <cfRule type="cellIs" dxfId="13" priority="7" operator="equal">
      <formula>"NA"</formula>
    </cfRule>
    <cfRule type="cellIs" dxfId="12" priority="8" operator="equal">
      <formula>"Pending"</formula>
    </cfRule>
    <cfRule type="cellIs" dxfId="11" priority="9" operator="equal">
      <formula>"Yes"</formula>
    </cfRule>
  </conditionalFormatting>
  <conditionalFormatting sqref="B85">
    <cfRule type="cellIs" dxfId="10" priority="4" operator="equal">
      <formula>"NA"</formula>
    </cfRule>
    <cfRule type="cellIs" dxfId="9" priority="5" operator="equal">
      <formula>"Pending"</formula>
    </cfRule>
    <cfRule type="cellIs" dxfId="8" priority="6" operator="equal">
      <formula>"Yes"</formula>
    </cfRule>
  </conditionalFormatting>
  <conditionalFormatting sqref="B24:B45">
    <cfRule type="cellIs" dxfId="7" priority="1" operator="equal">
      <formula>"NA"</formula>
    </cfRule>
    <cfRule type="cellIs" dxfId="6" priority="2" operator="equal">
      <formula>"Pending"</formula>
    </cfRule>
    <cfRule type="cellIs" dxfId="5" priority="3" operator="equal">
      <formula>"Yes"</formula>
    </cfRule>
  </conditionalFormatting>
  <dataValidations count="1">
    <dataValidation type="list" allowBlank="1" showInputMessage="1" showErrorMessage="1" sqref="B47:B60 B24:B45 B88:B89 B8:B22 B62:B86" xr:uid="{00000000-0002-0000-4100-000000000000}">
      <formula1>"Yes,Pending,NA"</formula1>
    </dataValidation>
  </dataValidations>
  <pageMargins left="0.25" right="0.25"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33128-3561-406C-AC54-1DE475071335}">
  <sheetPr codeName="Sheet70"/>
  <dimension ref="A1:XFC141"/>
  <sheetViews>
    <sheetView zoomScale="70" zoomScaleNormal="70" workbookViewId="0">
      <selection sqref="A1:F2"/>
    </sheetView>
  </sheetViews>
  <sheetFormatPr defaultColWidth="0" defaultRowHeight="15" customHeight="1" zeroHeight="1" x14ac:dyDescent="0.2"/>
  <cols>
    <col min="1" max="1" width="65.28515625" style="1393" bestFit="1" customWidth="1"/>
    <col min="2" max="2" width="26" style="1393" customWidth="1"/>
    <col min="3" max="3" width="21.5703125" style="1393" customWidth="1"/>
    <col min="4" max="4" width="15.7109375" style="1393" customWidth="1"/>
    <col min="5" max="5" width="13.28515625" style="1393" customWidth="1"/>
    <col min="6" max="6" width="16" style="1393" customWidth="1"/>
    <col min="7" max="7" width="14.5703125" style="1393" customWidth="1"/>
    <col min="8" max="8" width="13.85546875" style="1393" customWidth="1"/>
    <col min="9" max="9" width="25.28515625" style="1393" customWidth="1"/>
    <col min="10" max="10" width="9" style="1393" customWidth="1"/>
    <col min="11" max="16383" width="9.140625" style="1393" hidden="1"/>
    <col min="16384" max="16384" width="11.42578125" style="1393" hidden="1"/>
  </cols>
  <sheetData>
    <row r="1" spans="1:17" x14ac:dyDescent="0.2"/>
    <row r="2" spans="1:17" ht="23.25" customHeight="1" x14ac:dyDescent="0.2">
      <c r="A2" s="1394" t="s">
        <v>3239</v>
      </c>
      <c r="B2" s="2447" t="s">
        <v>3240</v>
      </c>
      <c r="C2" s="2447"/>
      <c r="D2" s="2447"/>
      <c r="E2" s="2447"/>
      <c r="F2" s="2447"/>
      <c r="G2" s="2447"/>
      <c r="H2" s="2447"/>
      <c r="I2" s="2447"/>
      <c r="J2" s="135"/>
      <c r="K2" s="135"/>
      <c r="L2" s="135"/>
      <c r="M2" s="135"/>
      <c r="N2" s="135"/>
      <c r="O2" s="135"/>
      <c r="P2" s="135"/>
      <c r="Q2" s="135"/>
    </row>
    <row r="3" spans="1:17" x14ac:dyDescent="0.2">
      <c r="A3" s="2448"/>
      <c r="B3" s="2449"/>
      <c r="C3" s="2449"/>
      <c r="D3" s="2449"/>
      <c r="E3" s="2449"/>
      <c r="F3" s="2449"/>
      <c r="G3" s="2449"/>
      <c r="H3" s="2449"/>
      <c r="I3" s="2450"/>
      <c r="J3" s="135"/>
      <c r="K3" s="135"/>
      <c r="L3" s="135"/>
      <c r="M3" s="135"/>
      <c r="N3" s="135"/>
      <c r="O3" s="135"/>
      <c r="P3" s="135"/>
      <c r="Q3" s="135"/>
    </row>
    <row r="4" spans="1:17" x14ac:dyDescent="0.2">
      <c r="A4" s="1388" t="s">
        <v>740</v>
      </c>
      <c r="B4" s="3052">
        <v>0</v>
      </c>
      <c r="C4" s="3053"/>
      <c r="D4" s="3053"/>
      <c r="E4" s="3053"/>
      <c r="F4" s="3053"/>
      <c r="G4" s="3053"/>
      <c r="H4" s="3053"/>
      <c r="I4" s="3054"/>
      <c r="J4" s="135"/>
      <c r="K4" s="135"/>
      <c r="L4" s="135"/>
      <c r="M4" s="135"/>
      <c r="N4" s="135"/>
      <c r="O4" s="135"/>
      <c r="P4" s="135"/>
      <c r="Q4" s="135"/>
    </row>
    <row r="5" spans="1:17" x14ac:dyDescent="0.2">
      <c r="A5" s="1388" t="s">
        <v>741</v>
      </c>
      <c r="B5" s="3055"/>
      <c r="C5" s="3056"/>
      <c r="D5" s="3056"/>
      <c r="E5" s="3056"/>
      <c r="F5" s="3056"/>
      <c r="G5" s="3056"/>
      <c r="H5" s="3056"/>
      <c r="I5" s="3057"/>
      <c r="J5" s="137"/>
      <c r="K5" s="137"/>
      <c r="L5" s="137"/>
      <c r="M5" s="137"/>
      <c r="N5" s="137"/>
      <c r="O5" s="137"/>
      <c r="P5" s="137"/>
      <c r="Q5" s="137"/>
    </row>
    <row r="6" spans="1:17" ht="15" customHeight="1" x14ac:dyDescent="0.2">
      <c r="A6" s="2454" t="s">
        <v>742</v>
      </c>
      <c r="B6" s="3058">
        <v>0</v>
      </c>
      <c r="C6" s="3059"/>
      <c r="D6" s="3059"/>
      <c r="E6" s="3059"/>
      <c r="F6" s="3059"/>
      <c r="G6" s="3059"/>
      <c r="H6" s="3059"/>
      <c r="I6" s="3060"/>
      <c r="J6" s="137"/>
      <c r="K6" s="137"/>
      <c r="L6" s="137"/>
      <c r="M6" s="137"/>
      <c r="N6" s="137"/>
      <c r="O6" s="137"/>
      <c r="P6" s="137"/>
      <c r="Q6" s="137"/>
    </row>
    <row r="7" spans="1:17" x14ac:dyDescent="0.2">
      <c r="A7" s="2455"/>
      <c r="B7" s="3061"/>
      <c r="C7" s="3062"/>
      <c r="D7" s="3062"/>
      <c r="E7" s="3062"/>
      <c r="F7" s="3062"/>
      <c r="G7" s="3062"/>
      <c r="H7" s="3062"/>
      <c r="I7" s="3063"/>
      <c r="J7" s="137"/>
      <c r="K7" s="137"/>
      <c r="L7" s="137"/>
      <c r="M7" s="137"/>
      <c r="N7" s="137"/>
      <c r="O7" s="137"/>
      <c r="P7" s="137"/>
      <c r="Q7" s="137"/>
    </row>
    <row r="8" spans="1:17" x14ac:dyDescent="0.2">
      <c r="A8" s="138" t="s">
        <v>3241</v>
      </c>
      <c r="B8" s="3070">
        <v>0</v>
      </c>
      <c r="C8" s="3071"/>
      <c r="D8" s="3071"/>
      <c r="E8" s="3071"/>
      <c r="F8" s="3071"/>
      <c r="G8" s="3071"/>
      <c r="H8" s="3071"/>
      <c r="I8" s="3072"/>
      <c r="J8" s="137"/>
      <c r="K8" s="137"/>
      <c r="L8" s="137"/>
      <c r="M8" s="137"/>
      <c r="N8" s="137"/>
      <c r="O8" s="137"/>
      <c r="P8" s="137"/>
      <c r="Q8" s="137"/>
    </row>
    <row r="9" spans="1:17" x14ac:dyDescent="0.2">
      <c r="A9" s="1388" t="s">
        <v>744</v>
      </c>
      <c r="B9" s="3073"/>
      <c r="C9" s="3074"/>
      <c r="D9" s="3074"/>
      <c r="E9" s="3074"/>
      <c r="F9" s="3074"/>
      <c r="G9" s="3074"/>
      <c r="H9" s="3074"/>
      <c r="I9" s="3075"/>
      <c r="J9" s="137"/>
      <c r="K9" s="137"/>
      <c r="L9" s="137"/>
      <c r="M9" s="137"/>
      <c r="N9" s="137"/>
      <c r="O9" s="137"/>
      <c r="P9" s="137"/>
      <c r="Q9" s="137"/>
    </row>
    <row r="10" spans="1:17" ht="15.75" thickBot="1" x14ac:dyDescent="0.25">
      <c r="A10" s="139" t="s">
        <v>745</v>
      </c>
      <c r="B10" s="2402"/>
      <c r="C10" s="2402"/>
      <c r="D10" s="2402"/>
      <c r="E10" s="2402"/>
      <c r="F10" s="2402"/>
      <c r="G10" s="2402"/>
      <c r="H10" s="2402"/>
      <c r="I10" s="2403"/>
      <c r="J10" s="137"/>
      <c r="K10" s="137"/>
      <c r="L10" s="137"/>
      <c r="M10" s="137"/>
      <c r="N10" s="137"/>
      <c r="O10" s="137"/>
      <c r="P10" s="137"/>
      <c r="Q10" s="137"/>
    </row>
    <row r="11" spans="1:17" ht="7.5" customHeight="1" thickBot="1" x14ac:dyDescent="0.25">
      <c r="A11" s="2441"/>
      <c r="B11" s="2442"/>
      <c r="C11" s="2442"/>
      <c r="D11" s="2442"/>
      <c r="E11" s="2442"/>
      <c r="F11" s="2442"/>
      <c r="G11" s="2442"/>
      <c r="H11" s="2442"/>
      <c r="I11" s="2443"/>
      <c r="J11" s="135"/>
      <c r="K11" s="135"/>
      <c r="L11" s="135"/>
      <c r="M11" s="135"/>
      <c r="N11" s="135"/>
      <c r="O11" s="135"/>
      <c r="P11" s="135"/>
      <c r="Q11" s="135"/>
    </row>
    <row r="12" spans="1:17" ht="15.75" thickBot="1" x14ac:dyDescent="0.25">
      <c r="A12" s="2326" t="s">
        <v>746</v>
      </c>
      <c r="B12" s="2327"/>
      <c r="C12" s="2327"/>
      <c r="D12" s="2327"/>
      <c r="E12" s="2327"/>
      <c r="F12" s="2327"/>
      <c r="G12" s="2327"/>
      <c r="H12" s="2327"/>
      <c r="I12" s="2328"/>
      <c r="J12" s="140"/>
      <c r="K12" s="140"/>
      <c r="L12" s="140"/>
      <c r="M12" s="140"/>
      <c r="N12" s="141"/>
      <c r="O12" s="141"/>
      <c r="P12" s="142"/>
      <c r="Q12" s="142"/>
    </row>
    <row r="13" spans="1:17" ht="12.75" customHeight="1" x14ac:dyDescent="0.2">
      <c r="A13" s="143" t="s">
        <v>747</v>
      </c>
      <c r="B13" s="3076">
        <v>0</v>
      </c>
      <c r="C13" s="3077"/>
      <c r="D13" s="3077"/>
      <c r="E13" s="3077"/>
      <c r="F13" s="3077"/>
      <c r="G13" s="3077"/>
      <c r="H13" s="3077"/>
      <c r="I13" s="3078"/>
      <c r="J13" s="135"/>
      <c r="K13" s="135"/>
      <c r="L13" s="135"/>
      <c r="M13" s="135"/>
      <c r="N13" s="135"/>
      <c r="O13" s="135"/>
      <c r="P13" s="135"/>
      <c r="Q13" s="135"/>
    </row>
    <row r="14" spans="1:17" ht="12.75" customHeight="1" x14ac:dyDescent="0.2">
      <c r="A14" s="143" t="s">
        <v>3242</v>
      </c>
      <c r="B14" s="2422">
        <v>0</v>
      </c>
      <c r="C14" s="2422"/>
      <c r="D14" s="2422"/>
      <c r="E14" s="2422"/>
      <c r="F14" s="2422"/>
      <c r="G14" s="2422"/>
      <c r="H14" s="2422"/>
      <c r="I14" s="2423"/>
      <c r="J14" s="135"/>
      <c r="K14" s="135"/>
      <c r="L14" s="135"/>
      <c r="M14" s="135"/>
      <c r="N14" s="135"/>
      <c r="O14" s="135"/>
      <c r="P14" s="135"/>
      <c r="Q14" s="135"/>
    </row>
    <row r="15" spans="1:17" ht="12.75" customHeight="1" x14ac:dyDescent="0.2">
      <c r="A15" s="143" t="s">
        <v>3243</v>
      </c>
      <c r="B15" s="2422"/>
      <c r="C15" s="2422"/>
      <c r="D15" s="2422"/>
      <c r="E15" s="2422"/>
      <c r="F15" s="2422"/>
      <c r="G15" s="2422"/>
      <c r="H15" s="2422"/>
      <c r="I15" s="2423"/>
      <c r="J15" s="135"/>
      <c r="K15" s="135"/>
      <c r="L15" s="135"/>
      <c r="M15" s="135"/>
      <c r="N15" s="135"/>
      <c r="O15" s="135"/>
      <c r="P15" s="135"/>
      <c r="Q15" s="135"/>
    </row>
    <row r="16" spans="1:17" ht="12.75" customHeight="1" x14ac:dyDescent="0.2">
      <c r="A16" s="1395" t="s">
        <v>3244</v>
      </c>
      <c r="B16" s="3064"/>
      <c r="C16" s="3065"/>
      <c r="D16" s="3065"/>
      <c r="E16" s="3065"/>
      <c r="F16" s="3065"/>
      <c r="G16" s="3065"/>
      <c r="H16" s="3065"/>
      <c r="I16" s="3066"/>
      <c r="J16" s="135"/>
      <c r="K16" s="135"/>
      <c r="L16" s="135"/>
      <c r="M16" s="135"/>
      <c r="N16" s="135"/>
      <c r="O16" s="135"/>
      <c r="P16" s="135"/>
      <c r="Q16" s="135"/>
    </row>
    <row r="17" spans="1:17" ht="12.75" customHeight="1" x14ac:dyDescent="0.2">
      <c r="A17" s="1395" t="s">
        <v>3245</v>
      </c>
      <c r="B17" s="1396" t="s">
        <v>3246</v>
      </c>
      <c r="C17" s="3067"/>
      <c r="D17" s="3067"/>
      <c r="E17" s="3067"/>
      <c r="F17" s="3067"/>
      <c r="G17" s="3067"/>
      <c r="H17" s="3067"/>
      <c r="I17" s="3068"/>
      <c r="J17" s="135"/>
      <c r="K17" s="135"/>
      <c r="L17" s="135"/>
      <c r="M17" s="135"/>
      <c r="N17" s="135"/>
      <c r="O17" s="135"/>
      <c r="P17" s="135"/>
      <c r="Q17" s="135"/>
    </row>
    <row r="18" spans="1:17" x14ac:dyDescent="0.2">
      <c r="A18" s="143" t="s">
        <v>748</v>
      </c>
      <c r="B18" s="3069" t="s">
        <v>3247</v>
      </c>
      <c r="C18" s="2422"/>
      <c r="D18" s="2422"/>
      <c r="E18" s="2422"/>
      <c r="F18" s="2422"/>
      <c r="G18" s="2422"/>
      <c r="H18" s="2422"/>
      <c r="I18" s="2423"/>
      <c r="J18" s="135"/>
      <c r="K18" s="135"/>
      <c r="L18" s="135"/>
      <c r="M18" s="135"/>
      <c r="N18" s="135"/>
      <c r="O18" s="135"/>
      <c r="P18" s="135"/>
      <c r="Q18" s="135"/>
    </row>
    <row r="19" spans="1:17" x14ac:dyDescent="0.2">
      <c r="A19" s="143" t="s">
        <v>749</v>
      </c>
      <c r="B19" s="2424"/>
      <c r="C19" s="2425"/>
      <c r="D19" s="2425"/>
      <c r="E19" s="2425"/>
      <c r="F19" s="2425"/>
      <c r="G19" s="2425"/>
      <c r="H19" s="2425"/>
      <c r="I19" s="2426"/>
      <c r="J19" s="135"/>
      <c r="K19" s="135"/>
      <c r="L19" s="135"/>
      <c r="M19" s="135"/>
      <c r="N19" s="135"/>
      <c r="O19" s="135"/>
      <c r="P19" s="135"/>
      <c r="Q19" s="135"/>
    </row>
    <row r="20" spans="1:17" x14ac:dyDescent="0.2">
      <c r="A20" s="1397" t="s">
        <v>3248</v>
      </c>
      <c r="B20" s="3064"/>
      <c r="C20" s="3065"/>
      <c r="D20" s="3065"/>
      <c r="E20" s="3065"/>
      <c r="F20" s="3065"/>
      <c r="G20" s="3065"/>
      <c r="H20" s="3065"/>
      <c r="I20" s="3066"/>
      <c r="J20" s="135"/>
      <c r="K20" s="135"/>
      <c r="L20" s="135"/>
      <c r="M20" s="135"/>
      <c r="N20" s="135"/>
      <c r="O20" s="135"/>
      <c r="P20" s="135"/>
      <c r="Q20" s="135"/>
    </row>
    <row r="21" spans="1:17" x14ac:dyDescent="0.2">
      <c r="A21" s="144" t="s">
        <v>750</v>
      </c>
      <c r="B21" s="2424"/>
      <c r="C21" s="2425"/>
      <c r="D21" s="2425"/>
      <c r="E21" s="2425"/>
      <c r="F21" s="2425"/>
      <c r="G21" s="2425"/>
      <c r="H21" s="2425"/>
      <c r="I21" s="2426"/>
      <c r="J21" s="135"/>
      <c r="K21" s="135"/>
      <c r="L21" s="135"/>
      <c r="M21" s="135"/>
      <c r="N21" s="135"/>
      <c r="O21" s="135"/>
      <c r="P21" s="135"/>
      <c r="Q21" s="135"/>
    </row>
    <row r="22" spans="1:17" x14ac:dyDescent="0.2">
      <c r="A22" s="143" t="s">
        <v>751</v>
      </c>
      <c r="B22" s="2424"/>
      <c r="C22" s="2425"/>
      <c r="D22" s="2425"/>
      <c r="E22" s="2425"/>
      <c r="F22" s="2425"/>
      <c r="G22" s="2425"/>
      <c r="H22" s="2425"/>
      <c r="I22" s="2426"/>
      <c r="J22" s="135"/>
      <c r="K22" s="135"/>
      <c r="L22" s="135"/>
      <c r="M22" s="135"/>
      <c r="N22" s="135"/>
      <c r="O22" s="135"/>
      <c r="P22" s="135"/>
      <c r="Q22" s="135"/>
    </row>
    <row r="23" spans="1:17" x14ac:dyDescent="0.2">
      <c r="A23" s="143" t="s">
        <v>36</v>
      </c>
      <c r="B23" s="3079">
        <v>0</v>
      </c>
      <c r="C23" s="3080"/>
      <c r="D23" s="3080"/>
      <c r="E23" s="3080"/>
      <c r="F23" s="3080"/>
      <c r="G23" s="3080"/>
      <c r="H23" s="3080"/>
      <c r="I23" s="3081"/>
    </row>
    <row r="24" spans="1:17" x14ac:dyDescent="0.2">
      <c r="A24" s="143" t="s">
        <v>37</v>
      </c>
      <c r="B24" s="2424">
        <v>1</v>
      </c>
      <c r="C24" s="2425"/>
      <c r="D24" s="2425"/>
      <c r="E24" s="2425"/>
      <c r="F24" s="2425"/>
      <c r="G24" s="2425"/>
      <c r="H24" s="2425"/>
      <c r="I24" s="2426"/>
    </row>
    <row r="25" spans="1:17" x14ac:dyDescent="0.2">
      <c r="A25" s="1392" t="s">
        <v>752</v>
      </c>
      <c r="B25" s="3077" t="s">
        <v>3249</v>
      </c>
      <c r="C25" s="3077"/>
      <c r="D25" s="3077"/>
      <c r="E25" s="3077"/>
      <c r="F25" s="3077"/>
      <c r="G25" s="3077"/>
      <c r="H25" s="3077"/>
      <c r="I25" s="3078"/>
      <c r="J25" s="135"/>
      <c r="K25" s="135"/>
      <c r="L25" s="135"/>
      <c r="M25" s="135"/>
      <c r="N25" s="135"/>
      <c r="O25" s="135"/>
      <c r="P25" s="135"/>
      <c r="Q25" s="135"/>
    </row>
    <row r="26" spans="1:17" ht="30" x14ac:dyDescent="0.25">
      <c r="A26" s="146" t="s">
        <v>753</v>
      </c>
      <c r="B26" s="3079">
        <v>0</v>
      </c>
      <c r="C26" s="3080"/>
      <c r="D26" s="3080"/>
      <c r="E26" s="3080"/>
      <c r="F26" s="3080"/>
      <c r="G26" s="3080"/>
      <c r="H26" s="3080"/>
      <c r="I26" s="3081"/>
      <c r="K26" s="1398" t="s">
        <v>3250</v>
      </c>
      <c r="L26" s="135"/>
      <c r="M26" s="135"/>
      <c r="N26" s="135"/>
      <c r="O26" s="135"/>
      <c r="P26" s="135"/>
      <c r="Q26" s="135"/>
    </row>
    <row r="27" spans="1:17" ht="38.25" customHeight="1" x14ac:dyDescent="0.25">
      <c r="A27" s="1399" t="s">
        <v>3251</v>
      </c>
      <c r="B27" s="3082"/>
      <c r="C27" s="3083"/>
      <c r="D27" s="3083"/>
      <c r="E27" s="3083"/>
      <c r="F27" s="3083"/>
      <c r="G27" s="3083"/>
      <c r="H27" s="3083"/>
      <c r="I27" s="3084"/>
      <c r="J27" s="1398"/>
      <c r="K27" s="135" t="s">
        <v>3252</v>
      </c>
      <c r="L27" s="135"/>
      <c r="M27" s="135"/>
      <c r="N27" s="135"/>
      <c r="O27" s="135"/>
      <c r="P27" s="135"/>
      <c r="Q27" s="135"/>
    </row>
    <row r="28" spans="1:17" ht="15.75" x14ac:dyDescent="0.25">
      <c r="A28" s="1392" t="s">
        <v>754</v>
      </c>
      <c r="B28" s="2424"/>
      <c r="C28" s="2425"/>
      <c r="D28" s="2425"/>
      <c r="E28" s="2425"/>
      <c r="F28" s="2425"/>
      <c r="G28" s="2425"/>
      <c r="H28" s="2425"/>
      <c r="I28" s="2426"/>
      <c r="J28" s="1398"/>
      <c r="K28" s="1393" t="s">
        <v>3253</v>
      </c>
    </row>
    <row r="29" spans="1:17" ht="15.75" x14ac:dyDescent="0.25">
      <c r="A29" s="1400" t="s">
        <v>3254</v>
      </c>
      <c r="B29" s="1401" t="s">
        <v>3255</v>
      </c>
      <c r="C29" s="1402"/>
      <c r="D29" s="3085" t="s">
        <v>3256</v>
      </c>
      <c r="E29" s="3085"/>
      <c r="F29" s="3085" t="s">
        <v>3257</v>
      </c>
      <c r="G29" s="3085"/>
      <c r="H29" s="3085"/>
      <c r="I29" s="3086"/>
      <c r="J29" s="1398"/>
      <c r="K29" s="1393" t="s">
        <v>3258</v>
      </c>
    </row>
    <row r="30" spans="1:17" ht="15.75" x14ac:dyDescent="0.25">
      <c r="A30" s="1392" t="s">
        <v>755</v>
      </c>
      <c r="B30" s="2422"/>
      <c r="C30" s="2422"/>
      <c r="D30" s="2422"/>
      <c r="E30" s="2422"/>
      <c r="F30" s="2422"/>
      <c r="G30" s="2422"/>
      <c r="H30" s="2422"/>
      <c r="I30" s="2423"/>
      <c r="J30" s="1398"/>
    </row>
    <row r="31" spans="1:17" ht="48" customHeight="1" x14ac:dyDescent="0.25">
      <c r="A31" s="1400" t="s">
        <v>3259</v>
      </c>
      <c r="B31" s="1396" t="s">
        <v>3260</v>
      </c>
      <c r="C31" s="1390"/>
      <c r="D31" s="3064" t="s">
        <v>3261</v>
      </c>
      <c r="E31" s="3065"/>
      <c r="F31" s="3090"/>
      <c r="G31" s="3091" t="s">
        <v>3262</v>
      </c>
      <c r="H31" s="3092"/>
      <c r="I31" s="3093"/>
      <c r="J31" s="1398"/>
    </row>
    <row r="32" spans="1:17" ht="16.5" thickBot="1" x14ac:dyDescent="0.3">
      <c r="A32" s="147"/>
      <c r="B32" s="1403"/>
      <c r="C32" s="1403"/>
      <c r="D32" s="1403"/>
      <c r="E32" s="1403"/>
      <c r="F32" s="1403"/>
      <c r="G32" s="1403"/>
      <c r="H32" s="1403"/>
      <c r="I32" s="1404"/>
      <c r="J32" s="1398"/>
    </row>
    <row r="33" spans="1:9" ht="15.75" thickBot="1" x14ac:dyDescent="0.25">
      <c r="A33" s="2326" t="s">
        <v>756</v>
      </c>
      <c r="B33" s="2327"/>
      <c r="C33" s="2327"/>
      <c r="D33" s="2327"/>
      <c r="E33" s="2327"/>
      <c r="F33" s="2327"/>
      <c r="G33" s="2327"/>
      <c r="H33" s="2327"/>
      <c r="I33" s="2328"/>
    </row>
    <row r="34" spans="1:9" x14ac:dyDescent="0.2">
      <c r="A34" s="1389" t="s">
        <v>757</v>
      </c>
      <c r="B34" s="3094">
        <v>0</v>
      </c>
      <c r="C34" s="3095"/>
      <c r="D34" s="3095"/>
      <c r="E34" s="3095"/>
      <c r="F34" s="3095"/>
      <c r="G34" s="3095"/>
      <c r="H34" s="3095"/>
      <c r="I34" s="3096"/>
    </row>
    <row r="35" spans="1:9" ht="15.75" thickBot="1" x14ac:dyDescent="0.25">
      <c r="A35" s="149" t="s">
        <v>758</v>
      </c>
      <c r="B35" s="2422" t="s">
        <v>3263</v>
      </c>
      <c r="C35" s="2422"/>
      <c r="D35" s="2422"/>
      <c r="E35" s="2422"/>
      <c r="F35" s="2422"/>
      <c r="G35" s="2422"/>
      <c r="H35" s="2422"/>
      <c r="I35" s="2423"/>
    </row>
    <row r="36" spans="1:9" ht="15.75" thickBot="1" x14ac:dyDescent="0.25">
      <c r="A36" s="2326" t="s">
        <v>759</v>
      </c>
      <c r="B36" s="2327"/>
      <c r="C36" s="2327"/>
      <c r="D36" s="2327"/>
      <c r="E36" s="2327"/>
      <c r="F36" s="2327"/>
      <c r="G36" s="2327"/>
      <c r="H36" s="2327"/>
      <c r="I36" s="2328"/>
    </row>
    <row r="37" spans="1:9" ht="15.75" customHeight="1" thickBot="1" x14ac:dyDescent="0.25">
      <c r="A37" s="150" t="s">
        <v>760</v>
      </c>
      <c r="B37" s="2414" t="s">
        <v>761</v>
      </c>
      <c r="C37" s="2414"/>
      <c r="D37" s="2414"/>
      <c r="E37" s="2415" t="s">
        <v>685</v>
      </c>
      <c r="F37" s="3087"/>
      <c r="G37" s="3088"/>
      <c r="H37" s="2415" t="s">
        <v>762</v>
      </c>
      <c r="I37" s="3089"/>
    </row>
    <row r="38" spans="1:9" ht="21.75" customHeight="1" thickTop="1" x14ac:dyDescent="0.2">
      <c r="A38" s="1405"/>
      <c r="B38" s="2419"/>
      <c r="C38" s="2419"/>
      <c r="D38" s="2419"/>
      <c r="E38" s="2419"/>
      <c r="F38" s="2419"/>
      <c r="G38" s="2419"/>
      <c r="H38" s="2420"/>
      <c r="I38" s="2421"/>
    </row>
    <row r="39" spans="1:9" ht="21.75" customHeight="1" x14ac:dyDescent="0.2">
      <c r="A39" s="1392"/>
      <c r="B39" s="2388"/>
      <c r="C39" s="2388"/>
      <c r="D39" s="2388"/>
      <c r="E39" s="2370"/>
      <c r="F39" s="2370"/>
      <c r="G39" s="2370"/>
      <c r="H39" s="2388"/>
      <c r="I39" s="2389"/>
    </row>
    <row r="40" spans="1:9" ht="21.75" customHeight="1" x14ac:dyDescent="0.2">
      <c r="A40" s="146"/>
      <c r="B40" s="2412"/>
      <c r="C40" s="2412"/>
      <c r="D40" s="2412"/>
      <c r="E40" s="2412"/>
      <c r="F40" s="2412"/>
      <c r="G40" s="2412"/>
      <c r="H40" s="2412"/>
      <c r="I40" s="2413"/>
    </row>
    <row r="41" spans="1:9" ht="36.75" customHeight="1" thickBot="1" x14ac:dyDescent="0.25">
      <c r="A41" s="152" t="s">
        <v>763</v>
      </c>
      <c r="B41" s="2404"/>
      <c r="C41" s="2404"/>
      <c r="D41" s="2404"/>
      <c r="E41" s="2404"/>
      <c r="F41" s="2404"/>
      <c r="G41" s="2404"/>
      <c r="H41" s="2404"/>
      <c r="I41" s="2405"/>
    </row>
    <row r="42" spans="1:9" ht="21.75" customHeight="1" thickBot="1" x14ac:dyDescent="0.25">
      <c r="A42" s="2406" t="s">
        <v>764</v>
      </c>
      <c r="B42" s="2407"/>
      <c r="C42" s="2407"/>
      <c r="D42" s="2407"/>
      <c r="E42" s="2407"/>
      <c r="F42" s="2407"/>
      <c r="G42" s="2407"/>
      <c r="H42" s="2408"/>
      <c r="I42" s="2409"/>
    </row>
    <row r="43" spans="1:9" ht="17.25" customHeight="1" x14ac:dyDescent="0.2">
      <c r="A43" s="153" t="s">
        <v>765</v>
      </c>
      <c r="B43" s="2394" t="s">
        <v>766</v>
      </c>
      <c r="C43" s="2395"/>
      <c r="D43" s="2396"/>
      <c r="E43" s="2397" t="s">
        <v>767</v>
      </c>
      <c r="F43" s="2398"/>
      <c r="G43" s="2398"/>
      <c r="H43" s="2410" t="s">
        <v>768</v>
      </c>
      <c r="I43" s="2411"/>
    </row>
    <row r="44" spans="1:9" ht="23.25" customHeight="1" x14ac:dyDescent="0.2">
      <c r="A44" s="154"/>
      <c r="B44" s="2388"/>
      <c r="C44" s="2388"/>
      <c r="D44" s="2388"/>
      <c r="E44" s="2388"/>
      <c r="F44" s="2388"/>
      <c r="G44" s="2388"/>
      <c r="H44" s="2388"/>
      <c r="I44" s="2389"/>
    </row>
    <row r="45" spans="1:9" ht="23.25" customHeight="1" x14ac:dyDescent="0.2">
      <c r="A45" s="154"/>
      <c r="B45" s="2432"/>
      <c r="C45" s="2433"/>
      <c r="D45" s="3098"/>
      <c r="E45" s="2388"/>
      <c r="F45" s="2388"/>
      <c r="G45" s="2388"/>
      <c r="H45" s="2388"/>
      <c r="I45" s="2389"/>
    </row>
    <row r="46" spans="1:9" ht="20.25" customHeight="1" x14ac:dyDescent="0.2">
      <c r="A46" s="1406"/>
      <c r="B46" s="2412"/>
      <c r="C46" s="2412"/>
      <c r="D46" s="2412"/>
      <c r="E46" s="2412"/>
      <c r="F46" s="2412"/>
      <c r="G46" s="2412"/>
      <c r="H46" s="2412"/>
      <c r="I46" s="2413"/>
    </row>
    <row r="47" spans="1:9" ht="20.25" customHeight="1" x14ac:dyDescent="0.2">
      <c r="A47" s="1395" t="s">
        <v>3264</v>
      </c>
      <c r="B47" s="1396" t="s">
        <v>3265</v>
      </c>
      <c r="C47" s="2432"/>
      <c r="D47" s="2433"/>
      <c r="E47" s="2433"/>
      <c r="F47" s="2433"/>
      <c r="G47" s="2433"/>
      <c r="H47" s="2433"/>
      <c r="I47" s="2434"/>
    </row>
    <row r="48" spans="1:9" ht="20.25" customHeight="1" thickBot="1" x14ac:dyDescent="0.25">
      <c r="A48" s="3097" t="s">
        <v>769</v>
      </c>
      <c r="B48" s="2408"/>
      <c r="C48" s="2408"/>
      <c r="D48" s="2408"/>
      <c r="E48" s="2408"/>
      <c r="F48" s="2408"/>
      <c r="G48" s="2408"/>
      <c r="H48" s="2408"/>
      <c r="I48" s="2409"/>
    </row>
    <row r="49" spans="1:9" ht="19.5" customHeight="1" x14ac:dyDescent="0.2">
      <c r="A49" s="156" t="s">
        <v>770</v>
      </c>
      <c r="B49" s="2394" t="s">
        <v>766</v>
      </c>
      <c r="C49" s="2395"/>
      <c r="D49" s="2396"/>
      <c r="E49" s="2397" t="s">
        <v>767</v>
      </c>
      <c r="F49" s="2398"/>
      <c r="G49" s="2398"/>
      <c r="H49" s="2399" t="s">
        <v>771</v>
      </c>
      <c r="I49" s="2400"/>
    </row>
    <row r="50" spans="1:9" ht="25.5" customHeight="1" x14ac:dyDescent="0.2">
      <c r="A50" s="154"/>
      <c r="B50" s="2388"/>
      <c r="C50" s="2388"/>
      <c r="D50" s="2388"/>
      <c r="E50" s="2388"/>
      <c r="F50" s="2388"/>
      <c r="G50" s="2388"/>
      <c r="H50" s="2388"/>
      <c r="I50" s="2389"/>
    </row>
    <row r="51" spans="1:9" ht="22.5" customHeight="1" x14ac:dyDescent="0.2">
      <c r="A51" s="154"/>
      <c r="B51" s="2432"/>
      <c r="C51" s="2433"/>
      <c r="D51" s="3098"/>
      <c r="E51" s="2388"/>
      <c r="F51" s="2388"/>
      <c r="G51" s="2388"/>
      <c r="H51" s="2388"/>
      <c r="I51" s="2389"/>
    </row>
    <row r="52" spans="1:9" ht="24.75" customHeight="1" x14ac:dyDescent="0.2">
      <c r="A52" s="154"/>
      <c r="B52" s="2388"/>
      <c r="C52" s="2388"/>
      <c r="D52" s="2388"/>
      <c r="E52" s="2388"/>
      <c r="F52" s="2388"/>
      <c r="G52" s="2388"/>
      <c r="H52" s="2388"/>
      <c r="I52" s="2389"/>
    </row>
    <row r="53" spans="1:9" ht="24.75" customHeight="1" x14ac:dyDescent="0.2">
      <c r="A53" s="1407" t="s">
        <v>772</v>
      </c>
      <c r="B53" s="2422"/>
      <c r="C53" s="2422"/>
      <c r="D53" s="2422"/>
      <c r="E53" s="2422"/>
      <c r="F53" s="2422"/>
      <c r="G53" s="2422"/>
      <c r="H53" s="2422"/>
      <c r="I53" s="2423"/>
    </row>
    <row r="54" spans="1:9" ht="24.75" customHeight="1" x14ac:dyDescent="0.2">
      <c r="A54" s="1395" t="s">
        <v>3266</v>
      </c>
      <c r="B54" s="1396" t="s">
        <v>3265</v>
      </c>
      <c r="C54" s="1408"/>
      <c r="D54" s="3085" t="s">
        <v>3267</v>
      </c>
      <c r="E54" s="3085"/>
      <c r="F54" s="3085"/>
      <c r="G54" s="3085" t="s">
        <v>3268</v>
      </c>
      <c r="H54" s="3085"/>
      <c r="I54" s="3086"/>
    </row>
    <row r="55" spans="1:9" ht="24" customHeight="1" x14ac:dyDescent="0.2">
      <c r="A55" s="158" t="s">
        <v>773</v>
      </c>
      <c r="B55" s="2381" t="s">
        <v>3269</v>
      </c>
      <c r="C55" s="2381"/>
      <c r="D55" s="2381"/>
      <c r="E55" s="2381"/>
      <c r="F55" s="2381"/>
      <c r="G55" s="2381"/>
      <c r="H55" s="2381"/>
      <c r="I55" s="2382"/>
    </row>
    <row r="56" spans="1:9" ht="22.5" customHeight="1" x14ac:dyDescent="0.2">
      <c r="A56" s="159" t="s">
        <v>775</v>
      </c>
      <c r="B56" s="2373" t="s">
        <v>196</v>
      </c>
      <c r="C56" s="2383"/>
      <c r="D56" s="2384" t="s">
        <v>776</v>
      </c>
      <c r="E56" s="2384"/>
      <c r="F56" s="2384"/>
      <c r="G56" s="2384"/>
      <c r="H56" s="2373"/>
      <c r="I56" s="2374"/>
    </row>
    <row r="57" spans="1:9" ht="19.5" customHeight="1" x14ac:dyDescent="0.2">
      <c r="A57" s="159" t="s">
        <v>777</v>
      </c>
      <c r="B57" s="2368" t="s">
        <v>778</v>
      </c>
      <c r="C57" s="2368"/>
      <c r="D57" s="2368"/>
      <c r="E57" s="2368"/>
      <c r="F57" s="2368"/>
      <c r="G57" s="2368"/>
      <c r="H57" s="2368"/>
      <c r="I57" s="2369"/>
    </row>
    <row r="58" spans="1:9" ht="21" customHeight="1" x14ac:dyDescent="0.2">
      <c r="A58" s="159" t="s">
        <v>779</v>
      </c>
      <c r="B58" s="2368" t="s">
        <v>3270</v>
      </c>
      <c r="C58" s="2368"/>
      <c r="D58" s="2368"/>
      <c r="E58" s="2368"/>
      <c r="F58" s="2368"/>
      <c r="G58" s="2368"/>
      <c r="H58" s="2368"/>
      <c r="I58" s="2369"/>
    </row>
    <row r="59" spans="1:9" ht="22.5" customHeight="1" x14ac:dyDescent="0.2">
      <c r="A59" s="159" t="s">
        <v>781</v>
      </c>
      <c r="B59" s="2368" t="s">
        <v>782</v>
      </c>
      <c r="C59" s="2368"/>
      <c r="D59" s="2368"/>
      <c r="E59" s="2368"/>
      <c r="F59" s="2368"/>
      <c r="G59" s="2368"/>
      <c r="H59" s="2368"/>
      <c r="I59" s="2369"/>
    </row>
    <row r="60" spans="1:9" ht="23.25" customHeight="1" x14ac:dyDescent="0.2">
      <c r="A60" s="159" t="s">
        <v>783</v>
      </c>
      <c r="B60" s="2370" t="s">
        <v>196</v>
      </c>
      <c r="C60" s="2370"/>
      <c r="D60" s="2371" t="s">
        <v>784</v>
      </c>
      <c r="E60" s="2371"/>
      <c r="F60" s="2371"/>
      <c r="G60" s="2372"/>
      <c r="H60" s="2373" t="s">
        <v>196</v>
      </c>
      <c r="I60" s="2374"/>
    </row>
    <row r="61" spans="1:9" ht="15.75" thickBot="1" x14ac:dyDescent="0.25">
      <c r="A61" s="3099" t="s">
        <v>785</v>
      </c>
      <c r="B61" s="3100"/>
      <c r="C61" s="3100"/>
      <c r="D61" s="3100"/>
      <c r="E61" s="3100"/>
      <c r="F61" s="3100"/>
      <c r="G61" s="3100"/>
      <c r="H61" s="3100"/>
      <c r="I61" s="3101"/>
    </row>
    <row r="62" spans="1:9" x14ac:dyDescent="0.2">
      <c r="A62" s="2362" t="s">
        <v>786</v>
      </c>
      <c r="B62" s="2363"/>
      <c r="C62" s="2363"/>
      <c r="D62" s="2355"/>
      <c r="E62" s="2355"/>
      <c r="F62" s="2355"/>
      <c r="G62" s="2355"/>
      <c r="H62" s="2355"/>
      <c r="I62" s="2356"/>
    </row>
    <row r="63" spans="1:9" x14ac:dyDescent="0.2">
      <c r="A63" s="2364" t="s">
        <v>787</v>
      </c>
      <c r="B63" s="2365"/>
      <c r="C63" s="2365"/>
      <c r="D63" s="2366"/>
      <c r="E63" s="2366"/>
      <c r="F63" s="2366"/>
      <c r="G63" s="2366"/>
      <c r="H63" s="2366"/>
      <c r="I63" s="2367"/>
    </row>
    <row r="64" spans="1:9" x14ac:dyDescent="0.2">
      <c r="A64" s="2364" t="s">
        <v>788</v>
      </c>
      <c r="B64" s="2365"/>
      <c r="C64" s="2365"/>
      <c r="D64" s="2366"/>
      <c r="E64" s="2366"/>
      <c r="F64" s="2366"/>
      <c r="G64" s="2366"/>
      <c r="H64" s="2366"/>
      <c r="I64" s="2367"/>
    </row>
    <row r="65" spans="1:9" ht="15.75" thickBot="1" x14ac:dyDescent="0.25">
      <c r="A65" s="2346" t="s">
        <v>789</v>
      </c>
      <c r="B65" s="2347"/>
      <c r="C65" s="2347"/>
      <c r="D65" s="2348"/>
      <c r="E65" s="2348"/>
      <c r="F65" s="2348"/>
      <c r="G65" s="2348"/>
      <c r="H65" s="2348"/>
      <c r="I65" s="2349"/>
    </row>
    <row r="66" spans="1:9" ht="15.75" thickBot="1" x14ac:dyDescent="0.25">
      <c r="A66" s="2350" t="s">
        <v>790</v>
      </c>
      <c r="B66" s="2351"/>
      <c r="C66" s="2351"/>
      <c r="D66" s="2351"/>
      <c r="E66" s="2351"/>
      <c r="F66" s="2351"/>
      <c r="G66" s="2351"/>
      <c r="H66" s="2351"/>
      <c r="I66" s="2352"/>
    </row>
    <row r="67" spans="1:9" x14ac:dyDescent="0.2">
      <c r="A67" s="2353" t="s">
        <v>791</v>
      </c>
      <c r="B67" s="2354"/>
      <c r="C67" s="2354"/>
      <c r="D67" s="2355" t="s">
        <v>792</v>
      </c>
      <c r="E67" s="2355"/>
      <c r="F67" s="2355"/>
      <c r="G67" s="2355"/>
      <c r="H67" s="2355"/>
      <c r="I67" s="2356"/>
    </row>
    <row r="68" spans="1:9" x14ac:dyDescent="0.2">
      <c r="A68" s="2357" t="s">
        <v>793</v>
      </c>
      <c r="B68" s="2358"/>
      <c r="C68" s="2359"/>
      <c r="D68" s="2360"/>
      <c r="E68" s="2358"/>
      <c r="F68" s="2358"/>
      <c r="G68" s="2358"/>
      <c r="H68" s="2358"/>
      <c r="I68" s="2361"/>
    </row>
    <row r="69" spans="1:9" x14ac:dyDescent="0.2">
      <c r="A69" s="3102" t="s">
        <v>2339</v>
      </c>
      <c r="B69" s="3056"/>
      <c r="C69" s="3103"/>
      <c r="D69" s="3104"/>
      <c r="E69" s="3105"/>
      <c r="F69" s="3105"/>
      <c r="G69" s="3105"/>
      <c r="H69" s="3105"/>
      <c r="I69" s="3106"/>
    </row>
    <row r="70" spans="1:9" x14ac:dyDescent="0.2">
      <c r="A70" s="2323" t="s">
        <v>794</v>
      </c>
      <c r="B70" s="2324"/>
      <c r="C70" s="2324"/>
      <c r="D70" s="2324"/>
      <c r="E70" s="2324"/>
      <c r="F70" s="2324"/>
      <c r="G70" s="2324"/>
      <c r="H70" s="2324"/>
      <c r="I70" s="2325"/>
    </row>
    <row r="71" spans="1:9" x14ac:dyDescent="0.2">
      <c r="A71" s="2323" t="s">
        <v>795</v>
      </c>
      <c r="B71" s="2324"/>
      <c r="C71" s="2324"/>
      <c r="D71" s="2324"/>
      <c r="E71" s="2324"/>
      <c r="F71" s="2324"/>
      <c r="G71" s="2324"/>
      <c r="H71" s="2324"/>
      <c r="I71" s="2325"/>
    </row>
    <row r="72" spans="1:9" x14ac:dyDescent="0.2">
      <c r="A72" s="2323" t="s">
        <v>796</v>
      </c>
      <c r="B72" s="2324"/>
      <c r="C72" s="2324"/>
      <c r="D72" s="3107"/>
      <c r="E72" s="2324"/>
      <c r="F72" s="2324"/>
      <c r="G72" s="2324"/>
      <c r="H72" s="2324"/>
      <c r="I72" s="2325"/>
    </row>
    <row r="73" spans="1:9" ht="15.75" thickBot="1" x14ac:dyDescent="0.25">
      <c r="A73" s="2323" t="s">
        <v>797</v>
      </c>
      <c r="B73" s="2324"/>
      <c r="C73" s="2324"/>
      <c r="D73" s="2324"/>
      <c r="E73" s="2324"/>
      <c r="F73" s="2324"/>
      <c r="G73" s="2324"/>
      <c r="H73" s="2324"/>
      <c r="I73" s="2325"/>
    </row>
    <row r="74" spans="1:9" ht="15.75" thickBot="1" x14ac:dyDescent="0.25">
      <c r="A74" s="2326" t="s">
        <v>798</v>
      </c>
      <c r="B74" s="2327"/>
      <c r="C74" s="2327"/>
      <c r="D74" s="2327"/>
      <c r="E74" s="2327"/>
      <c r="F74" s="2327"/>
      <c r="G74" s="2327"/>
      <c r="H74" s="2327"/>
      <c r="I74" s="2328"/>
    </row>
    <row r="75" spans="1:9" x14ac:dyDescent="0.2">
      <c r="A75" s="2329" t="s">
        <v>799</v>
      </c>
      <c r="B75" s="2330"/>
      <c r="C75" s="2330"/>
      <c r="D75" s="2330"/>
      <c r="E75" s="2330"/>
      <c r="F75" s="2330"/>
      <c r="G75" s="2330"/>
      <c r="H75" s="2330"/>
      <c r="I75" s="2331"/>
    </row>
    <row r="76" spans="1:9" x14ac:dyDescent="0.2">
      <c r="A76" s="2332"/>
      <c r="B76" s="2333"/>
      <c r="C76" s="2333"/>
      <c r="D76" s="2333"/>
      <c r="E76" s="2333"/>
      <c r="F76" s="2333"/>
      <c r="G76" s="2333"/>
      <c r="H76" s="2333"/>
      <c r="I76" s="2334"/>
    </row>
    <row r="77" spans="1:9" x14ac:dyDescent="0.2">
      <c r="A77" s="2335"/>
      <c r="B77" s="2336"/>
      <c r="C77" s="2336"/>
      <c r="D77" s="2336"/>
      <c r="E77" s="2336"/>
      <c r="F77" s="2336"/>
      <c r="G77" s="2336"/>
      <c r="H77" s="2336"/>
      <c r="I77" s="2337"/>
    </row>
    <row r="78" spans="1:9" ht="13.5" customHeight="1" x14ac:dyDescent="0.2">
      <c r="A78" s="2335"/>
      <c r="B78" s="2336"/>
      <c r="C78" s="2336"/>
      <c r="D78" s="2336"/>
      <c r="E78" s="2336"/>
      <c r="F78" s="2336"/>
      <c r="G78" s="2336"/>
      <c r="H78" s="2336"/>
      <c r="I78" s="2337"/>
    </row>
    <row r="79" spans="1:9" x14ac:dyDescent="0.2">
      <c r="A79" s="2338"/>
      <c r="B79" s="2339"/>
      <c r="C79" s="2339"/>
      <c r="D79" s="2339"/>
      <c r="E79" s="2339"/>
      <c r="F79" s="2339"/>
      <c r="G79" s="2339"/>
      <c r="H79" s="2339"/>
      <c r="I79" s="2340"/>
    </row>
    <row r="80" spans="1:9" ht="15.75" thickBot="1" x14ac:dyDescent="0.25">
      <c r="A80" s="2341" t="s">
        <v>3271</v>
      </c>
      <c r="B80" s="2342"/>
      <c r="C80" s="2343"/>
      <c r="D80" s="2344" t="s">
        <v>801</v>
      </c>
      <c r="E80" s="2342"/>
      <c r="F80" s="2342"/>
      <c r="G80" s="2342"/>
      <c r="H80" s="2342"/>
      <c r="I80" s="2345"/>
    </row>
    <row r="81" spans="1:9" ht="12.75" customHeight="1" x14ac:dyDescent="0.2">
      <c r="A81" s="137"/>
      <c r="B81" s="137"/>
      <c r="C81" s="137"/>
      <c r="D81" s="137"/>
      <c r="E81" s="137"/>
      <c r="F81" s="137"/>
      <c r="G81" s="137"/>
      <c r="H81" s="137"/>
      <c r="I81" s="137"/>
    </row>
    <row r="82" spans="1:9" hidden="1" x14ac:dyDescent="0.2">
      <c r="A82" s="137"/>
      <c r="B82" s="161"/>
      <c r="C82" s="161"/>
      <c r="D82" s="161"/>
      <c r="E82" s="161"/>
      <c r="F82" s="161"/>
      <c r="G82" s="161"/>
      <c r="H82" s="161"/>
      <c r="I82" s="161"/>
    </row>
    <row r="85" spans="1:9" ht="12.75" hidden="1" customHeight="1" x14ac:dyDescent="0.2"/>
    <row r="86" spans="1:9" ht="25.5" hidden="1" customHeight="1" x14ac:dyDescent="0.2"/>
    <row r="96" spans="1:9" ht="12.75" hidden="1" customHeight="1" x14ac:dyDescent="0.2"/>
    <row r="113" ht="39.75" hidden="1" customHeight="1"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ht="15" customHeight="1" x14ac:dyDescent="0.2"/>
    <row r="141" ht="15" customHeight="1" x14ac:dyDescent="0.2"/>
  </sheetData>
  <protectedRanges>
    <protectedRange sqref="B5 B9:I10 B14:I22 B24 B34:I35 A38:I40 B41 A44:I47 A50:I52 B55:I59 B60 H60 D63:I65 D62 D68:I73 A76 A54:B54 B28:I32" name="Range1"/>
  </protectedRanges>
  <mergeCells count="118">
    <mergeCell ref="A76:I79"/>
    <mergeCell ref="A80:C80"/>
    <mergeCell ref="D80:I80"/>
    <mergeCell ref="A72:C72"/>
    <mergeCell ref="D72:I72"/>
    <mergeCell ref="A73:C73"/>
    <mergeCell ref="D73:I73"/>
    <mergeCell ref="A74:I74"/>
    <mergeCell ref="A75:I75"/>
    <mergeCell ref="A69:C69"/>
    <mergeCell ref="D69:I69"/>
    <mergeCell ref="A70:C70"/>
    <mergeCell ref="D70:I70"/>
    <mergeCell ref="A71:C71"/>
    <mergeCell ref="D71:I71"/>
    <mergeCell ref="A65:C65"/>
    <mergeCell ref="D65:I65"/>
    <mergeCell ref="A66:I66"/>
    <mergeCell ref="A67:C67"/>
    <mergeCell ref="D67:I67"/>
    <mergeCell ref="A68:C68"/>
    <mergeCell ref="D68:I68"/>
    <mergeCell ref="A61:I61"/>
    <mergeCell ref="A62:C62"/>
    <mergeCell ref="D62:I62"/>
    <mergeCell ref="A63:C63"/>
    <mergeCell ref="D63:I63"/>
    <mergeCell ref="A64:C64"/>
    <mergeCell ref="D64:I64"/>
    <mergeCell ref="B57:I57"/>
    <mergeCell ref="B58:I58"/>
    <mergeCell ref="B59:I59"/>
    <mergeCell ref="B60:C60"/>
    <mergeCell ref="D60:G60"/>
    <mergeCell ref="H60:I60"/>
    <mergeCell ref="B53:I53"/>
    <mergeCell ref="D54:F54"/>
    <mergeCell ref="G54:I54"/>
    <mergeCell ref="B55:I55"/>
    <mergeCell ref="B56:C56"/>
    <mergeCell ref="D56:G56"/>
    <mergeCell ref="H56:I56"/>
    <mergeCell ref="B51:D51"/>
    <mergeCell ref="E51:G51"/>
    <mergeCell ref="H51:I51"/>
    <mergeCell ref="B52:D52"/>
    <mergeCell ref="E52:G52"/>
    <mergeCell ref="H52:I52"/>
    <mergeCell ref="C47:I47"/>
    <mergeCell ref="A48:I48"/>
    <mergeCell ref="B49:D49"/>
    <mergeCell ref="E49:G49"/>
    <mergeCell ref="H49:I49"/>
    <mergeCell ref="B50:D50"/>
    <mergeCell ref="E50:G50"/>
    <mergeCell ref="H50:I50"/>
    <mergeCell ref="B45:D45"/>
    <mergeCell ref="E45:G45"/>
    <mergeCell ref="H45:I45"/>
    <mergeCell ref="B46:D46"/>
    <mergeCell ref="E46:G46"/>
    <mergeCell ref="H46:I46"/>
    <mergeCell ref="B41:I41"/>
    <mergeCell ref="A42:I42"/>
    <mergeCell ref="B43:D43"/>
    <mergeCell ref="E43:G43"/>
    <mergeCell ref="H43:I43"/>
    <mergeCell ref="B44:D44"/>
    <mergeCell ref="E44:G44"/>
    <mergeCell ref="H44:I44"/>
    <mergeCell ref="B39:D39"/>
    <mergeCell ref="E39:G39"/>
    <mergeCell ref="H39:I39"/>
    <mergeCell ref="B40:D40"/>
    <mergeCell ref="E40:G40"/>
    <mergeCell ref="H40:I40"/>
    <mergeCell ref="B37:D37"/>
    <mergeCell ref="E37:G37"/>
    <mergeCell ref="H37:I37"/>
    <mergeCell ref="B38:D38"/>
    <mergeCell ref="E38:G38"/>
    <mergeCell ref="H38:I38"/>
    <mergeCell ref="D31:F31"/>
    <mergeCell ref="G31:I31"/>
    <mergeCell ref="A33:I33"/>
    <mergeCell ref="B34:I34"/>
    <mergeCell ref="B35:I35"/>
    <mergeCell ref="A36:I36"/>
    <mergeCell ref="B26:I26"/>
    <mergeCell ref="B27:I27"/>
    <mergeCell ref="B28:I28"/>
    <mergeCell ref="D29:E29"/>
    <mergeCell ref="F29:I29"/>
    <mergeCell ref="B30:I30"/>
    <mergeCell ref="B20:I20"/>
    <mergeCell ref="B21:I21"/>
    <mergeCell ref="B22:I22"/>
    <mergeCell ref="B23:I23"/>
    <mergeCell ref="B24:I24"/>
    <mergeCell ref="B25:I25"/>
    <mergeCell ref="C17:I17"/>
    <mergeCell ref="B18:I18"/>
    <mergeCell ref="B19:I19"/>
    <mergeCell ref="B8:I8"/>
    <mergeCell ref="B9:I9"/>
    <mergeCell ref="B10:I10"/>
    <mergeCell ref="A11:I11"/>
    <mergeCell ref="A12:I12"/>
    <mergeCell ref="B13:I13"/>
    <mergeCell ref="B2:I2"/>
    <mergeCell ref="A3:I3"/>
    <mergeCell ref="B4:I4"/>
    <mergeCell ref="B5:I5"/>
    <mergeCell ref="A6:A7"/>
    <mergeCell ref="B6:I7"/>
    <mergeCell ref="B14:I14"/>
    <mergeCell ref="B15:I15"/>
    <mergeCell ref="B16:I16"/>
  </mergeCells>
  <dataValidations count="8">
    <dataValidation type="list" allowBlank="1" showInputMessage="1" showErrorMessage="1" sqref="G54:I54" xr:uid="{DFE9891E-FB59-49B6-A2A7-D6856F0EAD8B}">
      <formula1>"More than 60% sales to high risk industries, All other scenarios"</formula1>
    </dataValidation>
    <dataValidation type="list" allowBlank="1" showInputMessage="1" showErrorMessage="1" sqref="G31:I31" xr:uid="{C002775B-C66D-464B-B619-8FF0F4557418}">
      <formula1>"Concessions to be withdrawn in medium term (3 to 5 years) ,Ambiguity on continuity of concessions,No such concessions available,Concessions to continue over medium term,Concessions likely to be withdrawn in near term (Within 3 years)"</formula1>
    </dataValidation>
    <dataValidation type="list" allowBlank="1" showInputMessage="1" showErrorMessage="1" sqref="B31" xr:uid="{081F97B9-8ED2-4285-97B1-D0D001689CB9}">
      <formula1>"No Risk, Neutral, High Risk"</formula1>
    </dataValidation>
    <dataValidation type="list" allowBlank="1" showInputMessage="1" showErrorMessage="1" sqref="B27:I27" xr:uid="{A2D50A52-1079-4510-BCDA-48FB54FB5396}">
      <formula1>$K$26:$K$29</formula1>
    </dataValidation>
    <dataValidation type="list" allowBlank="1" showInputMessage="1" showErrorMessage="1" sqref="F29" xr:uid="{C1642496-7BB1-421D-900E-20C6F8AAE246}">
      <formula1>"High Scalable, Moderate Scalable,Low scalability due to captial intensive nature of business"</formula1>
    </dataValidation>
    <dataValidation type="list" allowBlank="1" showInputMessage="1" showErrorMessage="1" sqref="B29" xr:uid="{C395BF27-0A64-4136-A23B-42C7C8DE3178}">
      <formula1>"High, Moderate, Low"</formula1>
    </dataValidation>
    <dataValidation type="list" allowBlank="1" showInputMessage="1" showErrorMessage="1" sqref="B17" xr:uid="{30108794-4EB3-41F1-96AB-F7B53FBCD7C7}">
      <formula1>"Low,Medium, High"</formula1>
    </dataValidation>
    <dataValidation type="list" allowBlank="1" showInputMessage="1" showErrorMessage="1" sqref="B47 B54" xr:uid="{45F3E54D-B95C-4F54-BCC7-F0AE358FF66A}">
      <formula1>"Positive, Neutral, Negative"</formula1>
    </dataValidation>
  </dataValidations>
  <pageMargins left="0.7" right="0.7" top="0.75" bottom="0.75" header="0.3" footer="0.3"/>
  <pageSetup paperSize="9" orientation="portrait" r:id="rId1"/>
  <headerFooter>
    <oddFooter>&amp;C&amp;1#&amp;"Calibri"&amp;10&amp;K000000 For internal use only</oddFooter>
  </headerFooter>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C406E-61C8-4DED-B98B-E5109DD18001}">
  <sheetPr codeName="Sheet71"/>
  <dimension ref="A1:XFC141"/>
  <sheetViews>
    <sheetView zoomScale="71" zoomScaleNormal="71" workbookViewId="0">
      <selection sqref="A1:F2"/>
    </sheetView>
  </sheetViews>
  <sheetFormatPr defaultColWidth="0" defaultRowHeight="15" zeroHeight="1" x14ac:dyDescent="0.2"/>
  <cols>
    <col min="1" max="1" width="65.28515625" style="133" bestFit="1" customWidth="1"/>
    <col min="2" max="2" width="26" style="133" customWidth="1"/>
    <col min="3" max="3" width="21.5703125" style="133" customWidth="1"/>
    <col min="4" max="4" width="15.7109375" style="133" customWidth="1"/>
    <col min="5" max="5" width="13.28515625" style="133" customWidth="1"/>
    <col min="6" max="6" width="26" style="133" customWidth="1"/>
    <col min="7" max="7" width="14.5703125" style="133" customWidth="1"/>
    <col min="8" max="8" width="13.85546875" style="133" customWidth="1"/>
    <col min="9" max="9" width="25.28515625" style="133" customWidth="1"/>
    <col min="10" max="10" width="17.5703125" style="133" customWidth="1"/>
    <col min="11" max="16382" width="9.140625" style="133" hidden="1"/>
    <col min="16383" max="16383" width="0.5703125" style="133" hidden="1"/>
    <col min="16384" max="16384" width="32" style="133" hidden="1"/>
  </cols>
  <sheetData>
    <row r="1" spans="1:17" x14ac:dyDescent="0.2"/>
    <row r="2" spans="1:17" ht="23.25" customHeight="1" x14ac:dyDescent="0.2">
      <c r="A2" s="394"/>
      <c r="B2" s="2447" t="s">
        <v>1086</v>
      </c>
      <c r="C2" s="2447"/>
      <c r="D2" s="2447"/>
      <c r="E2" s="2447"/>
      <c r="F2" s="2447"/>
      <c r="G2" s="2447"/>
      <c r="H2" s="2447"/>
      <c r="I2" s="2447"/>
      <c r="J2" s="135"/>
      <c r="K2" s="135"/>
      <c r="L2" s="135"/>
      <c r="M2" s="135"/>
      <c r="N2" s="135"/>
      <c r="O2" s="135"/>
      <c r="P2" s="135"/>
      <c r="Q2" s="135"/>
    </row>
    <row r="3" spans="1:17" x14ac:dyDescent="0.2">
      <c r="A3" s="2448"/>
      <c r="B3" s="2449"/>
      <c r="C3" s="2449"/>
      <c r="D3" s="2449"/>
      <c r="E3" s="2449"/>
      <c r="F3" s="2449"/>
      <c r="G3" s="2449"/>
      <c r="H3" s="2449"/>
      <c r="I3" s="2450"/>
      <c r="J3" s="135"/>
      <c r="K3" s="135"/>
      <c r="L3" s="135"/>
      <c r="M3" s="135"/>
      <c r="N3" s="135"/>
      <c r="O3" s="135"/>
      <c r="P3" s="135"/>
      <c r="Q3" s="135"/>
    </row>
    <row r="4" spans="1:17" ht="27.75" customHeight="1" x14ac:dyDescent="0.2">
      <c r="A4" s="1388" t="s">
        <v>740</v>
      </c>
      <c r="B4" s="2451"/>
      <c r="C4" s="2452"/>
      <c r="D4" s="2452"/>
      <c r="E4" s="2452"/>
      <c r="F4" s="2452"/>
      <c r="G4" s="2452"/>
      <c r="H4" s="2452"/>
      <c r="I4" s="2453"/>
      <c r="J4" s="135"/>
      <c r="K4" s="135"/>
      <c r="L4" s="135"/>
      <c r="M4" s="135"/>
      <c r="N4" s="135"/>
      <c r="O4" s="135"/>
      <c r="P4" s="135"/>
      <c r="Q4" s="135"/>
    </row>
    <row r="5" spans="1:17" x14ac:dyDescent="0.2">
      <c r="A5" s="1388" t="s">
        <v>741</v>
      </c>
      <c r="B5" s="2435"/>
      <c r="C5" s="2436"/>
      <c r="D5" s="2436"/>
      <c r="E5" s="2436"/>
      <c r="F5" s="2436"/>
      <c r="G5" s="2436"/>
      <c r="H5" s="2436"/>
      <c r="I5" s="2437"/>
      <c r="J5" s="137"/>
      <c r="K5" s="137"/>
      <c r="L5" s="137"/>
      <c r="M5" s="137"/>
      <c r="N5" s="137"/>
      <c r="O5" s="137"/>
      <c r="P5" s="137"/>
      <c r="Q5" s="137"/>
    </row>
    <row r="6" spans="1:17" ht="15" customHeight="1" x14ac:dyDescent="0.2">
      <c r="A6" s="2454" t="s">
        <v>742</v>
      </c>
      <c r="B6" s="2456">
        <v>0</v>
      </c>
      <c r="C6" s="2457"/>
      <c r="D6" s="2457"/>
      <c r="E6" s="2457"/>
      <c r="F6" s="2457"/>
      <c r="G6" s="2457"/>
      <c r="H6" s="2457"/>
      <c r="I6" s="2458"/>
      <c r="J6" s="137"/>
      <c r="K6" s="137"/>
      <c r="L6" s="137"/>
      <c r="M6" s="137"/>
      <c r="N6" s="137"/>
      <c r="O6" s="137"/>
      <c r="P6" s="137"/>
      <c r="Q6" s="137"/>
    </row>
    <row r="7" spans="1:17" x14ac:dyDescent="0.2">
      <c r="A7" s="2455"/>
      <c r="B7" s="2459"/>
      <c r="C7" s="2460"/>
      <c r="D7" s="2460"/>
      <c r="E7" s="2460"/>
      <c r="F7" s="2460"/>
      <c r="G7" s="2460"/>
      <c r="H7" s="2460"/>
      <c r="I7" s="2461"/>
      <c r="J7" s="137"/>
      <c r="K7" s="137"/>
      <c r="L7" s="137"/>
      <c r="M7" s="137"/>
      <c r="N7" s="137"/>
      <c r="O7" s="137"/>
      <c r="P7" s="137"/>
      <c r="Q7" s="137"/>
    </row>
    <row r="8" spans="1:17" x14ac:dyDescent="0.2">
      <c r="A8" s="138" t="s">
        <v>743</v>
      </c>
      <c r="B8" s="2435"/>
      <c r="C8" s="2436"/>
      <c r="D8" s="2436"/>
      <c r="E8" s="2436"/>
      <c r="F8" s="2436"/>
      <c r="G8" s="2436"/>
      <c r="H8" s="2436"/>
      <c r="I8" s="2437"/>
      <c r="J8" s="137"/>
      <c r="K8" s="137"/>
      <c r="L8" s="137"/>
      <c r="M8" s="137"/>
      <c r="N8" s="137"/>
      <c r="O8" s="137"/>
      <c r="P8" s="137"/>
      <c r="Q8" s="137"/>
    </row>
    <row r="9" spans="1:17" x14ac:dyDescent="0.2">
      <c r="A9" s="1388" t="s">
        <v>744</v>
      </c>
      <c r="B9" s="2438"/>
      <c r="C9" s="2439"/>
      <c r="D9" s="2439"/>
      <c r="E9" s="2439"/>
      <c r="F9" s="2439"/>
      <c r="G9" s="2439"/>
      <c r="H9" s="2439"/>
      <c r="I9" s="2440"/>
      <c r="J9" s="137"/>
      <c r="K9" s="137"/>
      <c r="L9" s="137"/>
      <c r="M9" s="137"/>
      <c r="N9" s="137"/>
      <c r="O9" s="137"/>
      <c r="P9" s="137"/>
      <c r="Q9" s="137"/>
    </row>
    <row r="10" spans="1:17" ht="15.75" thickBot="1" x14ac:dyDescent="0.25">
      <c r="A10" s="139" t="s">
        <v>745</v>
      </c>
      <c r="B10" s="2402"/>
      <c r="C10" s="2402"/>
      <c r="D10" s="2402"/>
      <c r="E10" s="2402"/>
      <c r="F10" s="2402"/>
      <c r="G10" s="2402"/>
      <c r="H10" s="2402"/>
      <c r="I10" s="2403"/>
      <c r="J10" s="137"/>
      <c r="K10" s="137"/>
      <c r="L10" s="137"/>
      <c r="M10" s="137"/>
      <c r="N10" s="137"/>
      <c r="O10" s="137"/>
      <c r="P10" s="137"/>
      <c r="Q10" s="137"/>
    </row>
    <row r="11" spans="1:17" ht="7.5" customHeight="1" thickBot="1" x14ac:dyDescent="0.25">
      <c r="A11" s="2441"/>
      <c r="B11" s="2442"/>
      <c r="C11" s="2442"/>
      <c r="D11" s="2442"/>
      <c r="E11" s="2442"/>
      <c r="F11" s="2442"/>
      <c r="G11" s="2442"/>
      <c r="H11" s="2442"/>
      <c r="I11" s="2443"/>
      <c r="J11" s="135"/>
      <c r="K11" s="135"/>
      <c r="L11" s="135"/>
      <c r="M11" s="135"/>
      <c r="N11" s="135"/>
      <c r="O11" s="135"/>
      <c r="P11" s="135"/>
      <c r="Q11" s="135"/>
    </row>
    <row r="12" spans="1:17" ht="15.75" thickBot="1" x14ac:dyDescent="0.25">
      <c r="A12" s="2326" t="s">
        <v>746</v>
      </c>
      <c r="B12" s="2327"/>
      <c r="C12" s="2327"/>
      <c r="D12" s="2327"/>
      <c r="E12" s="2327"/>
      <c r="F12" s="2327"/>
      <c r="G12" s="2327"/>
      <c r="H12" s="2327"/>
      <c r="I12" s="2328"/>
      <c r="J12" s="140"/>
      <c r="K12" s="140"/>
      <c r="L12" s="140"/>
      <c r="M12" s="140"/>
      <c r="N12" s="141"/>
      <c r="O12" s="141"/>
      <c r="P12" s="142"/>
      <c r="Q12" s="142"/>
    </row>
    <row r="13" spans="1:17" ht="21" customHeight="1" x14ac:dyDescent="0.2">
      <c r="A13" s="143" t="s">
        <v>747</v>
      </c>
      <c r="B13" s="2444">
        <v>0</v>
      </c>
      <c r="C13" s="2445"/>
      <c r="D13" s="2445"/>
      <c r="E13" s="2445"/>
      <c r="F13" s="2445"/>
      <c r="G13" s="2445"/>
      <c r="H13" s="2445"/>
      <c r="I13" s="2446"/>
      <c r="J13" s="135"/>
      <c r="K13" s="135"/>
      <c r="L13" s="135"/>
      <c r="M13" s="135"/>
      <c r="N13" s="135"/>
      <c r="O13" s="135"/>
      <c r="P13" s="135"/>
      <c r="Q13" s="135"/>
    </row>
    <row r="14" spans="1:17" ht="21" customHeight="1" x14ac:dyDescent="0.2">
      <c r="A14" s="1395" t="s">
        <v>3244</v>
      </c>
      <c r="B14" s="3108"/>
      <c r="C14" s="3108"/>
      <c r="D14" s="3108"/>
      <c r="E14" s="3108"/>
      <c r="F14" s="3108"/>
      <c r="G14" s="3108"/>
      <c r="H14" s="1409" t="s">
        <v>3245</v>
      </c>
      <c r="I14" s="1410" t="s">
        <v>3246</v>
      </c>
      <c r="J14" s="135"/>
      <c r="K14" s="135"/>
      <c r="L14" s="135"/>
      <c r="M14" s="135"/>
      <c r="N14" s="135"/>
      <c r="O14" s="135"/>
      <c r="P14" s="135"/>
      <c r="Q14" s="135"/>
    </row>
    <row r="15" spans="1:17" x14ac:dyDescent="0.2">
      <c r="A15" s="143" t="s">
        <v>748</v>
      </c>
      <c r="B15" s="2388"/>
      <c r="C15" s="2388"/>
      <c r="D15" s="2388"/>
      <c r="E15" s="2388"/>
      <c r="F15" s="2388"/>
      <c r="G15" s="2388"/>
      <c r="H15" s="2388"/>
      <c r="I15" s="2389"/>
      <c r="J15" s="135"/>
      <c r="K15" s="135"/>
      <c r="L15" s="135"/>
      <c r="M15" s="135"/>
      <c r="N15" s="135"/>
      <c r="O15" s="135"/>
      <c r="P15" s="135"/>
      <c r="Q15" s="135"/>
    </row>
    <row r="16" spans="1:17" x14ac:dyDescent="0.2">
      <c r="A16" s="143" t="s">
        <v>749</v>
      </c>
      <c r="B16" s="2432"/>
      <c r="C16" s="2433"/>
      <c r="D16" s="2433"/>
      <c r="E16" s="2433"/>
      <c r="F16" s="2433"/>
      <c r="G16" s="2433"/>
      <c r="H16" s="2433"/>
      <c r="I16" s="2434"/>
      <c r="J16" s="135"/>
      <c r="K16" s="135"/>
      <c r="L16" s="135"/>
      <c r="M16" s="135"/>
      <c r="N16" s="135"/>
      <c r="O16" s="135"/>
      <c r="P16" s="135"/>
      <c r="Q16" s="135"/>
    </row>
    <row r="17" spans="1:17" ht="43.5" customHeight="1" x14ac:dyDescent="0.2">
      <c r="A17" s="1397" t="s">
        <v>3272</v>
      </c>
      <c r="B17" s="3109" t="s">
        <v>3273</v>
      </c>
      <c r="C17" s="3110"/>
      <c r="D17" s="3110"/>
      <c r="E17" s="3110"/>
      <c r="F17" s="3110"/>
      <c r="G17" s="3110"/>
      <c r="H17" s="3110"/>
      <c r="I17" s="3111"/>
      <c r="J17" s="135"/>
      <c r="K17" s="135"/>
      <c r="M17" s="135"/>
      <c r="N17" s="135"/>
      <c r="O17" s="135"/>
      <c r="P17" s="1411" t="s">
        <v>3274</v>
      </c>
      <c r="Q17" s="135"/>
    </row>
    <row r="18" spans="1:17" ht="43.5" customHeight="1" x14ac:dyDescent="0.2">
      <c r="A18" s="1397" t="s">
        <v>3275</v>
      </c>
      <c r="B18" s="3109" t="s">
        <v>3276</v>
      </c>
      <c r="C18" s="3110"/>
      <c r="D18" s="3110"/>
      <c r="E18" s="3110"/>
      <c r="F18" s="3110"/>
      <c r="G18" s="3110"/>
      <c r="H18" s="3110"/>
      <c r="I18" s="3111"/>
      <c r="K18" s="135"/>
      <c r="L18" s="135"/>
      <c r="M18" s="135"/>
      <c r="N18" s="135"/>
      <c r="O18" s="135"/>
      <c r="P18" s="1411" t="s">
        <v>3277</v>
      </c>
      <c r="Q18" s="135"/>
    </row>
    <row r="19" spans="1:17" ht="43.5" customHeight="1" x14ac:dyDescent="0.2">
      <c r="A19" s="1397" t="s">
        <v>3278</v>
      </c>
      <c r="B19" s="3109" t="s">
        <v>3274</v>
      </c>
      <c r="C19" s="3110"/>
      <c r="D19" s="3110"/>
      <c r="E19" s="3110"/>
      <c r="F19" s="3110"/>
      <c r="G19" s="3110"/>
      <c r="H19" s="3110"/>
      <c r="I19" s="3111"/>
      <c r="K19" s="135"/>
      <c r="L19" s="1412" t="s">
        <v>3279</v>
      </c>
      <c r="M19" s="135"/>
      <c r="N19" s="135"/>
      <c r="O19" s="135"/>
      <c r="P19" s="1411" t="s">
        <v>3280</v>
      </c>
      <c r="Q19" s="135"/>
    </row>
    <row r="20" spans="1:17" x14ac:dyDescent="0.2">
      <c r="A20" s="144" t="s">
        <v>750</v>
      </c>
      <c r="B20" s="2432"/>
      <c r="C20" s="2433"/>
      <c r="D20" s="2433"/>
      <c r="E20" s="2433"/>
      <c r="F20" s="2433"/>
      <c r="G20" s="2433"/>
      <c r="H20" s="2433"/>
      <c r="I20" s="2434"/>
      <c r="K20" s="135"/>
      <c r="L20" s="1412" t="s">
        <v>3281</v>
      </c>
      <c r="M20" s="135"/>
      <c r="N20" s="135"/>
      <c r="O20" s="135"/>
      <c r="P20" s="1411" t="s">
        <v>3282</v>
      </c>
      <c r="Q20" s="135"/>
    </row>
    <row r="21" spans="1:17" x14ac:dyDescent="0.2">
      <c r="A21" s="143" t="s">
        <v>751</v>
      </c>
      <c r="B21" s="2432"/>
      <c r="C21" s="2433"/>
      <c r="D21" s="2433"/>
      <c r="E21" s="2433"/>
      <c r="F21" s="2433"/>
      <c r="G21" s="2433"/>
      <c r="H21" s="2433"/>
      <c r="I21" s="2434"/>
      <c r="K21" s="135"/>
      <c r="L21" s="1412" t="s">
        <v>3283</v>
      </c>
      <c r="M21" s="135"/>
      <c r="N21" s="135"/>
      <c r="O21" s="135"/>
      <c r="P21" s="135"/>
      <c r="Q21" s="135"/>
    </row>
    <row r="22" spans="1:17" x14ac:dyDescent="0.2">
      <c r="A22" s="143" t="s">
        <v>36</v>
      </c>
      <c r="B22" s="2432"/>
      <c r="C22" s="2433"/>
      <c r="D22" s="2433"/>
      <c r="E22" s="2433"/>
      <c r="F22" s="2433"/>
      <c r="G22" s="2433"/>
      <c r="H22" s="2433"/>
      <c r="I22" s="2434"/>
      <c r="L22" s="1413" t="s">
        <v>3273</v>
      </c>
    </row>
    <row r="23" spans="1:17" x14ac:dyDescent="0.2">
      <c r="A23" s="143" t="s">
        <v>37</v>
      </c>
      <c r="B23" s="2432"/>
      <c r="C23" s="2433"/>
      <c r="D23" s="2433"/>
      <c r="E23" s="2433"/>
      <c r="F23" s="2433"/>
      <c r="G23" s="2433"/>
      <c r="H23" s="2433"/>
      <c r="I23" s="2434"/>
    </row>
    <row r="24" spans="1:17" x14ac:dyDescent="0.2">
      <c r="A24" s="1392" t="s">
        <v>752</v>
      </c>
      <c r="B24" s="2422">
        <v>0</v>
      </c>
      <c r="C24" s="2422"/>
      <c r="D24" s="2422"/>
      <c r="E24" s="2422"/>
      <c r="F24" s="2422"/>
      <c r="G24" s="2422"/>
      <c r="H24" s="2422"/>
      <c r="I24" s="2423"/>
      <c r="J24" s="135"/>
      <c r="K24" s="135"/>
      <c r="L24" s="135"/>
      <c r="M24" s="1414" t="s">
        <v>3284</v>
      </c>
      <c r="N24" s="135"/>
      <c r="O24" s="135"/>
      <c r="P24" s="135"/>
      <c r="Q24" s="135"/>
    </row>
    <row r="25" spans="1:17" ht="30" x14ac:dyDescent="0.2">
      <c r="A25" s="146" t="s">
        <v>753</v>
      </c>
      <c r="B25" s="2424">
        <v>0</v>
      </c>
      <c r="C25" s="2425"/>
      <c r="D25" s="2425"/>
      <c r="E25" s="2425"/>
      <c r="F25" s="2425"/>
      <c r="G25" s="2425"/>
      <c r="H25" s="2425"/>
      <c r="I25" s="2426"/>
      <c r="J25" s="135"/>
      <c r="K25" s="135"/>
      <c r="L25" s="135"/>
      <c r="M25" s="1414" t="s">
        <v>3285</v>
      </c>
      <c r="N25" s="135"/>
      <c r="O25" s="135"/>
      <c r="P25" s="135"/>
      <c r="Q25" s="135"/>
    </row>
    <row r="26" spans="1:17" x14ac:dyDescent="0.2">
      <c r="A26" s="1392" t="s">
        <v>754</v>
      </c>
      <c r="B26" s="2424"/>
      <c r="C26" s="2425"/>
      <c r="D26" s="2425"/>
      <c r="E26" s="2425"/>
      <c r="F26" s="2425"/>
      <c r="G26" s="2425"/>
      <c r="H26" s="2425"/>
      <c r="I26" s="2426"/>
      <c r="M26" s="1414" t="s">
        <v>3286</v>
      </c>
    </row>
    <row r="27" spans="1:17" x14ac:dyDescent="0.2">
      <c r="A27" s="147" t="s">
        <v>755</v>
      </c>
      <c r="B27" s="2432"/>
      <c r="C27" s="2433"/>
      <c r="D27" s="3098"/>
      <c r="E27" s="3064" t="s">
        <v>3287</v>
      </c>
      <c r="F27" s="3090"/>
      <c r="G27" s="3064"/>
      <c r="H27" s="3065"/>
      <c r="I27" s="3066"/>
      <c r="M27" s="1415" t="s">
        <v>3276</v>
      </c>
    </row>
    <row r="28" spans="1:17" ht="15.75" customHeight="1" thickBot="1" x14ac:dyDescent="0.25">
      <c r="A28" s="1400" t="s">
        <v>3288</v>
      </c>
      <c r="B28" s="3085" t="s">
        <v>3289</v>
      </c>
      <c r="C28" s="3085"/>
      <c r="D28" s="3085"/>
      <c r="E28" s="3112" t="s">
        <v>3261</v>
      </c>
      <c r="F28" s="3113"/>
      <c r="G28" s="3091" t="s">
        <v>3262</v>
      </c>
      <c r="H28" s="3092"/>
      <c r="I28" s="3093"/>
    </row>
    <row r="29" spans="1:17" ht="15.75" thickBot="1" x14ac:dyDescent="0.25">
      <c r="A29" s="2406" t="s">
        <v>756</v>
      </c>
      <c r="B29" s="2407"/>
      <c r="C29" s="2407"/>
      <c r="D29" s="2407"/>
      <c r="E29" s="2327"/>
      <c r="F29" s="2327"/>
      <c r="G29" s="2327"/>
      <c r="H29" s="2327"/>
      <c r="I29" s="2328"/>
    </row>
    <row r="30" spans="1:17" x14ac:dyDescent="0.2">
      <c r="A30" s="1389" t="s">
        <v>757</v>
      </c>
      <c r="B30" s="2429">
        <v>0</v>
      </c>
      <c r="C30" s="2430"/>
      <c r="D30" s="2430"/>
      <c r="E30" s="2430"/>
      <c r="F30" s="2430"/>
      <c r="G30" s="2430"/>
      <c r="H30" s="2430"/>
      <c r="I30" s="2431"/>
    </row>
    <row r="31" spans="1:17" ht="15.75" thickBot="1" x14ac:dyDescent="0.25">
      <c r="A31" s="149" t="s">
        <v>758</v>
      </c>
      <c r="B31" s="2388"/>
      <c r="C31" s="2388"/>
      <c r="D31" s="2388"/>
      <c r="E31" s="2388"/>
      <c r="F31" s="2388"/>
      <c r="G31" s="2388"/>
      <c r="H31" s="2388"/>
      <c r="I31" s="2389"/>
    </row>
    <row r="32" spans="1:17" ht="15.75" thickBot="1" x14ac:dyDescent="0.25">
      <c r="A32" s="2326" t="s">
        <v>759</v>
      </c>
      <c r="B32" s="2327"/>
      <c r="C32" s="2327"/>
      <c r="D32" s="2327"/>
      <c r="E32" s="2327"/>
      <c r="F32" s="2327"/>
      <c r="G32" s="2327"/>
      <c r="H32" s="2327"/>
      <c r="I32" s="2328"/>
    </row>
    <row r="33" spans="1:10" ht="15.75" customHeight="1" thickBot="1" x14ac:dyDescent="0.25">
      <c r="A33" s="150" t="s">
        <v>760</v>
      </c>
      <c r="B33" s="2414" t="s">
        <v>761</v>
      </c>
      <c r="C33" s="2414"/>
      <c r="D33" s="2414"/>
      <c r="E33" s="2415" t="s">
        <v>685</v>
      </c>
      <c r="F33" s="2416"/>
      <c r="G33" s="2417"/>
      <c r="H33" s="2415" t="s">
        <v>762</v>
      </c>
      <c r="I33" s="2418"/>
    </row>
    <row r="34" spans="1:10" ht="21.75" customHeight="1" thickTop="1" x14ac:dyDescent="0.2">
      <c r="A34" s="1391"/>
      <c r="B34" s="2419"/>
      <c r="C34" s="2419"/>
      <c r="D34" s="2419"/>
      <c r="E34" s="2419"/>
      <c r="F34" s="2419"/>
      <c r="G34" s="2419"/>
      <c r="H34" s="2420"/>
      <c r="I34" s="2421"/>
    </row>
    <row r="35" spans="1:10" ht="21.75" customHeight="1" x14ac:dyDescent="0.2">
      <c r="A35" s="1392"/>
      <c r="B35" s="2388"/>
      <c r="C35" s="2388"/>
      <c r="D35" s="2388"/>
      <c r="E35" s="2370"/>
      <c r="F35" s="2370"/>
      <c r="G35" s="2370"/>
      <c r="H35" s="2388"/>
      <c r="I35" s="2389"/>
    </row>
    <row r="36" spans="1:10" ht="21.75" customHeight="1" x14ac:dyDescent="0.2">
      <c r="A36" s="146"/>
      <c r="B36" s="2412"/>
      <c r="C36" s="2412"/>
      <c r="D36" s="2412"/>
      <c r="E36" s="2412"/>
      <c r="F36" s="2412"/>
      <c r="G36" s="2412"/>
      <c r="H36" s="2412"/>
      <c r="I36" s="2413"/>
    </row>
    <row r="37" spans="1:10" ht="36.75" customHeight="1" thickBot="1" x14ac:dyDescent="0.25">
      <c r="A37" s="152" t="s">
        <v>763</v>
      </c>
      <c r="B37" s="2404"/>
      <c r="C37" s="2404"/>
      <c r="D37" s="2404"/>
      <c r="E37" s="2404"/>
      <c r="F37" s="2404"/>
      <c r="G37" s="2404"/>
      <c r="H37" s="2404"/>
      <c r="I37" s="2405"/>
    </row>
    <row r="38" spans="1:10" ht="21.75" customHeight="1" thickBot="1" x14ac:dyDescent="0.25">
      <c r="A38" s="2406" t="s">
        <v>764</v>
      </c>
      <c r="B38" s="2407"/>
      <c r="C38" s="2407"/>
      <c r="D38" s="2407"/>
      <c r="E38" s="2407"/>
      <c r="F38" s="2407"/>
      <c r="G38" s="2407"/>
      <c r="H38" s="2408"/>
      <c r="I38" s="2409"/>
    </row>
    <row r="39" spans="1:10" ht="17.25" customHeight="1" x14ac:dyDescent="0.2">
      <c r="A39" s="153" t="s">
        <v>765</v>
      </c>
      <c r="B39" s="2394" t="s">
        <v>766</v>
      </c>
      <c r="C39" s="2395"/>
      <c r="D39" s="2396"/>
      <c r="E39" s="2397" t="s">
        <v>767</v>
      </c>
      <c r="F39" s="2398"/>
      <c r="G39" s="2398"/>
      <c r="H39" s="2410" t="s">
        <v>768</v>
      </c>
      <c r="I39" s="2411"/>
    </row>
    <row r="40" spans="1:10" ht="23.25" customHeight="1" x14ac:dyDescent="0.2">
      <c r="A40" s="154"/>
      <c r="B40" s="3119"/>
      <c r="C40" s="3119"/>
      <c r="D40" s="3119"/>
      <c r="E40" s="2388"/>
      <c r="F40" s="2388"/>
      <c r="G40" s="2388"/>
      <c r="H40" s="2388"/>
      <c r="I40" s="2389"/>
      <c r="J40" s="1416"/>
    </row>
    <row r="41" spans="1:10" ht="23.25" customHeight="1" x14ac:dyDescent="0.2">
      <c r="A41" s="154"/>
      <c r="B41" s="3120"/>
      <c r="C41" s="3121"/>
      <c r="D41" s="3122"/>
      <c r="E41" s="2388"/>
      <c r="F41" s="2388"/>
      <c r="G41" s="2388"/>
      <c r="H41" s="2388"/>
      <c r="I41" s="2389"/>
    </row>
    <row r="42" spans="1:10" ht="20.25" customHeight="1" x14ac:dyDescent="0.2">
      <c r="A42" s="154"/>
      <c r="B42" s="3114"/>
      <c r="C42" s="3114"/>
      <c r="D42" s="3114"/>
      <c r="E42" s="2412"/>
      <c r="F42" s="2412"/>
      <c r="G42" s="2412"/>
      <c r="H42" s="2412"/>
      <c r="I42" s="2413"/>
    </row>
    <row r="43" spans="1:10" ht="20.25" customHeight="1" x14ac:dyDescent="0.2">
      <c r="A43" s="1417" t="s">
        <v>3290</v>
      </c>
      <c r="B43" s="3115" t="s">
        <v>3291</v>
      </c>
      <c r="C43" s="3115"/>
      <c r="D43" s="3115"/>
      <c r="E43" s="3116" t="s">
        <v>3292</v>
      </c>
      <c r="F43" s="3116"/>
      <c r="G43" s="3117" t="s">
        <v>3293</v>
      </c>
      <c r="H43" s="3117"/>
      <c r="I43" s="3118"/>
    </row>
    <row r="44" spans="1:10" ht="20.25" customHeight="1" x14ac:dyDescent="0.2">
      <c r="A44" s="1417" t="s">
        <v>3267</v>
      </c>
      <c r="B44" s="3116" t="s">
        <v>3294</v>
      </c>
      <c r="C44" s="3116"/>
      <c r="D44" s="3116"/>
      <c r="E44" s="3123"/>
      <c r="F44" s="3124"/>
      <c r="G44" s="3124"/>
      <c r="H44" s="3124"/>
      <c r="I44" s="3125"/>
    </row>
    <row r="45" spans="1:10" ht="20.25" customHeight="1" thickBot="1" x14ac:dyDescent="0.25">
      <c r="A45" s="3097" t="s">
        <v>769</v>
      </c>
      <c r="B45" s="2408"/>
      <c r="C45" s="2408"/>
      <c r="D45" s="2408"/>
      <c r="E45" s="2408"/>
      <c r="F45" s="2408"/>
      <c r="G45" s="2408"/>
      <c r="H45" s="2408"/>
      <c r="I45" s="2409"/>
    </row>
    <row r="46" spans="1:10" ht="19.5" customHeight="1" x14ac:dyDescent="0.2">
      <c r="A46" s="156" t="s">
        <v>770</v>
      </c>
      <c r="B46" s="2394" t="s">
        <v>766</v>
      </c>
      <c r="C46" s="2395"/>
      <c r="D46" s="2396"/>
      <c r="E46" s="2397" t="s">
        <v>767</v>
      </c>
      <c r="F46" s="2398"/>
      <c r="G46" s="2398"/>
      <c r="H46" s="2399" t="s">
        <v>771</v>
      </c>
      <c r="I46" s="2400"/>
    </row>
    <row r="47" spans="1:10" ht="25.5" customHeight="1" x14ac:dyDescent="0.2">
      <c r="A47" s="154"/>
      <c r="B47" s="3119"/>
      <c r="C47" s="3119"/>
      <c r="D47" s="3119"/>
      <c r="E47" s="2388"/>
      <c r="F47" s="2388"/>
      <c r="G47" s="2388"/>
      <c r="H47" s="2388"/>
      <c r="I47" s="2389"/>
    </row>
    <row r="48" spans="1:10" ht="22.5" customHeight="1" x14ac:dyDescent="0.2">
      <c r="A48" s="154"/>
      <c r="B48" s="3120"/>
      <c r="C48" s="3121"/>
      <c r="D48" s="3122"/>
      <c r="E48" s="2388"/>
      <c r="F48" s="2388"/>
      <c r="G48" s="2388"/>
      <c r="H48" s="2388"/>
      <c r="I48" s="2389"/>
    </row>
    <row r="49" spans="1:10" ht="24.75" customHeight="1" x14ac:dyDescent="0.2">
      <c r="A49" s="154"/>
      <c r="B49" s="3119"/>
      <c r="C49" s="3119"/>
      <c r="D49" s="3119"/>
      <c r="E49" s="2388"/>
      <c r="F49" s="2388"/>
      <c r="G49" s="2388"/>
      <c r="H49" s="2388"/>
      <c r="I49" s="2389"/>
      <c r="J49" s="1416"/>
    </row>
    <row r="50" spans="1:10" ht="24.75" customHeight="1" x14ac:dyDescent="0.2">
      <c r="A50" s="1407" t="s">
        <v>772</v>
      </c>
      <c r="B50" s="3073"/>
      <c r="C50" s="3074"/>
      <c r="D50" s="3074"/>
      <c r="E50" s="3074"/>
      <c r="F50" s="3074"/>
      <c r="G50" s="3074"/>
      <c r="H50" s="3074"/>
      <c r="I50" s="3075"/>
    </row>
    <row r="51" spans="1:10" ht="24.75" customHeight="1" x14ac:dyDescent="0.2">
      <c r="A51" s="1417" t="s">
        <v>3295</v>
      </c>
      <c r="B51" s="3117" t="s">
        <v>3296</v>
      </c>
      <c r="C51" s="3117"/>
      <c r="D51" s="3117"/>
      <c r="E51" s="3064" t="s">
        <v>3297</v>
      </c>
      <c r="F51" s="3090"/>
      <c r="G51" s="3064" t="s">
        <v>3298</v>
      </c>
      <c r="H51" s="3065"/>
      <c r="I51" s="3066"/>
    </row>
    <row r="52" spans="1:10" ht="24" customHeight="1" x14ac:dyDescent="0.2">
      <c r="A52" s="158" t="s">
        <v>773</v>
      </c>
      <c r="B52" s="2381" t="s">
        <v>774</v>
      </c>
      <c r="C52" s="2381"/>
      <c r="D52" s="2381"/>
      <c r="E52" s="2381"/>
      <c r="F52" s="2381"/>
      <c r="G52" s="2381"/>
      <c r="H52" s="2381"/>
      <c r="I52" s="2382"/>
    </row>
    <row r="53" spans="1:10" ht="22.5" customHeight="1" x14ac:dyDescent="0.2">
      <c r="A53" s="159" t="s">
        <v>775</v>
      </c>
      <c r="B53" s="2373" t="s">
        <v>196</v>
      </c>
      <c r="C53" s="2383"/>
      <c r="D53" s="2384" t="s">
        <v>776</v>
      </c>
      <c r="E53" s="2384"/>
      <c r="F53" s="2384"/>
      <c r="G53" s="2384"/>
      <c r="H53" s="2373"/>
      <c r="I53" s="2374"/>
    </row>
    <row r="54" spans="1:10" ht="19.5" customHeight="1" x14ac:dyDescent="0.2">
      <c r="A54" s="159" t="s">
        <v>777</v>
      </c>
      <c r="B54" s="2368" t="s">
        <v>778</v>
      </c>
      <c r="C54" s="2368"/>
      <c r="D54" s="2368"/>
      <c r="E54" s="2368"/>
      <c r="F54" s="2368"/>
      <c r="G54" s="2368"/>
      <c r="H54" s="2368"/>
      <c r="I54" s="2369"/>
    </row>
    <row r="55" spans="1:10" ht="21" customHeight="1" x14ac:dyDescent="0.2">
      <c r="A55" s="159" t="s">
        <v>779</v>
      </c>
      <c r="B55" s="2368" t="s">
        <v>3299</v>
      </c>
      <c r="C55" s="2368"/>
      <c r="D55" s="2368"/>
      <c r="E55" s="2368"/>
      <c r="F55" s="2368"/>
      <c r="G55" s="2368"/>
      <c r="H55" s="2368"/>
      <c r="I55" s="2369"/>
    </row>
    <row r="56" spans="1:10" ht="22.5" customHeight="1" x14ac:dyDescent="0.2">
      <c r="A56" s="159" t="s">
        <v>781</v>
      </c>
      <c r="B56" s="2368" t="s">
        <v>782</v>
      </c>
      <c r="C56" s="2368"/>
      <c r="D56" s="2368"/>
      <c r="E56" s="2368"/>
      <c r="F56" s="2368"/>
      <c r="G56" s="2368"/>
      <c r="H56" s="2368"/>
      <c r="I56" s="2369"/>
    </row>
    <row r="57" spans="1:10" ht="23.25" customHeight="1" x14ac:dyDescent="0.2">
      <c r="A57" s="159" t="s">
        <v>783</v>
      </c>
      <c r="B57" s="2370" t="s">
        <v>196</v>
      </c>
      <c r="C57" s="2370"/>
      <c r="D57" s="2371" t="s">
        <v>784</v>
      </c>
      <c r="E57" s="2371"/>
      <c r="F57" s="2371"/>
      <c r="G57" s="2372"/>
      <c r="H57" s="2373" t="s">
        <v>196</v>
      </c>
      <c r="I57" s="2374"/>
    </row>
    <row r="58" spans="1:10" ht="15.75" thickBot="1" x14ac:dyDescent="0.25">
      <c r="A58" s="2375" t="s">
        <v>785</v>
      </c>
      <c r="B58" s="2376"/>
      <c r="C58" s="2376"/>
      <c r="D58" s="2376"/>
      <c r="E58" s="2376"/>
      <c r="F58" s="2376"/>
      <c r="G58" s="2376"/>
      <c r="H58" s="2376"/>
      <c r="I58" s="2377"/>
    </row>
    <row r="59" spans="1:10" x14ac:dyDescent="0.2">
      <c r="A59" s="2362" t="s">
        <v>786</v>
      </c>
      <c r="B59" s="2363"/>
      <c r="C59" s="2363"/>
      <c r="D59" s="2355"/>
      <c r="E59" s="2355"/>
      <c r="F59" s="2355"/>
      <c r="G59" s="2355"/>
      <c r="H59" s="2355"/>
      <c r="I59" s="2356"/>
    </row>
    <row r="60" spans="1:10" x14ac:dyDescent="0.2">
      <c r="A60" s="2364" t="s">
        <v>787</v>
      </c>
      <c r="B60" s="2365"/>
      <c r="C60" s="2365"/>
      <c r="D60" s="2366"/>
      <c r="E60" s="2366"/>
      <c r="F60" s="2366"/>
      <c r="G60" s="2366"/>
      <c r="H60" s="2366"/>
      <c r="I60" s="2367"/>
    </row>
    <row r="61" spans="1:10" x14ac:dyDescent="0.2">
      <c r="A61" s="2364" t="s">
        <v>788</v>
      </c>
      <c r="B61" s="2365"/>
      <c r="C61" s="2365"/>
      <c r="D61" s="2366"/>
      <c r="E61" s="2366"/>
      <c r="F61" s="2366"/>
      <c r="G61" s="2366"/>
      <c r="H61" s="2366"/>
      <c r="I61" s="2367"/>
    </row>
    <row r="62" spans="1:10" x14ac:dyDescent="0.2">
      <c r="A62" s="2364" t="s">
        <v>789</v>
      </c>
      <c r="B62" s="2365"/>
      <c r="C62" s="2365"/>
      <c r="D62" s="2366"/>
      <c r="E62" s="2366"/>
      <c r="F62" s="2366"/>
      <c r="G62" s="2366"/>
      <c r="H62" s="2366"/>
      <c r="I62" s="2367"/>
    </row>
    <row r="63" spans="1:10" x14ac:dyDescent="0.2">
      <c r="A63" s="3132" t="s">
        <v>3300</v>
      </c>
      <c r="B63" s="3110"/>
      <c r="C63" s="3133"/>
      <c r="D63" s="3134" t="s">
        <v>3301</v>
      </c>
      <c r="E63" s="3135"/>
      <c r="F63" s="3135"/>
      <c r="G63" s="3135"/>
      <c r="H63" s="3135"/>
      <c r="I63" s="3136"/>
    </row>
    <row r="64" spans="1:10" x14ac:dyDescent="0.2">
      <c r="A64" s="3137" t="s">
        <v>3302</v>
      </c>
      <c r="B64" s="3138"/>
      <c r="C64" s="3138"/>
      <c r="D64" s="3139"/>
      <c r="E64" s="3139"/>
      <c r="F64" s="3139"/>
      <c r="G64" s="3139"/>
      <c r="H64" s="3139"/>
      <c r="I64" s="3140"/>
    </row>
    <row r="65" spans="1:9" x14ac:dyDescent="0.2">
      <c r="A65" s="3141" t="s">
        <v>790</v>
      </c>
      <c r="B65" s="3142"/>
      <c r="C65" s="3142"/>
      <c r="D65" s="3142"/>
      <c r="E65" s="3142"/>
      <c r="F65" s="3142"/>
      <c r="G65" s="3142"/>
      <c r="H65" s="3142"/>
      <c r="I65" s="3143"/>
    </row>
    <row r="66" spans="1:9" x14ac:dyDescent="0.2">
      <c r="A66" s="2323" t="s">
        <v>791</v>
      </c>
      <c r="B66" s="2324"/>
      <c r="C66" s="2324"/>
      <c r="D66" s="3144" t="s">
        <v>792</v>
      </c>
      <c r="E66" s="2366"/>
      <c r="F66" s="2366"/>
      <c r="G66" s="2366"/>
      <c r="H66" s="2366"/>
      <c r="I66" s="2367"/>
    </row>
    <row r="67" spans="1:9" x14ac:dyDescent="0.2">
      <c r="A67" s="2323" t="s">
        <v>793</v>
      </c>
      <c r="B67" s="2324"/>
      <c r="C67" s="2324"/>
      <c r="D67" s="2358"/>
      <c r="E67" s="2358"/>
      <c r="F67" s="2358"/>
      <c r="G67" s="2358"/>
      <c r="H67" s="2358"/>
      <c r="I67" s="2361"/>
    </row>
    <row r="68" spans="1:9" x14ac:dyDescent="0.2">
      <c r="A68" s="3126" t="s">
        <v>2339</v>
      </c>
      <c r="B68" s="2422"/>
      <c r="C68" s="2422"/>
      <c r="D68" s="3127"/>
      <c r="E68" s="3128"/>
      <c r="F68" s="3128"/>
      <c r="G68" s="3128"/>
      <c r="H68" s="3128"/>
      <c r="I68" s="3129"/>
    </row>
    <row r="69" spans="1:9" x14ac:dyDescent="0.2">
      <c r="A69" s="2323" t="s">
        <v>794</v>
      </c>
      <c r="B69" s="2324"/>
      <c r="C69" s="2324"/>
      <c r="D69" s="3130"/>
      <c r="E69" s="2354"/>
      <c r="F69" s="2354"/>
      <c r="G69" s="2354"/>
      <c r="H69" s="2354"/>
      <c r="I69" s="3131"/>
    </row>
    <row r="70" spans="1:9" x14ac:dyDescent="0.2">
      <c r="A70" s="2323" t="s">
        <v>795</v>
      </c>
      <c r="B70" s="2324"/>
      <c r="C70" s="2324"/>
      <c r="D70" s="2359"/>
      <c r="E70" s="2324"/>
      <c r="F70" s="2324"/>
      <c r="G70" s="2324"/>
      <c r="H70" s="2324"/>
      <c r="I70" s="2325"/>
    </row>
    <row r="71" spans="1:9" x14ac:dyDescent="0.2">
      <c r="A71" s="2323" t="s">
        <v>796</v>
      </c>
      <c r="B71" s="2324"/>
      <c r="C71" s="2324"/>
      <c r="D71" s="2359"/>
      <c r="E71" s="2324"/>
      <c r="F71" s="2324"/>
      <c r="G71" s="2324"/>
      <c r="H71" s="2324"/>
      <c r="I71" s="2325"/>
    </row>
    <row r="72" spans="1:9" x14ac:dyDescent="0.2">
      <c r="A72" s="2323" t="s">
        <v>797</v>
      </c>
      <c r="B72" s="2324"/>
      <c r="C72" s="2324"/>
      <c r="D72" s="2324"/>
      <c r="E72" s="2324"/>
      <c r="F72" s="2324"/>
      <c r="G72" s="2324"/>
      <c r="H72" s="2324"/>
      <c r="I72" s="2325"/>
    </row>
    <row r="73" spans="1:9" x14ac:dyDescent="0.2">
      <c r="A73" s="3145"/>
      <c r="B73" s="2457"/>
      <c r="C73" s="2457"/>
      <c r="D73" s="2457"/>
      <c r="E73" s="2457"/>
      <c r="F73" s="2457"/>
      <c r="G73" s="2457"/>
      <c r="H73" s="2457"/>
      <c r="I73" s="2458"/>
    </row>
    <row r="74" spans="1:9" ht="15.75" thickBot="1" x14ac:dyDescent="0.25">
      <c r="A74" s="2406" t="s">
        <v>798</v>
      </c>
      <c r="B74" s="2407"/>
      <c r="C74" s="2407"/>
      <c r="D74" s="2407"/>
      <c r="E74" s="2407"/>
      <c r="F74" s="2407"/>
      <c r="G74" s="2407"/>
      <c r="H74" s="2407"/>
      <c r="I74" s="3146"/>
    </row>
    <row r="75" spans="1:9" x14ac:dyDescent="0.2">
      <c r="A75" s="2329" t="s">
        <v>799</v>
      </c>
      <c r="B75" s="2330"/>
      <c r="C75" s="2330"/>
      <c r="D75" s="2330"/>
      <c r="E75" s="2330"/>
      <c r="F75" s="2330"/>
      <c r="G75" s="2330"/>
      <c r="H75" s="2330"/>
      <c r="I75" s="2331"/>
    </row>
    <row r="76" spans="1:9" x14ac:dyDescent="0.2">
      <c r="A76" s="2332"/>
      <c r="B76" s="2333"/>
      <c r="C76" s="2333"/>
      <c r="D76" s="2333"/>
      <c r="E76" s="2333"/>
      <c r="F76" s="2333"/>
      <c r="G76" s="2333"/>
      <c r="H76" s="2333"/>
      <c r="I76" s="2334"/>
    </row>
    <row r="77" spans="1:9" x14ac:dyDescent="0.2">
      <c r="A77" s="2335"/>
      <c r="B77" s="2336"/>
      <c r="C77" s="2336"/>
      <c r="D77" s="2336"/>
      <c r="E77" s="2336"/>
      <c r="F77" s="2336"/>
      <c r="G77" s="2336"/>
      <c r="H77" s="2336"/>
      <c r="I77" s="2337"/>
    </row>
    <row r="78" spans="1:9" ht="13.5" customHeight="1" x14ac:dyDescent="0.2">
      <c r="A78" s="2335"/>
      <c r="B78" s="2336"/>
      <c r="C78" s="2336"/>
      <c r="D78" s="2336"/>
      <c r="E78" s="2336"/>
      <c r="F78" s="2336"/>
      <c r="G78" s="2336"/>
      <c r="H78" s="2336"/>
      <c r="I78" s="2337"/>
    </row>
    <row r="79" spans="1:9" x14ac:dyDescent="0.2">
      <c r="A79" s="2338"/>
      <c r="B79" s="2339"/>
      <c r="C79" s="2339"/>
      <c r="D79" s="2339"/>
      <c r="E79" s="2339"/>
      <c r="F79" s="2339"/>
      <c r="G79" s="2339"/>
      <c r="H79" s="2339"/>
      <c r="I79" s="2340"/>
    </row>
    <row r="80" spans="1:9" ht="24" customHeight="1" thickBot="1" x14ac:dyDescent="0.25">
      <c r="A80" s="2341" t="s">
        <v>800</v>
      </c>
      <c r="B80" s="2342"/>
      <c r="C80" s="2343"/>
      <c r="D80" s="2344" t="s">
        <v>801</v>
      </c>
      <c r="E80" s="2342"/>
      <c r="F80" s="2342"/>
      <c r="G80" s="2342"/>
      <c r="H80" s="2342"/>
      <c r="I80" s="2345"/>
    </row>
    <row r="81" spans="1:9" ht="12.75" customHeight="1" x14ac:dyDescent="0.2">
      <c r="A81" s="137"/>
      <c r="B81" s="137"/>
      <c r="C81" s="137"/>
      <c r="D81" s="137"/>
      <c r="E81" s="137"/>
      <c r="F81" s="137"/>
      <c r="G81" s="137"/>
      <c r="H81" s="137"/>
      <c r="I81" s="137"/>
    </row>
    <row r="82" spans="1:9" hidden="1" x14ac:dyDescent="0.2">
      <c r="A82" s="137"/>
      <c r="B82" s="161"/>
      <c r="C82" s="161"/>
      <c r="D82" s="161"/>
      <c r="E82" s="161"/>
      <c r="F82" s="161"/>
      <c r="G82" s="161"/>
      <c r="H82" s="161"/>
      <c r="I82" s="161"/>
    </row>
    <row r="85" spans="1:9" ht="12.75" hidden="1" customHeight="1" x14ac:dyDescent="0.2"/>
    <row r="86" spans="1:9" ht="25.5" hidden="1" customHeight="1" x14ac:dyDescent="0.2"/>
    <row r="96" spans="1:9" ht="12.75" hidden="1" customHeight="1" x14ac:dyDescent="0.2"/>
    <row r="113" ht="39.75" hidden="1"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x14ac:dyDescent="0.2"/>
    <row r="141" x14ac:dyDescent="0.2"/>
  </sheetData>
  <protectedRanges>
    <protectedRange sqref="B28 E28:I28" name="Range1_1"/>
    <protectedRange sqref="I14" name="Range1_2"/>
  </protectedRanges>
  <mergeCells count="127">
    <mergeCell ref="A73:I73"/>
    <mergeCell ref="A74:I74"/>
    <mergeCell ref="A75:I75"/>
    <mergeCell ref="A76:I79"/>
    <mergeCell ref="A80:C80"/>
    <mergeCell ref="D80:I80"/>
    <mergeCell ref="A70:C70"/>
    <mergeCell ref="D70:I70"/>
    <mergeCell ref="A71:C71"/>
    <mergeCell ref="D71:I71"/>
    <mergeCell ref="A72:C72"/>
    <mergeCell ref="D72:I72"/>
    <mergeCell ref="A67:C67"/>
    <mergeCell ref="D67:I67"/>
    <mergeCell ref="A68:C68"/>
    <mergeCell ref="D68:I68"/>
    <mergeCell ref="A69:C69"/>
    <mergeCell ref="D69:I69"/>
    <mergeCell ref="A63:C63"/>
    <mergeCell ref="D63:I63"/>
    <mergeCell ref="A64:C64"/>
    <mergeCell ref="D64:I64"/>
    <mergeCell ref="A65:I65"/>
    <mergeCell ref="A66:C66"/>
    <mergeCell ref="D66:I66"/>
    <mergeCell ref="A60:C60"/>
    <mergeCell ref="D60:I60"/>
    <mergeCell ref="A61:C61"/>
    <mergeCell ref="D61:I61"/>
    <mergeCell ref="A62:C62"/>
    <mergeCell ref="D62:I62"/>
    <mergeCell ref="B56:I56"/>
    <mergeCell ref="B57:C57"/>
    <mergeCell ref="D57:G57"/>
    <mergeCell ref="H57:I57"/>
    <mergeCell ref="A58:I58"/>
    <mergeCell ref="A59:C59"/>
    <mergeCell ref="D59:I59"/>
    <mergeCell ref="B52:I52"/>
    <mergeCell ref="B53:C53"/>
    <mergeCell ref="D53:G53"/>
    <mergeCell ref="H53:I53"/>
    <mergeCell ref="B54:I54"/>
    <mergeCell ref="B55:I55"/>
    <mergeCell ref="B49:D49"/>
    <mergeCell ref="E49:G49"/>
    <mergeCell ref="H49:I49"/>
    <mergeCell ref="B50:I50"/>
    <mergeCell ref="B51:D51"/>
    <mergeCell ref="E51:F51"/>
    <mergeCell ref="G51:I51"/>
    <mergeCell ref="B47:D47"/>
    <mergeCell ref="E47:G47"/>
    <mergeCell ref="H47:I47"/>
    <mergeCell ref="B48:D48"/>
    <mergeCell ref="E48:G48"/>
    <mergeCell ref="H48:I48"/>
    <mergeCell ref="B44:D44"/>
    <mergeCell ref="E44:I44"/>
    <mergeCell ref="A45:I45"/>
    <mergeCell ref="B46:D46"/>
    <mergeCell ref="E46:G46"/>
    <mergeCell ref="H46:I46"/>
    <mergeCell ref="B42:D42"/>
    <mergeCell ref="E42:G42"/>
    <mergeCell ref="H42:I42"/>
    <mergeCell ref="B43:D43"/>
    <mergeCell ref="E43:F43"/>
    <mergeCell ref="G43:I43"/>
    <mergeCell ref="B40:D40"/>
    <mergeCell ref="E40:G40"/>
    <mergeCell ref="H40:I40"/>
    <mergeCell ref="B41:D41"/>
    <mergeCell ref="E41:G41"/>
    <mergeCell ref="H41:I41"/>
    <mergeCell ref="B36:D36"/>
    <mergeCell ref="E36:G36"/>
    <mergeCell ref="H36:I36"/>
    <mergeCell ref="B37:I37"/>
    <mergeCell ref="A38:I38"/>
    <mergeCell ref="B39:D39"/>
    <mergeCell ref="E39:G39"/>
    <mergeCell ref="H39:I39"/>
    <mergeCell ref="B34:D34"/>
    <mergeCell ref="E34:G34"/>
    <mergeCell ref="H34:I34"/>
    <mergeCell ref="B35:D35"/>
    <mergeCell ref="E35:G35"/>
    <mergeCell ref="H35:I35"/>
    <mergeCell ref="A29:I29"/>
    <mergeCell ref="B30:I30"/>
    <mergeCell ref="B31:I31"/>
    <mergeCell ref="A32:I32"/>
    <mergeCell ref="B33:D33"/>
    <mergeCell ref="E33:G33"/>
    <mergeCell ref="H33:I33"/>
    <mergeCell ref="B26:I26"/>
    <mergeCell ref="B27:D27"/>
    <mergeCell ref="E27:F27"/>
    <mergeCell ref="G27:I27"/>
    <mergeCell ref="B28:D28"/>
    <mergeCell ref="E28:F28"/>
    <mergeCell ref="G28:I28"/>
    <mergeCell ref="B20:I20"/>
    <mergeCell ref="B21:I21"/>
    <mergeCell ref="B22:I22"/>
    <mergeCell ref="B23:I23"/>
    <mergeCell ref="B24:I24"/>
    <mergeCell ref="B25:I25"/>
    <mergeCell ref="B14:G14"/>
    <mergeCell ref="B15:I15"/>
    <mergeCell ref="B16:I16"/>
    <mergeCell ref="B17:I17"/>
    <mergeCell ref="B18:I18"/>
    <mergeCell ref="B19:I19"/>
    <mergeCell ref="B8:I8"/>
    <mergeCell ref="B9:I9"/>
    <mergeCell ref="B10:I10"/>
    <mergeCell ref="A11:I11"/>
    <mergeCell ref="A12:I12"/>
    <mergeCell ref="B13:I13"/>
    <mergeCell ref="B2:I2"/>
    <mergeCell ref="A3:I3"/>
    <mergeCell ref="B4:I4"/>
    <mergeCell ref="B5:I5"/>
    <mergeCell ref="A6:A7"/>
    <mergeCell ref="B6:I7"/>
  </mergeCells>
  <dataValidations count="13">
    <dataValidation type="list" allowBlank="1" showInputMessage="1" showErrorMessage="1" sqref="B44" xr:uid="{1D57B2E6-8B14-46B4-A992-7D4BAA149FFC}">
      <formula1>"More than 60% sales to high risk industries, All other scenarios"</formula1>
    </dataValidation>
    <dataValidation type="list" allowBlank="1" showInputMessage="1" showErrorMessage="1" sqref="G51:I51" xr:uid="{6236CD09-A492-44E5-B7D1-65AD720EEB18}">
      <formula1>"Monopoly, Few Competition, Failry fragmented structure, lots of players, Highly fragmented players, Extreme competition"</formula1>
    </dataValidation>
    <dataValidation type="list" allowBlank="1" showInputMessage="1" showErrorMessage="1" sqref="G27:I27" xr:uid="{E1D84ACF-1AA7-4B8E-9441-64BDFD880C51}">
      <formula1>"Highly favorable, Moderately favorable, Not significantly favorable, Negative influence, Significantly negative influence, Extremely unfavorable"</formula1>
    </dataValidation>
    <dataValidation type="list" allowBlank="1" showInputMessage="1" showErrorMessage="1" sqref="B28:D28" xr:uid="{D362E3C6-8EFE-4579-A9D2-C876923D92C6}">
      <formula1>"Extremely favourable demand supply gap, Positive demand-supply gap scenario, Marginal demand supply gap/ slight overcapacity,Moderate oversupply situation, Serious oversupply situation in industry, Demand showing a clearly declining trend"</formula1>
    </dataValidation>
    <dataValidation type="list" allowBlank="1" showInputMessage="1" showErrorMessage="1" sqref="B19:I19" xr:uid="{704683ED-F222-4A73-9E1A-E384B5D302C3}">
      <formula1>$P$17:$P$20</formula1>
    </dataValidation>
    <dataValidation type="list" allowBlank="1" showInputMessage="1" showErrorMessage="1" sqref="B17:I17" xr:uid="{385DF22B-FFC6-463D-97B7-1CA93EE3E451}">
      <formula1>$L$19:$L$22</formula1>
    </dataValidation>
    <dataValidation type="list" allowBlank="1" showInputMessage="1" showErrorMessage="1" sqref="B18:I18" xr:uid="{DABA5C94-F26C-4E74-9A5E-62055EE85CE1}">
      <formula1>$M$24:$M$27</formula1>
    </dataValidation>
    <dataValidation type="list" allowBlank="1" showInputMessage="1" showErrorMessage="1" sqref="I14" xr:uid="{E4FEF01A-89B9-4565-BE61-D1FF3B06F553}">
      <formula1>"Low,Medium, High"</formula1>
    </dataValidation>
    <dataValidation type="list" allowBlank="1" showInputMessage="1" showErrorMessage="1" sqref="G28:I28" xr:uid="{A59BE582-4442-4985-881F-0FFA56766D7D}">
      <formula1>"Concessions to be withdrawn in medium term (3 to 5 years) ,Ambiguity on continuity of concessions,No such concessions available,Concessions to continue over medium term,Concessions likely to be withdrawn in near term (Within 3 years)"</formula1>
    </dataValidation>
    <dataValidation type="list" allowBlank="1" showInputMessage="1" showErrorMessage="1" sqref="G43:I43" xr:uid="{4925DFAF-E7BA-4BCE-A7EC-F01F4A08065D}">
      <formula1>"Less than 2% variation YOY mid term, Greater than 2% in mid term, 10% - 40% increase in mid term, More than 40% increase"</formula1>
    </dataValidation>
    <dataValidation type="list" allowBlank="1" showInputMessage="1" showErrorMessage="1" sqref="B43:D43" xr:uid="{57E45101-60C2-49E8-B005-1985459791F7}">
      <formula1>"Minimal dependency on suppliers, Supplier base is fairly diverse, Top 5 suppliers accounting for 70% or more of raw materials, Very high dependence on a single supplier"</formula1>
    </dataValidation>
    <dataValidation type="list" allowBlank="1" showInputMessage="1" showErrorMessage="1" sqref="D63:I63" xr:uid="{997761F6-F63F-44AB-B0C4-28E9C3F28729}">
      <formula1>"The most advanced and proven technology, The technology used by the entity is largely acceptable although better technology is available, The level of technology used, Outdated technology although advanced is yet to be proven"</formula1>
    </dataValidation>
    <dataValidation type="list" allowBlank="1" showInputMessage="1" showErrorMessage="1" sqref="B51" xr:uid="{8B3972EA-7AEC-4D41-A779-9B27DA95AB82}">
      <formula1>"No other alternatives/substitutes, Existing players not many in number, Low bargaining power with customers, High competitive environment with large number of players "</formula1>
    </dataValidation>
  </dataValidations>
  <pageMargins left="0.7" right="0.7" top="0.75" bottom="0.75" header="0.3" footer="0.3"/>
  <pageSetup paperSize="9" orientation="portrait" r:id="rId1"/>
  <headerFooter>
    <oddFooter>&amp;C&amp;1#&amp;"Calibri"&amp;10&amp;K000000 For internal use only</oddFooter>
  </headerFooter>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1">
    <pageSetUpPr fitToPage="1"/>
  </sheetPr>
  <dimension ref="A1:O980"/>
  <sheetViews>
    <sheetView workbookViewId="0">
      <selection sqref="A1:F2"/>
    </sheetView>
  </sheetViews>
  <sheetFormatPr defaultColWidth="8.7109375" defaultRowHeight="12.75" customHeight="1" zeroHeight="1" x14ac:dyDescent="0.2"/>
  <cols>
    <col min="1" max="1" width="2.140625" style="395" bestFit="1" customWidth="1"/>
    <col min="2" max="2" width="34.5703125" style="396" customWidth="1"/>
    <col min="3" max="3" width="54" style="397" customWidth="1"/>
    <col min="4" max="4" width="30.7109375" style="396" customWidth="1"/>
    <col min="5" max="6" width="8.7109375" style="396" customWidth="1"/>
    <col min="7" max="7" width="12" style="398" customWidth="1"/>
    <col min="8" max="9" width="15.5703125" style="398" customWidth="1"/>
    <col min="10" max="10" width="20.42578125" style="396" customWidth="1"/>
    <col min="11" max="16" width="8.7109375" style="396" customWidth="1"/>
    <col min="17" max="16384" width="8.7109375" style="396"/>
  </cols>
  <sheetData>
    <row r="1" spans="1:15" ht="16.5" x14ac:dyDescent="0.2">
      <c r="B1" s="2141" t="str">
        <f>'Borrower Details'!A2</f>
        <v>Mortgage-Magnus-Unsecured</v>
      </c>
      <c r="C1" s="2152"/>
    </row>
    <row r="2" spans="1:15" x14ac:dyDescent="0.2">
      <c r="A2" s="399"/>
      <c r="B2" s="3147" t="s">
        <v>2340</v>
      </c>
      <c r="C2" s="3148"/>
      <c r="D2" s="400"/>
    </row>
    <row r="3" spans="1:15" x14ac:dyDescent="0.2">
      <c r="F3" s="396" t="s">
        <v>2341</v>
      </c>
      <c r="G3" s="398" t="s">
        <v>2342</v>
      </c>
      <c r="H3" s="398" t="s">
        <v>2343</v>
      </c>
      <c r="I3" s="398" t="s">
        <v>2344</v>
      </c>
      <c r="L3" s="396" t="s">
        <v>2345</v>
      </c>
      <c r="M3" s="396" t="s">
        <v>2346</v>
      </c>
      <c r="N3" s="396" t="s">
        <v>2347</v>
      </c>
      <c r="O3" s="396" t="s">
        <v>2348</v>
      </c>
    </row>
    <row r="4" spans="1:15" ht="15" x14ac:dyDescent="0.2">
      <c r="A4" s="399"/>
      <c r="B4" s="401" t="s">
        <v>182</v>
      </c>
      <c r="C4" s="402" t="str">
        <f>'Borrower Details'!B8</f>
        <v>AARBUR</v>
      </c>
      <c r="D4" s="403"/>
      <c r="F4" s="396" t="str">
        <f>IF(AND($C$16&lt;=H4,$C$16&gt;=G4),"Yes","")</f>
        <v>Yes</v>
      </c>
      <c r="G4" s="398">
        <v>0</v>
      </c>
      <c r="H4" s="398">
        <v>7499999</v>
      </c>
      <c r="I4" s="398" t="s">
        <v>2349</v>
      </c>
      <c r="L4" s="396" t="s">
        <v>2350</v>
      </c>
      <c r="M4" s="396" t="s">
        <v>2351</v>
      </c>
      <c r="N4" s="396" t="s">
        <v>2352</v>
      </c>
      <c r="O4" s="396" t="str">
        <f t="shared" ref="O4:O14" si="0">N4&amp;" : "&amp;M4</f>
        <v>BIL : BUSINESS INSTALLMENT LOAN</v>
      </c>
    </row>
    <row r="5" spans="1:15" x14ac:dyDescent="0.2">
      <c r="F5" s="396" t="str">
        <f>IF(AND($C$16&lt;=H5,$C$16&gt;=G5),"Yes","")</f>
        <v/>
      </c>
      <c r="G5" s="398">
        <v>7500000</v>
      </c>
      <c r="H5" s="398">
        <v>99999999</v>
      </c>
      <c r="I5" s="398" t="s">
        <v>2353</v>
      </c>
      <c r="L5" s="396" t="s">
        <v>2354</v>
      </c>
      <c r="M5" s="396" t="s">
        <v>2355</v>
      </c>
      <c r="N5" s="396" t="s">
        <v>2352</v>
      </c>
      <c r="O5" s="396" t="str">
        <f t="shared" si="0"/>
        <v>BIL : EVE BUSINESS LOAN</v>
      </c>
    </row>
    <row r="6" spans="1:15" x14ac:dyDescent="0.2">
      <c r="A6" s="404"/>
      <c r="B6" s="3149" t="s">
        <v>2356</v>
      </c>
      <c r="C6" s="3150"/>
      <c r="F6" s="396" t="str">
        <f>IF(AND($C$16&lt;=H6,$C$16&gt;=G6),"Yes","")</f>
        <v/>
      </c>
      <c r="G6" s="398">
        <v>100000000</v>
      </c>
      <c r="H6" s="398">
        <v>100000000000</v>
      </c>
      <c r="I6" s="398" t="s">
        <v>2357</v>
      </c>
      <c r="L6" s="396" t="s">
        <v>2358</v>
      </c>
      <c r="M6" s="396" t="s">
        <v>2359</v>
      </c>
      <c r="N6" s="396" t="s">
        <v>2360</v>
      </c>
      <c r="O6" s="396" t="str">
        <f t="shared" si="0"/>
        <v>HL : DB HOME LOAN</v>
      </c>
    </row>
    <row r="7" spans="1:15" x14ac:dyDescent="0.2">
      <c r="B7" s="405" t="s">
        <v>2049</v>
      </c>
      <c r="C7" s="406"/>
      <c r="L7" s="396" t="s">
        <v>2362</v>
      </c>
      <c r="M7" s="396" t="s">
        <v>2363</v>
      </c>
      <c r="N7" s="396" t="s">
        <v>2360</v>
      </c>
      <c r="O7" s="396" t="str">
        <f t="shared" si="0"/>
        <v>HL : DB HOME LOAN - TOP UP</v>
      </c>
    </row>
    <row r="8" spans="1:15" x14ac:dyDescent="0.2">
      <c r="B8" s="405" t="s">
        <v>2347</v>
      </c>
      <c r="C8" s="407" t="e">
        <f>VLOOKUP($C$7,$M$3:$O$14,2,0)</f>
        <v>#N/A</v>
      </c>
      <c r="L8" s="396" t="s">
        <v>2364</v>
      </c>
      <c r="M8" s="396" t="s">
        <v>2365</v>
      </c>
      <c r="N8" s="396" t="s">
        <v>2360</v>
      </c>
      <c r="O8" s="396" t="str">
        <f t="shared" si="0"/>
        <v>HL : DB HOME LOAN STAFF</v>
      </c>
    </row>
    <row r="9" spans="1:15" x14ac:dyDescent="0.2">
      <c r="B9" s="405" t="s">
        <v>2366</v>
      </c>
      <c r="C9" s="406"/>
      <c r="D9" s="408" t="e">
        <f>IF(AND(C9="Yes",$C$8="UBL"),"Is this a Balance Transfer?","")</f>
        <v>#N/A</v>
      </c>
      <c r="L9" s="396" t="s">
        <v>2367</v>
      </c>
      <c r="M9" s="396" t="s">
        <v>2368</v>
      </c>
      <c r="N9" s="396" t="s">
        <v>2360</v>
      </c>
      <c r="O9" s="396" t="str">
        <f t="shared" si="0"/>
        <v>HL : PROPERTY PURCHASE LOAN NI</v>
      </c>
    </row>
    <row r="10" spans="1:15" x14ac:dyDescent="0.2">
      <c r="B10" s="405" t="s">
        <v>2369</v>
      </c>
      <c r="C10" s="406"/>
      <c r="D10" s="408" t="str">
        <f>IF(C10="Yes","Please use the PSL sheet","")</f>
        <v/>
      </c>
      <c r="L10" s="396" t="s">
        <v>2370</v>
      </c>
      <c r="M10" s="396" t="s">
        <v>2371</v>
      </c>
      <c r="N10" s="396" t="s">
        <v>2372</v>
      </c>
      <c r="O10" s="396" t="str">
        <f t="shared" si="0"/>
        <v>UBL : DB BUSINESS LOAN</v>
      </c>
    </row>
    <row r="11" spans="1:15" x14ac:dyDescent="0.2">
      <c r="B11" s="405" t="s">
        <v>2373</v>
      </c>
      <c r="C11" s="406"/>
      <c r="D11" s="408" t="str">
        <f>IF(C11="Yes","Please use Enhanced Due diligence sheet","")</f>
        <v/>
      </c>
      <c r="L11" s="396" t="s">
        <v>2374</v>
      </c>
      <c r="M11" s="396" t="s">
        <v>2375</v>
      </c>
      <c r="N11" s="396" t="s">
        <v>2376</v>
      </c>
      <c r="O11" s="396" t="str">
        <f t="shared" si="0"/>
        <v>LAP : DB LAP - TOP UP</v>
      </c>
    </row>
    <row r="12" spans="1:15" x14ac:dyDescent="0.2">
      <c r="B12" s="405" t="s">
        <v>2377</v>
      </c>
      <c r="C12" s="406"/>
      <c r="L12" s="396" t="s">
        <v>2378</v>
      </c>
      <c r="M12" s="396" t="s">
        <v>2379</v>
      </c>
      <c r="N12" s="396" t="s">
        <v>2376</v>
      </c>
      <c r="O12" s="396" t="str">
        <f t="shared" si="0"/>
        <v>LAP : DB LOAN AGAINST COMM PROP</v>
      </c>
    </row>
    <row r="13" spans="1:15" x14ac:dyDescent="0.2">
      <c r="B13" s="409" t="s">
        <v>2380</v>
      </c>
      <c r="C13" s="410" t="e">
        <f>IF(AND(C8="UBL",$C$12&lt;&gt;"MEDIUM TERM WORKING CAPITAL"),"Not a valid end use for UBL","")</f>
        <v>#N/A</v>
      </c>
      <c r="H13" s="398" t="s">
        <v>2381</v>
      </c>
      <c r="I13" s="398" t="s">
        <v>2382</v>
      </c>
      <c r="J13" s="396" t="str">
        <f>UPPER(H13&amp;","&amp;H14&amp;","&amp;H15&amp;","&amp;H16&amp;","&amp;H17&amp;","&amp;H18)</f>
        <v>PERSONAL NEEDS,PURCHASE OF PROPERTY,BUSINESS EXPANSION,CAPITAL EXPENDITURE,WORKING CAPITAL (TERM LOAN),OTHERS</v>
      </c>
      <c r="L13" s="396" t="s">
        <v>2383</v>
      </c>
      <c r="M13" s="396" t="s">
        <v>2361</v>
      </c>
      <c r="N13" s="396" t="s">
        <v>2376</v>
      </c>
      <c r="O13" s="396" t="str">
        <f t="shared" si="0"/>
        <v>LAP : DB LOAN AGAINST HOME</v>
      </c>
    </row>
    <row r="14" spans="1:15" x14ac:dyDescent="0.2">
      <c r="C14" s="410" t="e">
        <f>IF(AND(C8="LAP",OR($C$12="WORKING CAPITAL (TERM LOAN)",$C$12="MEDIUM TERM WORKING CAPITAL")),"Not a valid end use for LAP","")</f>
        <v>#N/A</v>
      </c>
      <c r="H14" s="398" t="s">
        <v>2384</v>
      </c>
      <c r="I14" s="398" t="s">
        <v>2385</v>
      </c>
      <c r="L14" s="396" t="s">
        <v>2386</v>
      </c>
      <c r="M14" s="396" t="s">
        <v>2387</v>
      </c>
      <c r="N14" s="396" t="s">
        <v>2376</v>
      </c>
      <c r="O14" s="396" t="str">
        <f t="shared" si="0"/>
        <v>LAP : DB LOAN FOR COMM PROP</v>
      </c>
    </row>
    <row r="15" spans="1:15" x14ac:dyDescent="0.2">
      <c r="A15" s="404"/>
      <c r="B15" s="3149" t="s">
        <v>2388</v>
      </c>
      <c r="C15" s="3150"/>
      <c r="H15" s="398" t="s">
        <v>2389</v>
      </c>
      <c r="I15" s="398" t="s">
        <v>2390</v>
      </c>
    </row>
    <row r="16" spans="1:15" ht="15.75" x14ac:dyDescent="0.25">
      <c r="B16" s="405" t="s">
        <v>92</v>
      </c>
      <c r="C16" s="411"/>
      <c r="D16" s="412" t="str">
        <f>IF(C16&gt;=100000000,"Please use High-value sheet!","")</f>
        <v/>
      </c>
      <c r="H16" s="398" t="s">
        <v>2391</v>
      </c>
      <c r="I16" s="398" t="s">
        <v>2392</v>
      </c>
    </row>
    <row r="17" spans="1:15" x14ac:dyDescent="0.2">
      <c r="B17" s="405" t="s">
        <v>2393</v>
      </c>
      <c r="C17" s="407" t="str">
        <f>VLOOKUP("Yes",$F$4:$I$6,4,0)</f>
        <v>&lt; 75 Lacs</v>
      </c>
      <c r="H17" s="398" t="s">
        <v>2394</v>
      </c>
      <c r="I17" s="398" t="s">
        <v>2395</v>
      </c>
    </row>
    <row r="18" spans="1:15" x14ac:dyDescent="0.2">
      <c r="H18" s="398" t="s">
        <v>121</v>
      </c>
      <c r="I18" s="398" t="s">
        <v>2396</v>
      </c>
    </row>
    <row r="19" spans="1:15" ht="15" x14ac:dyDescent="0.2">
      <c r="A19" s="395" t="s">
        <v>44</v>
      </c>
      <c r="B19" s="405" t="s">
        <v>2397</v>
      </c>
      <c r="C19" s="413"/>
    </row>
    <row r="20" spans="1:15" x14ac:dyDescent="0.2">
      <c r="B20" s="405" t="s">
        <v>2398</v>
      </c>
      <c r="C20" s="406"/>
      <c r="J20" s="396" t="s">
        <v>2381</v>
      </c>
      <c r="K20" s="396" t="s">
        <v>2382</v>
      </c>
    </row>
    <row r="21" spans="1:15" ht="25.5" x14ac:dyDescent="0.2">
      <c r="B21" s="414" t="s">
        <v>2400</v>
      </c>
      <c r="C21" s="406"/>
      <c r="J21" s="396" t="s">
        <v>2384</v>
      </c>
      <c r="K21" s="396" t="s">
        <v>2385</v>
      </c>
      <c r="L21" s="396" t="s">
        <v>2401</v>
      </c>
    </row>
    <row r="22" spans="1:15" x14ac:dyDescent="0.2">
      <c r="B22" s="405" t="s">
        <v>2402</v>
      </c>
      <c r="C22" s="406"/>
      <c r="J22" s="396" t="s">
        <v>2384</v>
      </c>
      <c r="K22" s="396" t="s">
        <v>2385</v>
      </c>
      <c r="L22" s="396" t="s">
        <v>2403</v>
      </c>
      <c r="M22" s="396" t="s">
        <v>2404</v>
      </c>
    </row>
    <row r="23" spans="1:15" ht="12.6" customHeight="1" x14ac:dyDescent="0.2">
      <c r="H23" s="398" t="s">
        <v>2405</v>
      </c>
      <c r="J23" s="396" t="s">
        <v>2384</v>
      </c>
      <c r="K23" s="396" t="s">
        <v>2385</v>
      </c>
      <c r="L23" s="396" t="s">
        <v>2406</v>
      </c>
      <c r="M23" s="396" t="s">
        <v>2407</v>
      </c>
    </row>
    <row r="24" spans="1:15" x14ac:dyDescent="0.2">
      <c r="B24" s="415" t="s">
        <v>2408</v>
      </c>
      <c r="C24" s="416"/>
      <c r="D24" s="396" t="str">
        <f>IF(SUM($C$26:$C$30)&lt;C19,"Split should tally to atleast the BT amount","")</f>
        <v/>
      </c>
      <c r="H24" s="398" t="s">
        <v>2409</v>
      </c>
      <c r="J24" s="396" t="s">
        <v>2389</v>
      </c>
      <c r="K24" s="396" t="s">
        <v>2390</v>
      </c>
      <c r="L24" s="396" t="s">
        <v>2410</v>
      </c>
      <c r="M24" s="396" t="str">
        <f t="shared" ref="M24:M27" si="1">K24&amp;": "&amp;L24</f>
        <v>BE: Machinery Purchase</v>
      </c>
    </row>
    <row r="25" spans="1:15" x14ac:dyDescent="0.2">
      <c r="B25" s="415" t="s">
        <v>2411</v>
      </c>
      <c r="C25" s="417" t="s">
        <v>1706</v>
      </c>
      <c r="D25" s="396" t="str">
        <f>IF(SUM($C$26:$C$30)&gt;C19*2,"Split figures look too high","")</f>
        <v/>
      </c>
      <c r="H25" s="398" t="s">
        <v>2039</v>
      </c>
      <c r="J25" s="396" t="s">
        <v>2389</v>
      </c>
      <c r="K25" s="396" t="s">
        <v>2390</v>
      </c>
      <c r="L25" s="396" t="s">
        <v>66</v>
      </c>
      <c r="M25" s="396" t="str">
        <f t="shared" si="1"/>
        <v>BE: Fixed Assets</v>
      </c>
    </row>
    <row r="26" spans="1:15" x14ac:dyDescent="0.2">
      <c r="A26" s="395">
        <v>1</v>
      </c>
      <c r="B26" s="406"/>
      <c r="C26" s="418"/>
      <c r="H26" s="398" t="s">
        <v>2412</v>
      </c>
      <c r="J26" s="396" t="s">
        <v>2389</v>
      </c>
      <c r="K26" s="396" t="s">
        <v>2390</v>
      </c>
      <c r="L26" s="396" t="s">
        <v>2413</v>
      </c>
      <c r="M26" s="396" t="str">
        <f t="shared" si="1"/>
        <v>BE: New Location / Office Setup</v>
      </c>
    </row>
    <row r="27" spans="1:15" x14ac:dyDescent="0.2">
      <c r="A27" s="395">
        <v>2</v>
      </c>
      <c r="B27" s="406"/>
      <c r="C27" s="418"/>
      <c r="H27" s="398" t="s">
        <v>2414</v>
      </c>
      <c r="J27" s="396" t="s">
        <v>2389</v>
      </c>
      <c r="K27" s="396" t="s">
        <v>2390</v>
      </c>
      <c r="L27" s="396" t="s">
        <v>2415</v>
      </c>
      <c r="M27" s="396" t="str">
        <f t="shared" si="1"/>
        <v>BE: Others (specify in detailed description)</v>
      </c>
    </row>
    <row r="28" spans="1:15" x14ac:dyDescent="0.2">
      <c r="A28" s="395">
        <v>3</v>
      </c>
      <c r="B28" s="406"/>
      <c r="C28" s="418"/>
      <c r="H28" s="398" t="s">
        <v>2416</v>
      </c>
      <c r="J28" s="396" t="s">
        <v>2391</v>
      </c>
      <c r="K28" s="396" t="s">
        <v>2392</v>
      </c>
      <c r="M28" s="396" t="str">
        <f t="shared" ref="M28:M30" si="2">K28&amp;": "&amp;J28</f>
        <v>CE: Capital expenditure</v>
      </c>
    </row>
    <row r="29" spans="1:15" x14ac:dyDescent="0.2">
      <c r="A29" s="395">
        <v>4</v>
      </c>
      <c r="B29" s="406"/>
      <c r="C29" s="418"/>
      <c r="H29" s="398" t="s">
        <v>2417</v>
      </c>
      <c r="J29" s="396" t="s">
        <v>2418</v>
      </c>
      <c r="K29" s="396" t="s">
        <v>2395</v>
      </c>
      <c r="M29" s="396" t="str">
        <f t="shared" si="2"/>
        <v>WC: Long Term Working capital</v>
      </c>
    </row>
    <row r="30" spans="1:15" x14ac:dyDescent="0.2">
      <c r="A30" s="395">
        <v>5</v>
      </c>
      <c r="B30" s="406"/>
      <c r="C30" s="418"/>
      <c r="H30" s="398" t="s">
        <v>2419</v>
      </c>
      <c r="J30" s="396" t="s">
        <v>2415</v>
      </c>
      <c r="K30" s="396" t="s">
        <v>2396</v>
      </c>
      <c r="M30" s="396" t="str">
        <f t="shared" si="2"/>
        <v>OT: Others (specify in detailed description)</v>
      </c>
    </row>
    <row r="31" spans="1:15" x14ac:dyDescent="0.2">
      <c r="B31" s="397"/>
      <c r="H31" s="398" t="s">
        <v>2420</v>
      </c>
    </row>
    <row r="32" spans="1:15" ht="15.75" x14ac:dyDescent="0.25">
      <c r="A32" s="419" t="s">
        <v>45</v>
      </c>
      <c r="B32" s="405" t="s">
        <v>2421</v>
      </c>
      <c r="C32" s="413"/>
      <c r="H32" s="398" t="s">
        <v>2422</v>
      </c>
      <c r="L32" s="393"/>
      <c r="M32" s="393"/>
      <c r="N32" s="393"/>
      <c r="O32" s="393"/>
    </row>
    <row r="33" spans="1:15" ht="15" x14ac:dyDescent="0.25">
      <c r="B33" s="400" t="s">
        <v>2423</v>
      </c>
      <c r="C33" s="420" t="str">
        <f>IF(SUM($C$35:$C$39)&lt;C32,"Split should tally with amount disb to client","")</f>
        <v/>
      </c>
      <c r="H33" s="398" t="s">
        <v>2424</v>
      </c>
      <c r="L33" s="393"/>
      <c r="M33" s="393"/>
      <c r="N33" s="393"/>
      <c r="O33" s="393"/>
    </row>
    <row r="34" spans="1:15" ht="15" x14ac:dyDescent="0.25">
      <c r="B34" s="415" t="s">
        <v>2425</v>
      </c>
      <c r="C34" s="417" t="s">
        <v>1706</v>
      </c>
      <c r="H34" s="398" t="s">
        <v>2426</v>
      </c>
      <c r="L34" s="393"/>
      <c r="M34" s="393"/>
      <c r="N34" s="393"/>
      <c r="O34" s="393"/>
    </row>
    <row r="35" spans="1:15" ht="15" x14ac:dyDescent="0.25">
      <c r="A35" s="395">
        <v>1</v>
      </c>
      <c r="B35" s="406"/>
      <c r="C35" s="418"/>
      <c r="H35" s="398" t="s">
        <v>2427</v>
      </c>
      <c r="L35" s="393"/>
      <c r="M35" s="393"/>
      <c r="N35" s="393"/>
      <c r="O35" s="393"/>
    </row>
    <row r="36" spans="1:15" ht="15" x14ac:dyDescent="0.25">
      <c r="A36" s="395">
        <v>2</v>
      </c>
      <c r="B36" s="406"/>
      <c r="C36" s="418"/>
      <c r="H36" s="398" t="s">
        <v>2428</v>
      </c>
      <c r="L36" s="393"/>
      <c r="M36" s="393"/>
      <c r="N36" s="393"/>
      <c r="O36" s="393"/>
    </row>
    <row r="37" spans="1:15" ht="15" x14ac:dyDescent="0.25">
      <c r="A37" s="395">
        <v>3</v>
      </c>
      <c r="B37" s="406"/>
      <c r="C37" s="418"/>
      <c r="H37" s="398" t="s">
        <v>2429</v>
      </c>
      <c r="L37" s="393"/>
      <c r="M37" s="393"/>
      <c r="N37" s="393"/>
      <c r="O37" s="393"/>
    </row>
    <row r="38" spans="1:15" ht="15" x14ac:dyDescent="0.25">
      <c r="A38" s="395">
        <v>4</v>
      </c>
      <c r="B38" s="406"/>
      <c r="C38" s="418"/>
      <c r="H38" s="398" t="s">
        <v>2430</v>
      </c>
      <c r="L38" s="393"/>
      <c r="M38" s="393"/>
      <c r="N38" s="393"/>
      <c r="O38" s="393"/>
    </row>
    <row r="39" spans="1:15" ht="15" x14ac:dyDescent="0.25">
      <c r="A39" s="395">
        <v>5</v>
      </c>
      <c r="B39" s="406"/>
      <c r="C39" s="418"/>
      <c r="H39" s="398" t="s">
        <v>2431</v>
      </c>
      <c r="L39" s="393"/>
      <c r="M39" s="393"/>
      <c r="N39" s="393"/>
      <c r="O39" s="393"/>
    </row>
    <row r="40" spans="1:15" ht="15" x14ac:dyDescent="0.25">
      <c r="B40" s="396" t="e">
        <f>IF(AND($C$8="UBL",$B$35&lt;&gt;"MEDIUM TERM WORKING CAPITAL"),"Not a valid end use for UBL","")</f>
        <v>#N/A</v>
      </c>
      <c r="H40" s="398" t="s">
        <v>2432</v>
      </c>
      <c r="L40" s="393"/>
      <c r="M40" s="393"/>
      <c r="N40" s="393"/>
      <c r="O40" s="393"/>
    </row>
    <row r="41" spans="1:15" ht="15.75" hidden="1" x14ac:dyDescent="0.25">
      <c r="A41" s="419" t="s">
        <v>2433</v>
      </c>
      <c r="B41" s="405" t="s">
        <v>2434</v>
      </c>
      <c r="C41" s="413">
        <v>5000000</v>
      </c>
      <c r="H41" s="398" t="s">
        <v>2435</v>
      </c>
      <c r="L41" s="393"/>
      <c r="M41" s="393"/>
      <c r="N41" s="393"/>
      <c r="O41" s="393"/>
    </row>
    <row r="42" spans="1:15" ht="15" hidden="1" x14ac:dyDescent="0.25">
      <c r="C42" s="421" t="str">
        <f>IF((C41+C32+C19)&lt;&gt;$C$16,"A+B+C should tally with loan amount","")</f>
        <v>A+B+C should tally with loan amount</v>
      </c>
      <c r="H42" s="398" t="s">
        <v>2436</v>
      </c>
      <c r="L42" s="393"/>
      <c r="M42" s="393"/>
      <c r="N42" s="393"/>
      <c r="O42" s="393"/>
    </row>
    <row r="43" spans="1:15" ht="15" x14ac:dyDescent="0.25">
      <c r="H43" s="398" t="s">
        <v>2437</v>
      </c>
      <c r="L43" s="393"/>
      <c r="M43" s="393"/>
      <c r="N43" s="393"/>
      <c r="O43" s="393"/>
    </row>
    <row r="44" spans="1:15" ht="15" x14ac:dyDescent="0.25">
      <c r="A44" s="404"/>
      <c r="B44" s="3149" t="s">
        <v>2438</v>
      </c>
      <c r="C44" s="3150"/>
      <c r="H44" s="398" t="s">
        <v>2439</v>
      </c>
      <c r="L44" s="393"/>
      <c r="M44" s="393"/>
      <c r="N44" s="393"/>
      <c r="O44" s="393"/>
    </row>
    <row r="45" spans="1:15" ht="15" x14ac:dyDescent="0.25">
      <c r="B45" s="405" t="s">
        <v>2440</v>
      </c>
      <c r="C45" s="406"/>
      <c r="H45" s="398" t="s">
        <v>2441</v>
      </c>
      <c r="L45" s="393"/>
      <c r="M45" s="393"/>
      <c r="N45" s="393"/>
      <c r="O45" s="393"/>
    </row>
    <row r="46" spans="1:15" ht="15" x14ac:dyDescent="0.25">
      <c r="B46" s="405" t="s">
        <v>2442</v>
      </c>
      <c r="C46" s="422"/>
      <c r="D46" s="408" t="e">
        <f>IF(AND($C$8="UBL",$C$45&lt;&gt;"MEDIUM TERM WORKING CAPITAL"),"Not a valid end use for UBL","")</f>
        <v>#N/A</v>
      </c>
      <c r="H46" s="398" t="s">
        <v>2443</v>
      </c>
      <c r="L46" s="393"/>
      <c r="M46" s="393"/>
      <c r="N46" s="393"/>
      <c r="O46" s="393"/>
    </row>
    <row r="47" spans="1:15" ht="15" x14ac:dyDescent="0.25">
      <c r="B47" s="405" t="s">
        <v>2444</v>
      </c>
      <c r="C47" s="422"/>
      <c r="H47" s="398" t="s">
        <v>2445</v>
      </c>
      <c r="L47" s="393"/>
      <c r="M47" s="393"/>
      <c r="N47" s="393"/>
      <c r="O47" s="393"/>
    </row>
    <row r="48" spans="1:15" ht="15" x14ac:dyDescent="0.25">
      <c r="B48" s="405" t="s">
        <v>2446</v>
      </c>
      <c r="C48" s="422"/>
      <c r="H48" s="398" t="s">
        <v>2447</v>
      </c>
      <c r="L48" s="393"/>
      <c r="M48" s="393"/>
      <c r="N48" s="393"/>
      <c r="O48" s="393"/>
    </row>
    <row r="49" spans="1:15" ht="25.5" x14ac:dyDescent="0.25">
      <c r="B49" s="423" t="s">
        <v>2448</v>
      </c>
      <c r="C49" s="424"/>
      <c r="D49" s="425"/>
      <c r="H49" s="398" t="s">
        <v>2449</v>
      </c>
      <c r="L49" s="393"/>
      <c r="M49" s="393"/>
      <c r="N49" s="393"/>
      <c r="O49" s="393"/>
    </row>
    <row r="50" spans="1:15" ht="15" x14ac:dyDescent="0.25">
      <c r="C50" s="397" t="str">
        <f>IF(LEN(C49)&gt;200,"Please restrict the description to 200 characters","")</f>
        <v/>
      </c>
      <c r="H50" s="398" t="s">
        <v>2450</v>
      </c>
      <c r="L50" s="393"/>
      <c r="M50" s="393"/>
      <c r="N50" s="393"/>
      <c r="O50" s="393"/>
    </row>
    <row r="51" spans="1:15" ht="15" x14ac:dyDescent="0.25">
      <c r="A51" s="404"/>
      <c r="B51" s="426" t="s">
        <v>2451</v>
      </c>
      <c r="C51" s="427"/>
      <c r="H51" s="398" t="s">
        <v>2452</v>
      </c>
      <c r="L51" s="393"/>
      <c r="M51" s="393"/>
      <c r="N51" s="393"/>
      <c r="O51" s="393"/>
    </row>
    <row r="52" spans="1:15" ht="13.5" customHeight="1" x14ac:dyDescent="0.25">
      <c r="H52" s="398" t="s">
        <v>2453</v>
      </c>
      <c r="L52" s="393"/>
      <c r="M52" s="393"/>
      <c r="N52" s="393"/>
      <c r="O52" s="393"/>
    </row>
    <row r="53" spans="1:15" ht="15" x14ac:dyDescent="0.25">
      <c r="B53" s="405" t="s">
        <v>2454</v>
      </c>
      <c r="C53" s="407" t="e">
        <f>"EN"&amp;VLOOKUP($C$45,$H$13:$I$18,2,0)</f>
        <v>#N/A</v>
      </c>
      <c r="H53" s="398" t="s">
        <v>2455</v>
      </c>
      <c r="L53" s="393"/>
      <c r="M53" s="393"/>
      <c r="N53" s="393"/>
      <c r="O53" s="393"/>
    </row>
    <row r="54" spans="1:15" ht="25.5" x14ac:dyDescent="0.25">
      <c r="B54" s="405" t="s">
        <v>2456</v>
      </c>
      <c r="C54" s="428" t="str">
        <f>"Verified End Use: "&amp;$C$45&amp;"; Verified through : "&amp;C48&amp;" by "&amp;$C$47&amp;" on "&amp;TEXT($C$46,"dd-mmm-yy")&amp;"; Description: "&amp;C49</f>
        <v xml:space="preserve">Verified End Use: ; Verified through :  by  on 00-Jan-00; Description: </v>
      </c>
      <c r="H54" s="398" t="s">
        <v>2457</v>
      </c>
      <c r="L54" s="393"/>
      <c r="M54" s="393"/>
      <c r="N54" s="393"/>
      <c r="O54" s="393"/>
    </row>
    <row r="55" spans="1:15" ht="15" x14ac:dyDescent="0.25">
      <c r="B55" s="405" t="s">
        <v>2458</v>
      </c>
      <c r="C55" s="428" t="s">
        <v>2459</v>
      </c>
      <c r="H55" s="398" t="s">
        <v>2460</v>
      </c>
      <c r="L55" s="393"/>
      <c r="M55" s="393"/>
      <c r="N55" s="393"/>
      <c r="O55" s="393"/>
    </row>
    <row r="56" spans="1:15" ht="15" x14ac:dyDescent="0.25">
      <c r="C56" s="393"/>
      <c r="H56" s="398" t="s">
        <v>2399</v>
      </c>
      <c r="L56" s="393"/>
      <c r="M56" s="393"/>
      <c r="N56" s="393"/>
      <c r="O56" s="393"/>
    </row>
    <row r="57" spans="1:15" ht="15" x14ac:dyDescent="0.25">
      <c r="H57" s="398" t="s">
        <v>2461</v>
      </c>
      <c r="L57" s="393"/>
      <c r="M57" s="393"/>
      <c r="N57" s="393"/>
      <c r="O57" s="393"/>
    </row>
    <row r="58" spans="1:15" ht="15" x14ac:dyDescent="0.25">
      <c r="B58" s="396" t="s">
        <v>496</v>
      </c>
      <c r="C58" s="429"/>
      <c r="H58" s="398" t="s">
        <v>2462</v>
      </c>
      <c r="L58" s="393"/>
      <c r="M58" s="393"/>
      <c r="N58" s="393"/>
      <c r="O58" s="393"/>
    </row>
    <row r="59" spans="1:15" ht="15" x14ac:dyDescent="0.25">
      <c r="B59" s="396" t="s">
        <v>2463</v>
      </c>
      <c r="C59" s="430"/>
      <c r="H59" s="398" t="s">
        <v>2464</v>
      </c>
      <c r="L59" s="393"/>
      <c r="M59" s="393"/>
      <c r="N59" s="393"/>
      <c r="O59" s="393"/>
    </row>
    <row r="60" spans="1:15" ht="15" x14ac:dyDescent="0.25">
      <c r="B60" s="396" t="s">
        <v>494</v>
      </c>
      <c r="C60" s="431">
        <f ca="1">TODAY()</f>
        <v>44516</v>
      </c>
      <c r="H60" s="398" t="s">
        <v>2465</v>
      </c>
      <c r="L60" s="393"/>
      <c r="M60" s="393"/>
      <c r="N60" s="393"/>
      <c r="O60" s="393"/>
    </row>
    <row r="61" spans="1:15" ht="15" x14ac:dyDescent="0.25">
      <c r="H61" s="398" t="s">
        <v>2466</v>
      </c>
      <c r="L61" s="393"/>
      <c r="M61" s="393"/>
      <c r="N61" s="393"/>
      <c r="O61" s="393"/>
    </row>
    <row r="62" spans="1:15" ht="15" x14ac:dyDescent="0.25">
      <c r="B62" s="396" t="s">
        <v>2467</v>
      </c>
      <c r="H62" s="398" t="s">
        <v>2468</v>
      </c>
      <c r="L62" s="393"/>
      <c r="M62" s="393"/>
      <c r="N62" s="393"/>
      <c r="O62" s="393"/>
    </row>
    <row r="63" spans="1:15" ht="15" x14ac:dyDescent="0.25">
      <c r="B63" s="396" t="s">
        <v>2469</v>
      </c>
      <c r="H63" s="398" t="s">
        <v>2470</v>
      </c>
      <c r="L63" s="393"/>
      <c r="M63" s="393"/>
      <c r="N63" s="393"/>
      <c r="O63" s="393"/>
    </row>
    <row r="64" spans="1:15" ht="15" x14ac:dyDescent="0.25">
      <c r="B64" s="396" t="s">
        <v>2471</v>
      </c>
      <c r="H64" s="398" t="s">
        <v>2472</v>
      </c>
      <c r="L64" s="393"/>
      <c r="M64" s="393"/>
      <c r="N64" s="393"/>
      <c r="O64" s="393"/>
    </row>
    <row r="65" spans="8:15" ht="15" x14ac:dyDescent="0.25">
      <c r="H65" s="398" t="s">
        <v>2473</v>
      </c>
      <c r="L65" s="393"/>
      <c r="M65" s="393"/>
      <c r="N65" s="393"/>
      <c r="O65" s="393"/>
    </row>
    <row r="66" spans="8:15" ht="15" x14ac:dyDescent="0.25">
      <c r="H66" s="398" t="s">
        <v>2474</v>
      </c>
      <c r="L66" s="393"/>
      <c r="M66" s="393"/>
      <c r="N66" s="393"/>
      <c r="O66" s="393"/>
    </row>
    <row r="67" spans="8:15" ht="15" hidden="1" x14ac:dyDescent="0.25">
      <c r="L67" s="393"/>
      <c r="M67" s="393"/>
      <c r="N67" s="393"/>
      <c r="O67" s="393"/>
    </row>
    <row r="68" spans="8:15" ht="15" hidden="1" x14ac:dyDescent="0.25">
      <c r="L68" s="393"/>
      <c r="M68" s="393"/>
      <c r="N68" s="393"/>
      <c r="O68" s="393"/>
    </row>
    <row r="69" spans="8:15" ht="15" hidden="1" x14ac:dyDescent="0.25">
      <c r="L69" s="393"/>
      <c r="M69" s="393"/>
      <c r="N69" s="393"/>
      <c r="O69" s="393"/>
    </row>
    <row r="70" spans="8:15" ht="15" hidden="1" x14ac:dyDescent="0.25">
      <c r="L70" s="393"/>
      <c r="M70" s="393"/>
      <c r="N70" s="393"/>
      <c r="O70" s="393"/>
    </row>
    <row r="71" spans="8:15" ht="15" hidden="1" x14ac:dyDescent="0.25">
      <c r="L71" s="393"/>
      <c r="M71" s="393"/>
      <c r="N71" s="393"/>
      <c r="O71" s="393"/>
    </row>
    <row r="72" spans="8:15" ht="15" hidden="1" x14ac:dyDescent="0.25">
      <c r="L72" s="393"/>
      <c r="M72" s="393"/>
      <c r="N72" s="393"/>
      <c r="O72" s="393"/>
    </row>
    <row r="73" spans="8:15" ht="15" hidden="1" x14ac:dyDescent="0.25">
      <c r="L73" s="393"/>
      <c r="M73" s="393"/>
      <c r="N73" s="393"/>
      <c r="O73" s="393"/>
    </row>
    <row r="74" spans="8:15" ht="15" hidden="1" x14ac:dyDescent="0.25">
      <c r="L74" s="393"/>
      <c r="M74" s="393"/>
      <c r="N74" s="393"/>
      <c r="O74" s="393"/>
    </row>
    <row r="75" spans="8:15" ht="15" hidden="1" x14ac:dyDescent="0.25">
      <c r="L75" s="393"/>
      <c r="M75" s="393"/>
      <c r="N75" s="393"/>
      <c r="O75" s="393"/>
    </row>
    <row r="76" spans="8:15" ht="15" hidden="1" x14ac:dyDescent="0.25">
      <c r="L76" s="393"/>
      <c r="M76" s="393"/>
      <c r="N76" s="393"/>
      <c r="O76" s="393"/>
    </row>
    <row r="77" spans="8:15" ht="15" hidden="1" x14ac:dyDescent="0.25">
      <c r="L77" s="393"/>
      <c r="M77" s="393"/>
      <c r="N77" s="393"/>
      <c r="O77" s="393"/>
    </row>
    <row r="78" spans="8:15" ht="15" hidden="1" x14ac:dyDescent="0.25">
      <c r="L78" s="393"/>
      <c r="M78" s="393"/>
      <c r="N78" s="393"/>
      <c r="O78" s="393"/>
    </row>
    <row r="79" spans="8:15" ht="15" hidden="1" x14ac:dyDescent="0.25">
      <c r="L79" s="393"/>
      <c r="M79" s="393"/>
      <c r="N79" s="393"/>
      <c r="O79" s="393"/>
    </row>
    <row r="80" spans="8:15" ht="15" hidden="1" x14ac:dyDescent="0.25">
      <c r="L80" s="393"/>
      <c r="M80" s="393"/>
      <c r="N80" s="393"/>
      <c r="O80" s="393"/>
    </row>
    <row r="81" spans="12:15" ht="15" hidden="1" x14ac:dyDescent="0.25">
      <c r="L81" s="393"/>
      <c r="M81" s="393"/>
      <c r="N81" s="393"/>
      <c r="O81" s="393"/>
    </row>
    <row r="82" spans="12:15" ht="15" hidden="1" x14ac:dyDescent="0.25">
      <c r="L82" s="393"/>
      <c r="M82" s="393"/>
      <c r="N82" s="393"/>
      <c r="O82" s="393"/>
    </row>
    <row r="83" spans="12:15" ht="15" hidden="1" x14ac:dyDescent="0.25">
      <c r="L83" s="393"/>
      <c r="M83" s="393"/>
      <c r="N83" s="393"/>
      <c r="O83" s="393"/>
    </row>
    <row r="84" spans="12:15" ht="15" hidden="1" x14ac:dyDescent="0.25">
      <c r="L84" s="393"/>
      <c r="M84" s="393"/>
      <c r="N84" s="393"/>
      <c r="O84" s="393"/>
    </row>
    <row r="85" spans="12:15" ht="15" hidden="1" x14ac:dyDescent="0.25">
      <c r="L85" s="393"/>
      <c r="M85" s="393"/>
      <c r="N85" s="393"/>
      <c r="O85" s="393"/>
    </row>
    <row r="86" spans="12:15" ht="15" hidden="1" x14ac:dyDescent="0.25">
      <c r="L86" s="393"/>
      <c r="M86" s="393"/>
      <c r="N86" s="393"/>
      <c r="O86" s="393"/>
    </row>
    <row r="87" spans="12:15" ht="15" hidden="1" x14ac:dyDescent="0.25">
      <c r="L87" s="393"/>
      <c r="M87" s="393"/>
      <c r="N87" s="393"/>
      <c r="O87" s="393"/>
    </row>
    <row r="88" spans="12:15" ht="15" hidden="1" x14ac:dyDescent="0.25">
      <c r="L88" s="393"/>
      <c r="M88" s="393"/>
      <c r="N88" s="393"/>
      <c r="O88" s="393"/>
    </row>
    <row r="89" spans="12:15" ht="15" hidden="1" x14ac:dyDescent="0.25">
      <c r="L89" s="393"/>
      <c r="M89" s="393"/>
      <c r="N89" s="393"/>
      <c r="O89" s="393"/>
    </row>
    <row r="90" spans="12:15" ht="15" hidden="1" x14ac:dyDescent="0.25">
      <c r="L90" s="393"/>
      <c r="M90" s="393"/>
      <c r="N90" s="393"/>
      <c r="O90" s="393"/>
    </row>
    <row r="91" spans="12:15" ht="15" hidden="1" x14ac:dyDescent="0.25">
      <c r="L91" s="393"/>
      <c r="M91" s="393"/>
      <c r="N91" s="393"/>
      <c r="O91" s="393"/>
    </row>
    <row r="92" spans="12:15" ht="15" hidden="1" x14ac:dyDescent="0.25">
      <c r="L92" s="393"/>
      <c r="M92" s="393"/>
      <c r="N92" s="393"/>
      <c r="O92" s="393"/>
    </row>
    <row r="93" spans="12:15" ht="15" hidden="1" x14ac:dyDescent="0.25">
      <c r="L93" s="393"/>
      <c r="M93" s="393"/>
      <c r="N93" s="393"/>
      <c r="O93" s="393"/>
    </row>
    <row r="94" spans="12:15" ht="15" hidden="1" x14ac:dyDescent="0.25">
      <c r="L94" s="393"/>
      <c r="M94" s="393"/>
      <c r="N94" s="393"/>
      <c r="O94" s="393"/>
    </row>
    <row r="95" spans="12:15" ht="15" hidden="1" x14ac:dyDescent="0.25">
      <c r="L95" s="393"/>
      <c r="M95" s="393"/>
      <c r="N95" s="393"/>
      <c r="O95" s="393"/>
    </row>
    <row r="96" spans="12:15" ht="15" hidden="1" x14ac:dyDescent="0.25">
      <c r="L96" s="393"/>
      <c r="M96" s="393"/>
      <c r="N96" s="393"/>
      <c r="O96" s="393"/>
    </row>
    <row r="97" spans="12:15" ht="15" hidden="1" x14ac:dyDescent="0.25">
      <c r="L97" s="393"/>
      <c r="M97" s="393"/>
      <c r="N97" s="393"/>
      <c r="O97" s="393"/>
    </row>
    <row r="98" spans="12:15" ht="15" hidden="1" x14ac:dyDescent="0.25">
      <c r="L98" s="393"/>
      <c r="M98" s="393"/>
      <c r="N98" s="393"/>
      <c r="O98" s="393"/>
    </row>
    <row r="99" spans="12:15" ht="15" hidden="1" x14ac:dyDescent="0.25">
      <c r="L99" s="393"/>
      <c r="M99" s="393"/>
      <c r="N99" s="393"/>
      <c r="O99" s="393"/>
    </row>
    <row r="100" spans="12:15" ht="15" hidden="1" x14ac:dyDescent="0.25">
      <c r="L100" s="393"/>
      <c r="M100" s="393"/>
      <c r="N100" s="393"/>
      <c r="O100" s="393"/>
    </row>
    <row r="101" spans="12:15" ht="15" hidden="1" x14ac:dyDescent="0.25">
      <c r="L101" s="393"/>
      <c r="M101" s="393"/>
      <c r="N101" s="393"/>
      <c r="O101" s="393"/>
    </row>
    <row r="102" spans="12:15" ht="15" hidden="1" x14ac:dyDescent="0.25">
      <c r="L102" s="393"/>
      <c r="M102" s="393"/>
      <c r="N102" s="393"/>
      <c r="O102" s="393"/>
    </row>
    <row r="103" spans="12:15" ht="15" hidden="1" x14ac:dyDescent="0.25">
      <c r="L103" s="393"/>
      <c r="M103" s="393"/>
      <c r="N103" s="393"/>
      <c r="O103" s="393"/>
    </row>
    <row r="104" spans="12:15" ht="15" hidden="1" x14ac:dyDescent="0.25">
      <c r="L104" s="393"/>
      <c r="M104" s="393"/>
      <c r="N104" s="393"/>
      <c r="O104" s="393"/>
    </row>
    <row r="105" spans="12:15" ht="15" hidden="1" x14ac:dyDescent="0.25">
      <c r="L105" s="393"/>
      <c r="M105" s="393"/>
      <c r="N105" s="393"/>
      <c r="O105" s="393"/>
    </row>
    <row r="106" spans="12:15" ht="15" hidden="1" x14ac:dyDescent="0.25">
      <c r="L106" s="393"/>
      <c r="M106" s="393"/>
      <c r="N106" s="393"/>
      <c r="O106" s="393"/>
    </row>
    <row r="107" spans="12:15" ht="15" hidden="1" x14ac:dyDescent="0.25">
      <c r="L107" s="393"/>
      <c r="M107" s="393"/>
      <c r="N107" s="393"/>
      <c r="O107" s="393"/>
    </row>
    <row r="108" spans="12:15" ht="15" hidden="1" x14ac:dyDescent="0.25">
      <c r="L108" s="393"/>
      <c r="M108" s="393"/>
      <c r="N108" s="393"/>
      <c r="O108" s="393"/>
    </row>
    <row r="109" spans="12:15" ht="15" hidden="1" x14ac:dyDescent="0.25">
      <c r="L109" s="393"/>
      <c r="M109" s="393"/>
      <c r="N109" s="393"/>
      <c r="O109" s="393"/>
    </row>
    <row r="110" spans="12:15" ht="15" hidden="1" x14ac:dyDescent="0.25">
      <c r="L110" s="393"/>
      <c r="M110" s="393"/>
      <c r="N110" s="393"/>
      <c r="O110" s="393"/>
    </row>
    <row r="111" spans="12:15" ht="15" hidden="1" x14ac:dyDescent="0.25">
      <c r="L111" s="393"/>
      <c r="M111" s="393"/>
      <c r="N111" s="393"/>
      <c r="O111" s="393"/>
    </row>
    <row r="112" spans="12:15" ht="15" hidden="1" x14ac:dyDescent="0.25">
      <c r="L112" s="393"/>
      <c r="M112" s="393"/>
      <c r="N112" s="393"/>
      <c r="O112" s="393"/>
    </row>
    <row r="113" spans="12:15" ht="15" hidden="1" x14ac:dyDescent="0.25">
      <c r="L113" s="393"/>
      <c r="M113" s="393"/>
      <c r="N113" s="393"/>
      <c r="O113" s="393"/>
    </row>
    <row r="114" spans="12:15" ht="15" hidden="1" x14ac:dyDescent="0.25">
      <c r="L114" s="393"/>
      <c r="M114" s="393"/>
      <c r="N114" s="393"/>
      <c r="O114" s="393"/>
    </row>
    <row r="115" spans="12:15" ht="15" hidden="1" x14ac:dyDescent="0.25">
      <c r="L115" s="393"/>
      <c r="M115" s="393"/>
      <c r="N115" s="393"/>
      <c r="O115" s="393"/>
    </row>
    <row r="116" spans="12:15" ht="15" hidden="1" x14ac:dyDescent="0.25">
      <c r="L116" s="393"/>
      <c r="M116" s="393"/>
      <c r="N116" s="393"/>
      <c r="O116" s="393"/>
    </row>
    <row r="117" spans="12:15" ht="15" hidden="1" x14ac:dyDescent="0.25">
      <c r="L117" s="393"/>
      <c r="M117" s="393"/>
      <c r="N117" s="393"/>
      <c r="O117" s="393"/>
    </row>
    <row r="118" spans="12:15" ht="15" hidden="1" x14ac:dyDescent="0.25">
      <c r="L118" s="393"/>
      <c r="M118" s="393"/>
      <c r="N118" s="393"/>
      <c r="O118" s="393"/>
    </row>
    <row r="119" spans="12:15" ht="15" hidden="1" x14ac:dyDescent="0.25">
      <c r="L119" s="393"/>
      <c r="M119" s="393"/>
      <c r="N119" s="393"/>
      <c r="O119" s="393"/>
    </row>
    <row r="120" spans="12:15" ht="15" hidden="1" x14ac:dyDescent="0.25">
      <c r="L120" s="393"/>
      <c r="M120" s="393"/>
      <c r="N120" s="393"/>
      <c r="O120" s="393"/>
    </row>
    <row r="121" spans="12:15" ht="15" hidden="1" x14ac:dyDescent="0.25">
      <c r="L121" s="393"/>
      <c r="M121" s="393"/>
      <c r="N121" s="393"/>
      <c r="O121" s="393"/>
    </row>
    <row r="122" spans="12:15" ht="15" hidden="1" x14ac:dyDescent="0.25">
      <c r="L122" s="393"/>
      <c r="M122" s="393"/>
      <c r="N122" s="393"/>
      <c r="O122" s="393"/>
    </row>
    <row r="123" spans="12:15" ht="15" hidden="1" x14ac:dyDescent="0.25">
      <c r="L123" s="393"/>
      <c r="M123" s="393"/>
      <c r="N123" s="393"/>
      <c r="O123" s="393"/>
    </row>
    <row r="124" spans="12:15" ht="15" hidden="1" x14ac:dyDescent="0.25">
      <c r="L124" s="393"/>
      <c r="M124" s="393"/>
      <c r="N124" s="393"/>
      <c r="O124" s="393"/>
    </row>
    <row r="125" spans="12:15" ht="15" hidden="1" x14ac:dyDescent="0.25">
      <c r="L125" s="393"/>
      <c r="M125" s="393"/>
      <c r="N125" s="393"/>
      <c r="O125" s="393"/>
    </row>
    <row r="126" spans="12:15" ht="15" hidden="1" x14ac:dyDescent="0.25">
      <c r="L126" s="393"/>
      <c r="M126" s="393"/>
      <c r="N126" s="393"/>
      <c r="O126" s="393"/>
    </row>
    <row r="127" spans="12:15" ht="15" hidden="1" x14ac:dyDescent="0.25">
      <c r="L127" s="393"/>
      <c r="M127" s="393"/>
      <c r="N127" s="393"/>
      <c r="O127" s="393"/>
    </row>
    <row r="128" spans="12:15" ht="15" hidden="1" x14ac:dyDescent="0.25">
      <c r="L128" s="393"/>
      <c r="M128" s="393"/>
      <c r="N128" s="393"/>
      <c r="O128" s="393"/>
    </row>
    <row r="129" spans="12:15" ht="15" hidden="1" x14ac:dyDescent="0.25">
      <c r="L129" s="393"/>
      <c r="M129" s="393"/>
      <c r="N129" s="393"/>
      <c r="O129" s="393"/>
    </row>
    <row r="130" spans="12:15" ht="15" hidden="1" x14ac:dyDescent="0.25">
      <c r="L130" s="393"/>
      <c r="M130" s="393"/>
      <c r="N130" s="393"/>
      <c r="O130" s="393"/>
    </row>
    <row r="131" spans="12:15" ht="15" hidden="1" x14ac:dyDescent="0.25">
      <c r="L131" s="393"/>
      <c r="M131" s="393"/>
      <c r="N131" s="393"/>
      <c r="O131" s="393"/>
    </row>
    <row r="132" spans="12:15" ht="15" hidden="1" x14ac:dyDescent="0.25">
      <c r="L132" s="393"/>
      <c r="M132" s="393"/>
      <c r="N132" s="393"/>
      <c r="O132" s="393"/>
    </row>
    <row r="133" spans="12:15" ht="15" hidden="1" x14ac:dyDescent="0.25">
      <c r="L133" s="393"/>
      <c r="M133" s="393"/>
      <c r="N133" s="393"/>
      <c r="O133" s="393"/>
    </row>
    <row r="134" spans="12:15" ht="15" hidden="1" x14ac:dyDescent="0.25">
      <c r="L134" s="393"/>
      <c r="M134" s="393"/>
      <c r="N134" s="393"/>
      <c r="O134" s="393"/>
    </row>
    <row r="135" spans="12:15" ht="15" hidden="1" x14ac:dyDescent="0.25">
      <c r="L135" s="393"/>
      <c r="M135" s="393"/>
      <c r="N135" s="393"/>
      <c r="O135" s="393"/>
    </row>
    <row r="136" spans="12:15" ht="15" hidden="1" x14ac:dyDescent="0.25">
      <c r="L136" s="393"/>
      <c r="M136" s="393"/>
      <c r="N136" s="393"/>
      <c r="O136" s="393"/>
    </row>
    <row r="137" spans="12:15" ht="15" hidden="1" x14ac:dyDescent="0.25">
      <c r="L137" s="393"/>
      <c r="M137" s="393"/>
      <c r="N137" s="393"/>
      <c r="O137" s="393"/>
    </row>
    <row r="138" spans="12:15" ht="15" hidden="1" x14ac:dyDescent="0.25">
      <c r="L138" s="393"/>
      <c r="M138" s="393"/>
      <c r="N138" s="393"/>
      <c r="O138" s="393"/>
    </row>
    <row r="139" spans="12:15" ht="15" hidden="1" x14ac:dyDescent="0.25">
      <c r="L139" s="393"/>
      <c r="M139" s="393"/>
      <c r="N139" s="393"/>
      <c r="O139" s="393"/>
    </row>
    <row r="140" spans="12:15" ht="15" hidden="1" x14ac:dyDescent="0.25">
      <c r="L140" s="393"/>
      <c r="M140" s="393"/>
      <c r="N140" s="393"/>
      <c r="O140" s="393"/>
    </row>
    <row r="141" spans="12:15" ht="15" hidden="1" x14ac:dyDescent="0.25">
      <c r="L141" s="393"/>
      <c r="M141" s="393"/>
      <c r="N141" s="393"/>
      <c r="O141" s="393"/>
    </row>
    <row r="142" spans="12:15" ht="15" hidden="1" x14ac:dyDescent="0.25">
      <c r="L142" s="393"/>
      <c r="M142" s="393"/>
      <c r="N142" s="393"/>
      <c r="O142" s="393"/>
    </row>
    <row r="143" spans="12:15" ht="15" hidden="1" x14ac:dyDescent="0.25">
      <c r="L143" s="393"/>
      <c r="M143" s="393"/>
      <c r="N143" s="393"/>
      <c r="O143" s="393"/>
    </row>
    <row r="144" spans="12:15" ht="15" hidden="1" x14ac:dyDescent="0.25">
      <c r="L144" s="393"/>
      <c r="M144" s="393"/>
      <c r="N144" s="393"/>
      <c r="O144" s="393"/>
    </row>
    <row r="145" spans="12:15" ht="15" hidden="1" x14ac:dyDescent="0.25">
      <c r="L145" s="393"/>
      <c r="M145" s="393"/>
      <c r="N145" s="393"/>
      <c r="O145" s="393"/>
    </row>
    <row r="146" spans="12:15" ht="15" hidden="1" x14ac:dyDescent="0.25">
      <c r="L146" s="393"/>
      <c r="M146" s="393"/>
      <c r="N146" s="393"/>
      <c r="O146" s="393"/>
    </row>
    <row r="147" spans="12:15" ht="15" hidden="1" x14ac:dyDescent="0.25">
      <c r="L147" s="393"/>
      <c r="M147" s="393"/>
      <c r="N147" s="393"/>
      <c r="O147" s="393"/>
    </row>
    <row r="148" spans="12:15" ht="15" hidden="1" x14ac:dyDescent="0.25">
      <c r="L148" s="393"/>
      <c r="M148" s="393"/>
      <c r="N148" s="393"/>
      <c r="O148" s="393"/>
    </row>
    <row r="149" spans="12:15" ht="15" hidden="1" x14ac:dyDescent="0.25">
      <c r="L149" s="393"/>
      <c r="M149" s="393"/>
      <c r="N149" s="393"/>
      <c r="O149" s="393"/>
    </row>
    <row r="150" spans="12:15" ht="15" hidden="1" x14ac:dyDescent="0.25">
      <c r="L150" s="393"/>
      <c r="M150" s="393"/>
      <c r="N150" s="393"/>
      <c r="O150" s="393"/>
    </row>
    <row r="151" spans="12:15" ht="15" hidden="1" x14ac:dyDescent="0.25">
      <c r="L151" s="393"/>
      <c r="M151" s="393"/>
      <c r="N151" s="393"/>
      <c r="O151" s="393"/>
    </row>
    <row r="152" spans="12:15" ht="15" hidden="1" x14ac:dyDescent="0.25">
      <c r="L152" s="393"/>
      <c r="M152" s="393"/>
      <c r="N152" s="393"/>
      <c r="O152" s="393"/>
    </row>
    <row r="153" spans="12:15" ht="15" hidden="1" x14ac:dyDescent="0.25">
      <c r="L153" s="393"/>
      <c r="M153" s="393"/>
      <c r="N153" s="393"/>
      <c r="O153" s="393"/>
    </row>
    <row r="154" spans="12:15" ht="15" hidden="1" x14ac:dyDescent="0.25">
      <c r="L154" s="393"/>
      <c r="M154" s="393"/>
      <c r="N154" s="393"/>
      <c r="O154" s="393"/>
    </row>
    <row r="155" spans="12:15" ht="15" hidden="1" x14ac:dyDescent="0.25">
      <c r="L155" s="393"/>
      <c r="M155" s="393"/>
      <c r="N155" s="393"/>
      <c r="O155" s="393"/>
    </row>
    <row r="156" spans="12:15" ht="15" hidden="1" x14ac:dyDescent="0.25">
      <c r="L156" s="393"/>
      <c r="M156" s="393"/>
      <c r="N156" s="393"/>
      <c r="O156" s="393"/>
    </row>
    <row r="157" spans="12:15" ht="15" hidden="1" x14ac:dyDescent="0.25">
      <c r="L157" s="393"/>
      <c r="M157" s="393"/>
      <c r="N157" s="393"/>
      <c r="O157" s="393"/>
    </row>
    <row r="158" spans="12:15" ht="15" hidden="1" x14ac:dyDescent="0.25">
      <c r="L158" s="393"/>
      <c r="M158" s="393"/>
      <c r="N158" s="393"/>
      <c r="O158" s="393"/>
    </row>
    <row r="159" spans="12:15" ht="15" hidden="1" x14ac:dyDescent="0.25">
      <c r="L159" s="393"/>
      <c r="M159" s="393"/>
      <c r="N159" s="393"/>
      <c r="O159" s="393"/>
    </row>
    <row r="160" spans="12:15" ht="15" hidden="1" x14ac:dyDescent="0.25">
      <c r="L160" s="393"/>
      <c r="M160" s="393"/>
      <c r="N160" s="393"/>
      <c r="O160" s="393"/>
    </row>
    <row r="161" spans="12:15" ht="15" hidden="1" x14ac:dyDescent="0.25">
      <c r="L161" s="393"/>
      <c r="M161" s="393"/>
      <c r="N161" s="393"/>
      <c r="O161" s="393"/>
    </row>
    <row r="162" spans="12:15" ht="15" hidden="1" x14ac:dyDescent="0.25">
      <c r="L162" s="393"/>
      <c r="M162" s="393"/>
      <c r="N162" s="393"/>
      <c r="O162" s="393"/>
    </row>
    <row r="163" spans="12:15" ht="15" hidden="1" x14ac:dyDescent="0.25">
      <c r="L163" s="393"/>
      <c r="M163" s="393"/>
      <c r="N163" s="393"/>
      <c r="O163" s="393"/>
    </row>
    <row r="164" spans="12:15" ht="15" hidden="1" x14ac:dyDescent="0.25">
      <c r="L164" s="393"/>
      <c r="M164" s="393"/>
      <c r="N164" s="393"/>
      <c r="O164" s="393"/>
    </row>
    <row r="165" spans="12:15" ht="15" hidden="1" x14ac:dyDescent="0.25">
      <c r="L165" s="393"/>
      <c r="M165" s="393"/>
      <c r="N165" s="393"/>
      <c r="O165" s="393"/>
    </row>
    <row r="166" spans="12:15" ht="15" hidden="1" x14ac:dyDescent="0.25">
      <c r="L166" s="393"/>
      <c r="M166" s="393"/>
      <c r="N166" s="393"/>
      <c r="O166" s="393"/>
    </row>
    <row r="167" spans="12:15" ht="15" hidden="1" x14ac:dyDescent="0.25">
      <c r="L167" s="393"/>
      <c r="M167" s="393"/>
      <c r="N167" s="393"/>
      <c r="O167" s="393"/>
    </row>
    <row r="168" spans="12:15" ht="15" hidden="1" x14ac:dyDescent="0.25">
      <c r="L168" s="393"/>
      <c r="M168" s="393"/>
      <c r="N168" s="393"/>
      <c r="O168" s="393"/>
    </row>
    <row r="169" spans="12:15" ht="15" hidden="1" x14ac:dyDescent="0.25">
      <c r="L169" s="393"/>
      <c r="M169" s="393"/>
      <c r="N169" s="393"/>
      <c r="O169" s="393"/>
    </row>
    <row r="170" spans="12:15" ht="15" hidden="1" x14ac:dyDescent="0.25">
      <c r="L170" s="393"/>
      <c r="M170" s="393"/>
      <c r="N170" s="393"/>
      <c r="O170" s="393"/>
    </row>
    <row r="171" spans="12:15" ht="15" hidden="1" x14ac:dyDescent="0.25">
      <c r="L171" s="393"/>
      <c r="M171" s="393"/>
      <c r="N171" s="393"/>
      <c r="O171" s="393"/>
    </row>
    <row r="172" spans="12:15" ht="15" hidden="1" x14ac:dyDescent="0.25">
      <c r="L172" s="393"/>
      <c r="M172" s="393"/>
      <c r="N172" s="393"/>
      <c r="O172" s="393"/>
    </row>
    <row r="173" spans="12:15" ht="15" hidden="1" x14ac:dyDescent="0.25">
      <c r="L173" s="393"/>
      <c r="M173" s="393"/>
      <c r="N173" s="393"/>
      <c r="O173" s="393"/>
    </row>
    <row r="174" spans="12:15" ht="15" hidden="1" x14ac:dyDescent="0.25">
      <c r="L174" s="393"/>
      <c r="M174" s="393"/>
      <c r="N174" s="393"/>
      <c r="O174" s="393"/>
    </row>
    <row r="175" spans="12:15" ht="15" hidden="1" x14ac:dyDescent="0.25">
      <c r="L175" s="393"/>
      <c r="M175" s="393"/>
      <c r="N175" s="393"/>
      <c r="O175" s="393"/>
    </row>
    <row r="176" spans="12:15" ht="15" hidden="1" x14ac:dyDescent="0.25">
      <c r="L176" s="393"/>
      <c r="M176" s="393"/>
      <c r="N176" s="393"/>
      <c r="O176" s="393"/>
    </row>
    <row r="177" spans="12:15" ht="15" hidden="1" x14ac:dyDescent="0.25">
      <c r="L177" s="393"/>
      <c r="M177" s="393"/>
      <c r="N177" s="393"/>
      <c r="O177" s="393"/>
    </row>
    <row r="178" spans="12:15" ht="15" hidden="1" x14ac:dyDescent="0.25">
      <c r="L178" s="393"/>
      <c r="M178" s="393"/>
      <c r="N178" s="393"/>
      <c r="O178" s="393"/>
    </row>
    <row r="179" spans="12:15" ht="15" hidden="1" x14ac:dyDescent="0.25">
      <c r="L179" s="393"/>
      <c r="M179" s="393"/>
      <c r="N179" s="393"/>
      <c r="O179" s="393"/>
    </row>
    <row r="180" spans="12:15" ht="15" hidden="1" x14ac:dyDescent="0.25">
      <c r="L180" s="393"/>
      <c r="M180" s="393"/>
      <c r="N180" s="393"/>
      <c r="O180" s="393"/>
    </row>
    <row r="181" spans="12:15" ht="15" hidden="1" x14ac:dyDescent="0.25">
      <c r="L181" s="393"/>
      <c r="M181" s="393"/>
      <c r="N181" s="393"/>
      <c r="O181" s="393"/>
    </row>
    <row r="182" spans="12:15" ht="15" hidden="1" x14ac:dyDescent="0.25">
      <c r="L182" s="393"/>
      <c r="M182" s="393"/>
      <c r="N182" s="393"/>
      <c r="O182" s="393"/>
    </row>
    <row r="183" spans="12:15" ht="15" hidden="1" x14ac:dyDescent="0.25">
      <c r="L183" s="393"/>
      <c r="M183" s="393"/>
      <c r="N183" s="393"/>
      <c r="O183" s="393"/>
    </row>
    <row r="184" spans="12:15" ht="15" hidden="1" x14ac:dyDescent="0.25">
      <c r="L184" s="393"/>
      <c r="M184" s="393"/>
      <c r="N184" s="393"/>
      <c r="O184" s="393"/>
    </row>
    <row r="185" spans="12:15" ht="15" hidden="1" x14ac:dyDescent="0.25">
      <c r="L185" s="393"/>
      <c r="M185" s="393"/>
      <c r="N185" s="393"/>
      <c r="O185" s="393"/>
    </row>
    <row r="186" spans="12:15" ht="15" hidden="1" x14ac:dyDescent="0.25">
      <c r="L186" s="393"/>
      <c r="M186" s="393"/>
      <c r="N186" s="393"/>
      <c r="O186" s="393"/>
    </row>
    <row r="187" spans="12:15" ht="15" hidden="1" x14ac:dyDescent="0.25">
      <c r="L187" s="393"/>
      <c r="M187" s="393"/>
      <c r="N187" s="393"/>
      <c r="O187" s="393"/>
    </row>
    <row r="188" spans="12:15" ht="15" hidden="1" x14ac:dyDescent="0.25">
      <c r="L188" s="393"/>
      <c r="M188" s="393"/>
      <c r="N188" s="393"/>
      <c r="O188" s="393"/>
    </row>
    <row r="189" spans="12:15" ht="15" hidden="1" x14ac:dyDescent="0.25">
      <c r="L189" s="393"/>
      <c r="M189" s="393"/>
      <c r="N189" s="393"/>
      <c r="O189" s="393"/>
    </row>
    <row r="190" spans="12:15" ht="15" hidden="1" x14ac:dyDescent="0.25">
      <c r="L190" s="393"/>
      <c r="M190" s="393"/>
      <c r="N190" s="393"/>
      <c r="O190" s="393"/>
    </row>
    <row r="191" spans="12:15" ht="15" hidden="1" x14ac:dyDescent="0.25">
      <c r="L191" s="393"/>
      <c r="M191" s="393"/>
      <c r="N191" s="393"/>
      <c r="O191" s="393"/>
    </row>
    <row r="192" spans="12:15" ht="15" hidden="1" x14ac:dyDescent="0.25">
      <c r="L192" s="393"/>
      <c r="M192" s="393"/>
      <c r="N192" s="393"/>
      <c r="O192" s="393"/>
    </row>
    <row r="193" spans="12:15" ht="15" hidden="1" x14ac:dyDescent="0.25">
      <c r="L193" s="393"/>
      <c r="M193" s="393"/>
      <c r="N193" s="393"/>
      <c r="O193" s="393"/>
    </row>
    <row r="194" spans="12:15" ht="15" hidden="1" x14ac:dyDescent="0.25">
      <c r="L194" s="393"/>
      <c r="M194" s="393"/>
      <c r="N194" s="393"/>
      <c r="O194" s="393"/>
    </row>
    <row r="195" spans="12:15" ht="15" hidden="1" x14ac:dyDescent="0.25">
      <c r="L195" s="393"/>
      <c r="M195" s="393"/>
      <c r="N195" s="393"/>
      <c r="O195" s="393"/>
    </row>
    <row r="196" spans="12:15" ht="15" hidden="1" x14ac:dyDescent="0.25">
      <c r="L196" s="393"/>
      <c r="M196" s="393"/>
      <c r="N196" s="393"/>
      <c r="O196" s="393"/>
    </row>
    <row r="197" spans="12:15" ht="15" hidden="1" x14ac:dyDescent="0.25">
      <c r="L197" s="393"/>
      <c r="M197" s="393"/>
      <c r="N197" s="393"/>
      <c r="O197" s="393"/>
    </row>
    <row r="198" spans="12:15" ht="15" hidden="1" x14ac:dyDescent="0.25">
      <c r="L198" s="393"/>
      <c r="M198" s="393"/>
      <c r="N198" s="393"/>
      <c r="O198" s="393"/>
    </row>
    <row r="199" spans="12:15" ht="15" hidden="1" x14ac:dyDescent="0.25">
      <c r="L199" s="393"/>
      <c r="M199" s="393"/>
      <c r="N199" s="393"/>
      <c r="O199" s="393"/>
    </row>
    <row r="200" spans="12:15" ht="15" hidden="1" x14ac:dyDescent="0.25">
      <c r="L200" s="393"/>
      <c r="M200" s="393"/>
      <c r="N200" s="393"/>
      <c r="O200" s="393"/>
    </row>
    <row r="201" spans="12:15" ht="15" hidden="1" x14ac:dyDescent="0.25">
      <c r="L201" s="393"/>
      <c r="M201" s="393"/>
      <c r="N201" s="393"/>
      <c r="O201" s="393"/>
    </row>
    <row r="202" spans="12:15" ht="15" hidden="1" x14ac:dyDescent="0.25">
      <c r="L202" s="393"/>
      <c r="M202" s="393"/>
      <c r="N202" s="393"/>
      <c r="O202" s="393"/>
    </row>
    <row r="203" spans="12:15" ht="15" hidden="1" x14ac:dyDescent="0.25">
      <c r="L203" s="393"/>
      <c r="M203" s="393"/>
      <c r="N203" s="393"/>
      <c r="O203" s="393"/>
    </row>
    <row r="204" spans="12:15" ht="15" hidden="1" x14ac:dyDescent="0.25">
      <c r="L204" s="393"/>
      <c r="M204" s="393"/>
      <c r="N204" s="393"/>
      <c r="O204" s="393"/>
    </row>
    <row r="205" spans="12:15" ht="15" hidden="1" x14ac:dyDescent="0.25">
      <c r="L205" s="393"/>
      <c r="M205" s="393"/>
      <c r="N205" s="393"/>
      <c r="O205" s="393"/>
    </row>
    <row r="206" spans="12:15" ht="15" hidden="1" x14ac:dyDescent="0.25">
      <c r="L206" s="393"/>
      <c r="M206" s="393"/>
      <c r="N206" s="393"/>
      <c r="O206" s="393"/>
    </row>
    <row r="207" spans="12:15" ht="15" hidden="1" x14ac:dyDescent="0.25">
      <c r="L207" s="393"/>
      <c r="M207" s="393"/>
      <c r="N207" s="393"/>
      <c r="O207" s="393"/>
    </row>
    <row r="208" spans="12:15" ht="15" hidden="1" x14ac:dyDescent="0.25">
      <c r="L208" s="393"/>
      <c r="M208" s="393"/>
      <c r="N208" s="393"/>
      <c r="O208" s="393"/>
    </row>
    <row r="209" spans="12:15" ht="15" hidden="1" x14ac:dyDescent="0.25">
      <c r="L209" s="393"/>
      <c r="M209" s="393"/>
      <c r="N209" s="393"/>
      <c r="O209" s="393"/>
    </row>
    <row r="210" spans="12:15" ht="15" hidden="1" x14ac:dyDescent="0.25">
      <c r="L210" s="393"/>
      <c r="M210" s="393"/>
      <c r="N210" s="393"/>
      <c r="O210" s="393"/>
    </row>
    <row r="211" spans="12:15" ht="15" hidden="1" x14ac:dyDescent="0.25">
      <c r="L211" s="393"/>
      <c r="M211" s="393"/>
      <c r="N211" s="393"/>
      <c r="O211" s="393"/>
    </row>
    <row r="212" spans="12:15" ht="15" hidden="1" x14ac:dyDescent="0.25">
      <c r="L212" s="393"/>
      <c r="M212" s="393"/>
      <c r="N212" s="393"/>
      <c r="O212" s="393"/>
    </row>
    <row r="213" spans="12:15" ht="15" hidden="1" x14ac:dyDescent="0.25">
      <c r="L213" s="393"/>
      <c r="M213" s="393"/>
      <c r="N213" s="393"/>
      <c r="O213" s="393"/>
    </row>
    <row r="214" spans="12:15" ht="15" hidden="1" x14ac:dyDescent="0.25">
      <c r="L214" s="393"/>
      <c r="M214" s="393"/>
      <c r="N214" s="393"/>
      <c r="O214" s="393"/>
    </row>
    <row r="215" spans="12:15" ht="15" hidden="1" x14ac:dyDescent="0.25">
      <c r="L215" s="393"/>
      <c r="M215" s="393"/>
      <c r="N215" s="393"/>
      <c r="O215" s="393"/>
    </row>
    <row r="216" spans="12:15" ht="15" hidden="1" x14ac:dyDescent="0.25">
      <c r="L216" s="393"/>
      <c r="M216" s="393"/>
      <c r="N216" s="393"/>
      <c r="O216" s="393"/>
    </row>
    <row r="217" spans="12:15" ht="15" hidden="1" x14ac:dyDescent="0.25">
      <c r="L217" s="393"/>
      <c r="M217" s="393"/>
      <c r="N217" s="393"/>
      <c r="O217" s="393"/>
    </row>
    <row r="218" spans="12:15" ht="15" hidden="1" x14ac:dyDescent="0.25">
      <c r="L218" s="393"/>
      <c r="M218" s="393"/>
      <c r="N218" s="393"/>
      <c r="O218" s="393"/>
    </row>
    <row r="219" spans="12:15" ht="15" hidden="1" x14ac:dyDescent="0.25">
      <c r="L219" s="393"/>
      <c r="M219" s="393"/>
      <c r="N219" s="393"/>
      <c r="O219" s="393"/>
    </row>
    <row r="220" spans="12:15" ht="15" hidden="1" x14ac:dyDescent="0.25">
      <c r="L220" s="393"/>
      <c r="M220" s="393"/>
      <c r="N220" s="393"/>
      <c r="O220" s="393"/>
    </row>
    <row r="221" spans="12:15" ht="15" hidden="1" x14ac:dyDescent="0.25">
      <c r="L221" s="393"/>
      <c r="M221" s="393"/>
      <c r="N221" s="393"/>
      <c r="O221" s="393"/>
    </row>
    <row r="222" spans="12:15" ht="15" hidden="1" x14ac:dyDescent="0.25">
      <c r="L222" s="393"/>
      <c r="M222" s="393"/>
      <c r="N222" s="393"/>
      <c r="O222" s="393"/>
    </row>
    <row r="223" spans="12:15" ht="15" hidden="1" x14ac:dyDescent="0.25">
      <c r="L223" s="393"/>
      <c r="M223" s="393"/>
      <c r="N223" s="393"/>
      <c r="O223" s="393"/>
    </row>
    <row r="224" spans="12:15" ht="15" hidden="1" x14ac:dyDescent="0.25">
      <c r="L224" s="393"/>
      <c r="M224" s="393"/>
      <c r="N224" s="393"/>
      <c r="O224" s="393"/>
    </row>
    <row r="225" spans="12:15" ht="15" hidden="1" x14ac:dyDescent="0.25">
      <c r="L225" s="393"/>
      <c r="M225" s="393"/>
      <c r="N225" s="393"/>
      <c r="O225" s="393"/>
    </row>
    <row r="226" spans="12:15" ht="15" hidden="1" x14ac:dyDescent="0.25">
      <c r="L226" s="393"/>
      <c r="M226" s="393"/>
      <c r="N226" s="393"/>
      <c r="O226" s="393"/>
    </row>
    <row r="227" spans="12:15" ht="15" hidden="1" x14ac:dyDescent="0.25">
      <c r="L227" s="393"/>
      <c r="M227" s="393"/>
      <c r="N227" s="393"/>
      <c r="O227" s="393"/>
    </row>
    <row r="228" spans="12:15" ht="15" hidden="1" x14ac:dyDescent="0.25">
      <c r="L228" s="393"/>
      <c r="M228" s="393"/>
      <c r="N228" s="393"/>
      <c r="O228" s="393"/>
    </row>
    <row r="229" spans="12:15" ht="15" hidden="1" x14ac:dyDescent="0.25">
      <c r="L229" s="393"/>
      <c r="M229" s="393"/>
      <c r="N229" s="393"/>
      <c r="O229" s="393"/>
    </row>
    <row r="230" spans="12:15" ht="15" hidden="1" x14ac:dyDescent="0.25">
      <c r="L230" s="393"/>
      <c r="M230" s="393"/>
      <c r="N230" s="393"/>
      <c r="O230" s="393"/>
    </row>
    <row r="231" spans="12:15" ht="15" hidden="1" x14ac:dyDescent="0.25">
      <c r="L231" s="393"/>
      <c r="M231" s="393"/>
      <c r="N231" s="393"/>
      <c r="O231" s="393"/>
    </row>
    <row r="232" spans="12:15" ht="15" hidden="1" x14ac:dyDescent="0.25">
      <c r="L232" s="393"/>
      <c r="M232" s="393"/>
      <c r="N232" s="393"/>
      <c r="O232" s="393"/>
    </row>
    <row r="233" spans="12:15" ht="15" hidden="1" x14ac:dyDescent="0.25">
      <c r="L233" s="393"/>
      <c r="M233" s="393"/>
      <c r="N233" s="393"/>
      <c r="O233" s="393"/>
    </row>
    <row r="234" spans="12:15" ht="15" hidden="1" x14ac:dyDescent="0.25">
      <c r="L234" s="393"/>
      <c r="M234" s="393"/>
      <c r="N234" s="393"/>
      <c r="O234" s="393"/>
    </row>
    <row r="235" spans="12:15" ht="15" hidden="1" x14ac:dyDescent="0.25">
      <c r="L235" s="393"/>
      <c r="M235" s="393"/>
      <c r="N235" s="393"/>
      <c r="O235" s="393"/>
    </row>
    <row r="236" spans="12:15" ht="15" hidden="1" x14ac:dyDescent="0.25">
      <c r="L236" s="393"/>
      <c r="M236" s="393"/>
      <c r="N236" s="393"/>
      <c r="O236" s="393"/>
    </row>
    <row r="237" spans="12:15" ht="15" hidden="1" x14ac:dyDescent="0.25">
      <c r="L237" s="393"/>
      <c r="M237" s="393"/>
      <c r="N237" s="393"/>
      <c r="O237" s="393"/>
    </row>
    <row r="238" spans="12:15" ht="15" hidden="1" x14ac:dyDescent="0.25">
      <c r="L238" s="393"/>
      <c r="M238" s="393"/>
      <c r="N238" s="393"/>
      <c r="O238" s="393"/>
    </row>
    <row r="239" spans="12:15" ht="15" hidden="1" x14ac:dyDescent="0.25">
      <c r="L239" s="393"/>
      <c r="M239" s="393"/>
      <c r="N239" s="393"/>
      <c r="O239" s="393"/>
    </row>
    <row r="240" spans="12:15" ht="15" hidden="1" x14ac:dyDescent="0.25">
      <c r="L240" s="393"/>
      <c r="M240" s="393"/>
      <c r="N240" s="393"/>
      <c r="O240" s="393"/>
    </row>
    <row r="241" spans="12:15" ht="15" hidden="1" x14ac:dyDescent="0.25">
      <c r="L241" s="393"/>
      <c r="M241" s="393"/>
      <c r="N241" s="393"/>
      <c r="O241" s="393"/>
    </row>
    <row r="242" spans="12:15" ht="15" hidden="1" x14ac:dyDescent="0.25">
      <c r="L242" s="393"/>
      <c r="M242" s="393"/>
      <c r="N242" s="393"/>
      <c r="O242" s="393"/>
    </row>
    <row r="243" spans="12:15" ht="15" hidden="1" x14ac:dyDescent="0.25">
      <c r="L243" s="393"/>
      <c r="M243" s="393"/>
      <c r="N243" s="393"/>
      <c r="O243" s="393"/>
    </row>
    <row r="244" spans="12:15" ht="15" hidden="1" x14ac:dyDescent="0.25">
      <c r="L244" s="393"/>
      <c r="M244" s="393"/>
      <c r="N244" s="393"/>
      <c r="O244" s="393"/>
    </row>
    <row r="245" spans="12:15" ht="15" hidden="1" x14ac:dyDescent="0.25">
      <c r="L245" s="393"/>
      <c r="M245" s="393"/>
      <c r="N245" s="393"/>
      <c r="O245" s="393"/>
    </row>
    <row r="246" spans="12:15" ht="15" hidden="1" x14ac:dyDescent="0.25">
      <c r="L246" s="393"/>
      <c r="M246" s="393"/>
      <c r="N246" s="393"/>
      <c r="O246" s="393"/>
    </row>
    <row r="247" spans="12:15" ht="15" hidden="1" x14ac:dyDescent="0.25">
      <c r="L247" s="393"/>
      <c r="M247" s="393"/>
      <c r="N247" s="393"/>
      <c r="O247" s="393"/>
    </row>
    <row r="248" spans="12:15" ht="15" hidden="1" x14ac:dyDescent="0.25">
      <c r="L248" s="393"/>
      <c r="M248" s="393"/>
      <c r="N248" s="393"/>
      <c r="O248" s="393"/>
    </row>
    <row r="249" spans="12:15" ht="15" hidden="1" x14ac:dyDescent="0.25">
      <c r="L249" s="393"/>
      <c r="M249" s="393"/>
      <c r="N249" s="393"/>
      <c r="O249" s="393"/>
    </row>
    <row r="250" spans="12:15" ht="15" hidden="1" x14ac:dyDescent="0.25">
      <c r="L250" s="393"/>
      <c r="M250" s="393"/>
      <c r="N250" s="393"/>
      <c r="O250" s="393"/>
    </row>
    <row r="251" spans="12:15" ht="15" hidden="1" x14ac:dyDescent="0.25">
      <c r="L251" s="393"/>
      <c r="M251" s="393"/>
      <c r="N251" s="393"/>
      <c r="O251" s="393"/>
    </row>
    <row r="252" spans="12:15" ht="15" hidden="1" x14ac:dyDescent="0.25">
      <c r="L252" s="393"/>
      <c r="M252" s="393"/>
      <c r="N252" s="393"/>
      <c r="O252" s="393"/>
    </row>
    <row r="253" spans="12:15" ht="15" hidden="1" x14ac:dyDescent="0.25">
      <c r="L253" s="393"/>
      <c r="M253" s="393"/>
      <c r="N253" s="393"/>
      <c r="O253" s="393"/>
    </row>
    <row r="254" spans="12:15" ht="15" hidden="1" x14ac:dyDescent="0.25">
      <c r="L254" s="393"/>
      <c r="M254" s="393"/>
      <c r="N254" s="393"/>
      <c r="O254" s="393"/>
    </row>
    <row r="255" spans="12:15" ht="15" hidden="1" x14ac:dyDescent="0.25">
      <c r="L255" s="393"/>
      <c r="M255" s="393"/>
      <c r="N255" s="393"/>
      <c r="O255" s="393"/>
    </row>
    <row r="256" spans="12:15" ht="15" hidden="1" x14ac:dyDescent="0.25">
      <c r="L256" s="393"/>
      <c r="M256" s="393"/>
      <c r="N256" s="393"/>
      <c r="O256" s="393"/>
    </row>
    <row r="257" spans="12:15" ht="15" hidden="1" x14ac:dyDescent="0.25">
      <c r="L257" s="393"/>
      <c r="M257" s="393"/>
      <c r="N257" s="393"/>
      <c r="O257" s="393"/>
    </row>
    <row r="258" spans="12:15" ht="15" hidden="1" x14ac:dyDescent="0.25">
      <c r="L258" s="393"/>
      <c r="M258" s="393"/>
      <c r="N258" s="393"/>
      <c r="O258" s="393"/>
    </row>
    <row r="259" spans="12:15" ht="15" hidden="1" x14ac:dyDescent="0.25">
      <c r="L259" s="393"/>
      <c r="M259" s="393"/>
      <c r="N259" s="393"/>
      <c r="O259" s="393"/>
    </row>
    <row r="260" spans="12:15" ht="15" hidden="1" x14ac:dyDescent="0.25">
      <c r="L260" s="393"/>
      <c r="M260" s="393"/>
      <c r="N260" s="393"/>
      <c r="O260" s="393"/>
    </row>
    <row r="261" spans="12:15" ht="15" hidden="1" x14ac:dyDescent="0.25">
      <c r="L261" s="393"/>
      <c r="M261" s="393"/>
      <c r="N261" s="393"/>
      <c r="O261" s="393"/>
    </row>
    <row r="262" spans="12:15" ht="15" hidden="1" x14ac:dyDescent="0.25">
      <c r="L262" s="393"/>
      <c r="M262" s="393"/>
      <c r="N262" s="393"/>
      <c r="O262" s="393"/>
    </row>
    <row r="263" spans="12:15" ht="15" hidden="1" x14ac:dyDescent="0.25">
      <c r="L263" s="393"/>
      <c r="M263" s="393"/>
      <c r="N263" s="393"/>
      <c r="O263" s="393"/>
    </row>
    <row r="264" spans="12:15" ht="15" hidden="1" x14ac:dyDescent="0.25">
      <c r="L264" s="393"/>
      <c r="M264" s="393"/>
      <c r="N264" s="393"/>
      <c r="O264" s="393"/>
    </row>
    <row r="265" spans="12:15" ht="15" hidden="1" x14ac:dyDescent="0.25">
      <c r="L265" s="393"/>
      <c r="M265" s="393"/>
      <c r="N265" s="393"/>
      <c r="O265" s="393"/>
    </row>
    <row r="266" spans="12:15" ht="15" hidden="1" x14ac:dyDescent="0.25">
      <c r="L266" s="393"/>
      <c r="M266" s="393"/>
      <c r="N266" s="393"/>
      <c r="O266" s="393"/>
    </row>
    <row r="267" spans="12:15" ht="15" hidden="1" x14ac:dyDescent="0.25">
      <c r="L267" s="393"/>
      <c r="M267" s="393"/>
      <c r="N267" s="393"/>
      <c r="O267" s="393"/>
    </row>
    <row r="268" spans="12:15" ht="15" hidden="1" x14ac:dyDescent="0.25">
      <c r="L268" s="393"/>
      <c r="M268" s="393"/>
      <c r="N268" s="393"/>
      <c r="O268" s="393"/>
    </row>
    <row r="269" spans="12:15" ht="15" hidden="1" x14ac:dyDescent="0.25">
      <c r="L269" s="393"/>
      <c r="M269" s="393"/>
      <c r="N269" s="393"/>
      <c r="O269" s="393"/>
    </row>
    <row r="270" spans="12:15" ht="15" hidden="1" x14ac:dyDescent="0.25">
      <c r="L270" s="393"/>
      <c r="M270" s="393"/>
      <c r="N270" s="393"/>
      <c r="O270" s="393"/>
    </row>
    <row r="271" spans="12:15" ht="15" hidden="1" x14ac:dyDescent="0.25">
      <c r="L271" s="393"/>
      <c r="M271" s="393"/>
      <c r="N271" s="393"/>
      <c r="O271" s="393"/>
    </row>
    <row r="272" spans="12:15" ht="15" hidden="1" x14ac:dyDescent="0.25">
      <c r="L272" s="393"/>
      <c r="M272" s="393"/>
      <c r="N272" s="393"/>
      <c r="O272" s="393"/>
    </row>
    <row r="273" spans="12:15" ht="15" hidden="1" x14ac:dyDescent="0.25">
      <c r="L273" s="393"/>
      <c r="M273" s="393"/>
      <c r="N273" s="393"/>
      <c r="O273" s="393"/>
    </row>
    <row r="274" spans="12:15" ht="15" hidden="1" x14ac:dyDescent="0.25">
      <c r="L274" s="393"/>
      <c r="M274" s="393"/>
      <c r="N274" s="393"/>
      <c r="O274" s="393"/>
    </row>
    <row r="275" spans="12:15" ht="15" hidden="1" x14ac:dyDescent="0.25">
      <c r="L275" s="393"/>
      <c r="M275" s="393"/>
      <c r="N275" s="393"/>
      <c r="O275" s="393"/>
    </row>
    <row r="276" spans="12:15" ht="15" hidden="1" x14ac:dyDescent="0.25">
      <c r="L276" s="393"/>
      <c r="M276" s="393"/>
      <c r="N276" s="393"/>
      <c r="O276" s="393"/>
    </row>
    <row r="277" spans="12:15" ht="15" hidden="1" x14ac:dyDescent="0.25">
      <c r="L277" s="393"/>
      <c r="M277" s="393"/>
      <c r="N277" s="393"/>
      <c r="O277" s="393"/>
    </row>
    <row r="278" spans="12:15" ht="15" hidden="1" x14ac:dyDescent="0.25">
      <c r="L278" s="393"/>
      <c r="M278" s="393"/>
      <c r="N278" s="393"/>
      <c r="O278" s="393"/>
    </row>
    <row r="279" spans="12:15" ht="15" hidden="1" x14ac:dyDescent="0.25">
      <c r="L279" s="393"/>
      <c r="M279" s="393"/>
      <c r="N279" s="393"/>
      <c r="O279" s="393"/>
    </row>
    <row r="280" spans="12:15" ht="15" hidden="1" x14ac:dyDescent="0.25">
      <c r="L280" s="393"/>
      <c r="M280" s="393"/>
      <c r="N280" s="393"/>
      <c r="O280" s="393"/>
    </row>
    <row r="281" spans="12:15" ht="15" hidden="1" x14ac:dyDescent="0.25">
      <c r="L281" s="393"/>
      <c r="M281" s="393"/>
      <c r="N281" s="393"/>
      <c r="O281" s="393"/>
    </row>
    <row r="282" spans="12:15" ht="15" hidden="1" x14ac:dyDescent="0.25">
      <c r="L282" s="393"/>
      <c r="M282" s="393"/>
      <c r="N282" s="393"/>
      <c r="O282" s="393"/>
    </row>
    <row r="283" spans="12:15" ht="15" hidden="1" x14ac:dyDescent="0.25">
      <c r="L283" s="393"/>
      <c r="M283" s="393"/>
      <c r="N283" s="393"/>
      <c r="O283" s="393"/>
    </row>
    <row r="284" spans="12:15" ht="15" hidden="1" x14ac:dyDescent="0.25">
      <c r="L284" s="393"/>
      <c r="M284" s="393"/>
      <c r="N284" s="393"/>
      <c r="O284" s="393"/>
    </row>
    <row r="285" spans="12:15" ht="15" hidden="1" x14ac:dyDescent="0.25">
      <c r="L285" s="393"/>
      <c r="M285" s="393"/>
      <c r="N285" s="393"/>
      <c r="O285" s="393"/>
    </row>
    <row r="286" spans="12:15" ht="15" hidden="1" x14ac:dyDescent="0.25">
      <c r="L286" s="393"/>
      <c r="M286" s="393"/>
      <c r="N286" s="393"/>
      <c r="O286" s="393"/>
    </row>
    <row r="287" spans="12:15" ht="15" hidden="1" x14ac:dyDescent="0.25">
      <c r="L287" s="393"/>
      <c r="M287" s="393"/>
      <c r="N287" s="393"/>
      <c r="O287" s="393"/>
    </row>
    <row r="288" spans="12:15" ht="15" hidden="1" x14ac:dyDescent="0.25">
      <c r="L288" s="393"/>
      <c r="M288" s="393"/>
      <c r="N288" s="393"/>
      <c r="O288" s="393"/>
    </row>
    <row r="289" spans="12:15" ht="15" hidden="1" x14ac:dyDescent="0.25">
      <c r="L289" s="393"/>
      <c r="M289" s="393"/>
      <c r="N289" s="393"/>
      <c r="O289" s="393"/>
    </row>
    <row r="290" spans="12:15" ht="15" hidden="1" x14ac:dyDescent="0.25">
      <c r="L290" s="393"/>
      <c r="M290" s="393"/>
      <c r="N290" s="393"/>
      <c r="O290" s="393"/>
    </row>
    <row r="291" spans="12:15" ht="15" hidden="1" x14ac:dyDescent="0.25">
      <c r="L291" s="393"/>
      <c r="M291" s="393"/>
      <c r="N291" s="393"/>
      <c r="O291" s="393"/>
    </row>
    <row r="292" spans="12:15" ht="15" hidden="1" x14ac:dyDescent="0.25">
      <c r="L292" s="393"/>
      <c r="M292" s="393"/>
      <c r="N292" s="393"/>
      <c r="O292" s="393"/>
    </row>
    <row r="293" spans="12:15" ht="15" hidden="1" x14ac:dyDescent="0.25">
      <c r="L293" s="393"/>
      <c r="M293" s="393"/>
      <c r="N293" s="393"/>
      <c r="O293" s="393"/>
    </row>
    <row r="294" spans="12:15" ht="15" hidden="1" x14ac:dyDescent="0.25">
      <c r="L294" s="393"/>
      <c r="M294" s="393"/>
      <c r="N294" s="393"/>
      <c r="O294" s="393"/>
    </row>
    <row r="295" spans="12:15" ht="15" hidden="1" x14ac:dyDescent="0.25">
      <c r="L295" s="393"/>
      <c r="M295" s="393"/>
      <c r="N295" s="393"/>
      <c r="O295" s="393"/>
    </row>
    <row r="296" spans="12:15" ht="15" hidden="1" x14ac:dyDescent="0.25">
      <c r="L296" s="393"/>
      <c r="M296" s="393"/>
      <c r="N296" s="393"/>
      <c r="O296" s="393"/>
    </row>
    <row r="297" spans="12:15" ht="15" hidden="1" x14ac:dyDescent="0.25">
      <c r="L297" s="393"/>
      <c r="M297" s="393"/>
      <c r="N297" s="393"/>
      <c r="O297" s="393"/>
    </row>
    <row r="298" spans="12:15" ht="15" hidden="1" x14ac:dyDescent="0.25">
      <c r="L298" s="393"/>
      <c r="M298" s="393"/>
      <c r="N298" s="393"/>
      <c r="O298" s="393"/>
    </row>
    <row r="299" spans="12:15" ht="15" hidden="1" x14ac:dyDescent="0.25">
      <c r="L299" s="393"/>
      <c r="M299" s="393"/>
      <c r="N299" s="393"/>
      <c r="O299" s="393"/>
    </row>
    <row r="300" spans="12:15" ht="15" hidden="1" x14ac:dyDescent="0.25">
      <c r="L300" s="393"/>
      <c r="M300" s="393"/>
      <c r="N300" s="393"/>
      <c r="O300" s="393"/>
    </row>
    <row r="301" spans="12:15" ht="15" hidden="1" x14ac:dyDescent="0.25">
      <c r="L301" s="393"/>
      <c r="M301" s="393"/>
      <c r="N301" s="393"/>
      <c r="O301" s="393"/>
    </row>
    <row r="302" spans="12:15" ht="15" hidden="1" x14ac:dyDescent="0.25">
      <c r="L302" s="393"/>
      <c r="M302" s="393"/>
      <c r="N302" s="393"/>
      <c r="O302" s="393"/>
    </row>
    <row r="303" spans="12:15" ht="15" hidden="1" x14ac:dyDescent="0.25">
      <c r="L303" s="393"/>
      <c r="M303" s="393"/>
      <c r="N303" s="393"/>
      <c r="O303" s="393"/>
    </row>
    <row r="304" spans="12:15" ht="15" hidden="1" x14ac:dyDescent="0.25">
      <c r="L304" s="393"/>
      <c r="M304" s="393"/>
      <c r="N304" s="393"/>
      <c r="O304" s="393"/>
    </row>
    <row r="305" spans="12:15" ht="15" hidden="1" x14ac:dyDescent="0.25">
      <c r="L305" s="393"/>
      <c r="M305" s="393"/>
      <c r="N305" s="393"/>
      <c r="O305" s="393"/>
    </row>
    <row r="306" spans="12:15" ht="15" hidden="1" x14ac:dyDescent="0.25">
      <c r="L306" s="393"/>
      <c r="M306" s="393"/>
      <c r="N306" s="393"/>
      <c r="O306" s="393"/>
    </row>
    <row r="307" spans="12:15" ht="15" hidden="1" x14ac:dyDescent="0.25">
      <c r="L307" s="393"/>
      <c r="M307" s="393"/>
      <c r="N307" s="393"/>
      <c r="O307" s="393"/>
    </row>
    <row r="308" spans="12:15" ht="15" hidden="1" x14ac:dyDescent="0.25">
      <c r="L308" s="393"/>
      <c r="M308" s="393"/>
      <c r="N308" s="393"/>
      <c r="O308" s="393"/>
    </row>
    <row r="309" spans="12:15" ht="15" hidden="1" x14ac:dyDescent="0.25">
      <c r="L309" s="393"/>
      <c r="M309" s="393"/>
      <c r="N309" s="393"/>
      <c r="O309" s="393"/>
    </row>
    <row r="310" spans="12:15" ht="15" hidden="1" x14ac:dyDescent="0.25">
      <c r="L310" s="393"/>
      <c r="M310" s="393"/>
      <c r="N310" s="393"/>
      <c r="O310" s="393"/>
    </row>
    <row r="311" spans="12:15" ht="15" hidden="1" x14ac:dyDescent="0.25">
      <c r="L311" s="393"/>
      <c r="M311" s="393"/>
      <c r="N311" s="393"/>
      <c r="O311" s="393"/>
    </row>
    <row r="312" spans="12:15" ht="15" hidden="1" x14ac:dyDescent="0.25">
      <c r="L312" s="393"/>
      <c r="M312" s="393"/>
      <c r="N312" s="393"/>
      <c r="O312" s="393"/>
    </row>
    <row r="313" spans="12:15" ht="15" hidden="1" x14ac:dyDescent="0.25">
      <c r="L313" s="393"/>
      <c r="M313" s="393"/>
      <c r="N313" s="393"/>
      <c r="O313" s="393"/>
    </row>
    <row r="314" spans="12:15" ht="15" hidden="1" x14ac:dyDescent="0.25">
      <c r="L314" s="393"/>
      <c r="M314" s="393"/>
      <c r="N314" s="393"/>
      <c r="O314" s="393"/>
    </row>
    <row r="315" spans="12:15" ht="15" hidden="1" x14ac:dyDescent="0.25">
      <c r="L315" s="393"/>
      <c r="M315" s="393"/>
      <c r="N315" s="393"/>
      <c r="O315" s="393"/>
    </row>
    <row r="316" spans="12:15" ht="15" hidden="1" x14ac:dyDescent="0.25">
      <c r="L316" s="393"/>
      <c r="M316" s="393"/>
      <c r="N316" s="393"/>
      <c r="O316" s="393"/>
    </row>
    <row r="317" spans="12:15" ht="15" hidden="1" x14ac:dyDescent="0.25">
      <c r="L317" s="393"/>
      <c r="M317" s="393"/>
      <c r="N317" s="393"/>
      <c r="O317" s="393"/>
    </row>
    <row r="318" spans="12:15" ht="15" hidden="1" x14ac:dyDescent="0.25">
      <c r="L318" s="393"/>
      <c r="M318" s="393"/>
      <c r="N318" s="393"/>
      <c r="O318" s="393"/>
    </row>
    <row r="319" spans="12:15" ht="15" hidden="1" x14ac:dyDescent="0.25">
      <c r="L319" s="393"/>
      <c r="M319" s="393"/>
      <c r="N319" s="393"/>
      <c r="O319" s="393"/>
    </row>
    <row r="320" spans="12:15" ht="15" hidden="1" x14ac:dyDescent="0.25">
      <c r="L320" s="393"/>
      <c r="M320" s="393"/>
      <c r="N320" s="393"/>
      <c r="O320" s="393"/>
    </row>
    <row r="321" spans="12:15" ht="15" hidden="1" x14ac:dyDescent="0.25">
      <c r="L321" s="393"/>
      <c r="M321" s="393"/>
      <c r="N321" s="393"/>
      <c r="O321" s="393"/>
    </row>
    <row r="322" spans="12:15" ht="15" hidden="1" x14ac:dyDescent="0.25">
      <c r="L322" s="393"/>
      <c r="M322" s="393"/>
      <c r="N322" s="393"/>
      <c r="O322" s="393"/>
    </row>
    <row r="323" spans="12:15" ht="15" hidden="1" x14ac:dyDescent="0.25">
      <c r="L323" s="393"/>
      <c r="M323" s="393"/>
      <c r="N323" s="393"/>
      <c r="O323" s="393"/>
    </row>
    <row r="324" spans="12:15" ht="15" hidden="1" x14ac:dyDescent="0.25">
      <c r="L324" s="393"/>
      <c r="M324" s="393"/>
      <c r="N324" s="393"/>
      <c r="O324" s="393"/>
    </row>
    <row r="325" spans="12:15" ht="15" hidden="1" x14ac:dyDescent="0.25">
      <c r="L325" s="393"/>
      <c r="M325" s="393"/>
      <c r="N325" s="393"/>
      <c r="O325" s="393"/>
    </row>
    <row r="326" spans="12:15" ht="15" hidden="1" x14ac:dyDescent="0.25">
      <c r="L326" s="393"/>
      <c r="M326" s="393"/>
      <c r="N326" s="393"/>
      <c r="O326" s="393"/>
    </row>
    <row r="327" spans="12:15" ht="15" hidden="1" x14ac:dyDescent="0.25">
      <c r="L327" s="393"/>
      <c r="M327" s="393"/>
      <c r="N327" s="393"/>
      <c r="O327" s="393"/>
    </row>
    <row r="328" spans="12:15" ht="15" hidden="1" x14ac:dyDescent="0.25">
      <c r="L328" s="393"/>
      <c r="M328" s="393"/>
      <c r="N328" s="393"/>
      <c r="O328" s="393"/>
    </row>
    <row r="329" spans="12:15" ht="15" hidden="1" x14ac:dyDescent="0.25">
      <c r="L329" s="393"/>
      <c r="M329" s="393"/>
      <c r="N329" s="393"/>
      <c r="O329" s="393"/>
    </row>
    <row r="330" spans="12:15" ht="15" hidden="1" x14ac:dyDescent="0.25">
      <c r="L330" s="393"/>
      <c r="M330" s="393"/>
      <c r="N330" s="393"/>
      <c r="O330" s="393"/>
    </row>
    <row r="331" spans="12:15" ht="15" hidden="1" x14ac:dyDescent="0.25">
      <c r="L331" s="393"/>
      <c r="M331" s="393"/>
      <c r="N331" s="393"/>
      <c r="O331" s="393"/>
    </row>
    <row r="332" spans="12:15" ht="15" hidden="1" x14ac:dyDescent="0.25">
      <c r="L332" s="393"/>
      <c r="M332" s="393"/>
      <c r="N332" s="393"/>
      <c r="O332" s="393"/>
    </row>
    <row r="333" spans="12:15" ht="15" hidden="1" x14ac:dyDescent="0.25">
      <c r="L333" s="393"/>
      <c r="M333" s="393"/>
      <c r="N333" s="393"/>
      <c r="O333" s="393"/>
    </row>
    <row r="334" spans="12:15" ht="15" hidden="1" x14ac:dyDescent="0.25">
      <c r="L334" s="393"/>
      <c r="M334" s="393"/>
      <c r="N334" s="393"/>
      <c r="O334" s="393"/>
    </row>
    <row r="335" spans="12:15" ht="15" hidden="1" x14ac:dyDescent="0.25">
      <c r="L335" s="393"/>
      <c r="M335" s="393"/>
      <c r="N335" s="393"/>
      <c r="O335" s="393"/>
    </row>
    <row r="336" spans="12:15" ht="15" hidden="1" x14ac:dyDescent="0.25">
      <c r="L336" s="393"/>
      <c r="M336" s="393"/>
      <c r="N336" s="393"/>
      <c r="O336" s="393"/>
    </row>
    <row r="337" spans="12:15" ht="15" hidden="1" x14ac:dyDescent="0.25">
      <c r="L337" s="393"/>
      <c r="M337" s="393"/>
      <c r="N337" s="393"/>
      <c r="O337" s="393"/>
    </row>
    <row r="338" spans="12:15" ht="15" hidden="1" x14ac:dyDescent="0.25">
      <c r="L338" s="393"/>
      <c r="M338" s="393"/>
      <c r="N338" s="393"/>
      <c r="O338" s="393"/>
    </row>
    <row r="339" spans="12:15" ht="15" hidden="1" x14ac:dyDescent="0.25">
      <c r="L339" s="393"/>
      <c r="M339" s="393"/>
      <c r="N339" s="393"/>
      <c r="O339" s="393"/>
    </row>
    <row r="340" spans="12:15" ht="15" hidden="1" x14ac:dyDescent="0.25">
      <c r="L340" s="393"/>
      <c r="M340" s="393"/>
      <c r="N340" s="393"/>
      <c r="O340" s="393"/>
    </row>
    <row r="341" spans="12:15" ht="15" hidden="1" x14ac:dyDescent="0.25">
      <c r="L341" s="393"/>
      <c r="M341" s="393"/>
      <c r="N341" s="393"/>
      <c r="O341" s="393"/>
    </row>
    <row r="342" spans="12:15" ht="15" hidden="1" x14ac:dyDescent="0.25">
      <c r="L342" s="393"/>
      <c r="M342" s="393"/>
      <c r="N342" s="393"/>
      <c r="O342" s="393"/>
    </row>
    <row r="343" spans="12:15" ht="15" hidden="1" x14ac:dyDescent="0.25">
      <c r="L343" s="393"/>
      <c r="M343" s="393"/>
      <c r="N343" s="393"/>
      <c r="O343" s="393"/>
    </row>
    <row r="344" spans="12:15" ht="15" hidden="1" x14ac:dyDescent="0.25">
      <c r="L344" s="393"/>
      <c r="M344" s="393"/>
      <c r="N344" s="393"/>
      <c r="O344" s="393"/>
    </row>
    <row r="345" spans="12:15" ht="15" hidden="1" x14ac:dyDescent="0.25">
      <c r="L345" s="393"/>
      <c r="M345" s="393"/>
      <c r="N345" s="393"/>
      <c r="O345" s="393"/>
    </row>
    <row r="346" spans="12:15" ht="15" hidden="1" x14ac:dyDescent="0.25">
      <c r="L346" s="393"/>
      <c r="M346" s="393"/>
      <c r="N346" s="393"/>
      <c r="O346" s="393"/>
    </row>
    <row r="347" spans="12:15" ht="15" hidden="1" x14ac:dyDescent="0.25">
      <c r="L347" s="393"/>
      <c r="M347" s="393"/>
      <c r="N347" s="393"/>
      <c r="O347" s="393"/>
    </row>
    <row r="348" spans="12:15" ht="15" hidden="1" x14ac:dyDescent="0.25">
      <c r="L348" s="393"/>
      <c r="M348" s="393"/>
      <c r="N348" s="393"/>
      <c r="O348" s="393"/>
    </row>
    <row r="349" spans="12:15" ht="15" hidden="1" x14ac:dyDescent="0.25">
      <c r="L349" s="393"/>
      <c r="M349" s="393"/>
      <c r="N349" s="393"/>
      <c r="O349" s="393"/>
    </row>
    <row r="350" spans="12:15" ht="15" hidden="1" x14ac:dyDescent="0.25">
      <c r="L350" s="393"/>
      <c r="M350" s="393"/>
      <c r="N350" s="393"/>
      <c r="O350" s="393"/>
    </row>
    <row r="351" spans="12:15" ht="15" hidden="1" x14ac:dyDescent="0.25">
      <c r="L351" s="393"/>
      <c r="M351" s="393"/>
      <c r="N351" s="393"/>
      <c r="O351" s="393"/>
    </row>
    <row r="352" spans="12:15" ht="15" hidden="1" x14ac:dyDescent="0.25">
      <c r="L352" s="393"/>
      <c r="M352" s="393"/>
      <c r="N352" s="393"/>
      <c r="O352" s="393"/>
    </row>
    <row r="353" spans="12:15" ht="15" hidden="1" x14ac:dyDescent="0.25">
      <c r="L353" s="393"/>
      <c r="M353" s="393"/>
      <c r="N353" s="393"/>
      <c r="O353" s="393"/>
    </row>
    <row r="354" spans="12:15" ht="15" hidden="1" x14ac:dyDescent="0.25">
      <c r="L354" s="393"/>
      <c r="M354" s="393"/>
      <c r="N354" s="393"/>
      <c r="O354" s="393"/>
    </row>
    <row r="355" spans="12:15" ht="15" hidden="1" x14ac:dyDescent="0.25">
      <c r="L355" s="393"/>
      <c r="M355" s="393"/>
      <c r="N355" s="393"/>
      <c r="O355" s="393"/>
    </row>
    <row r="356" spans="12:15" ht="15" hidden="1" x14ac:dyDescent="0.25">
      <c r="L356" s="393"/>
      <c r="M356" s="393"/>
      <c r="N356" s="393"/>
      <c r="O356" s="393"/>
    </row>
    <row r="357" spans="12:15" ht="15" hidden="1" x14ac:dyDescent="0.25">
      <c r="L357" s="393"/>
      <c r="M357" s="393"/>
      <c r="N357" s="393"/>
      <c r="O357" s="393"/>
    </row>
    <row r="358" spans="12:15" ht="15" hidden="1" x14ac:dyDescent="0.25">
      <c r="L358" s="393"/>
      <c r="M358" s="393"/>
      <c r="N358" s="393"/>
      <c r="O358" s="393"/>
    </row>
    <row r="359" spans="12:15" ht="15" hidden="1" x14ac:dyDescent="0.25">
      <c r="L359" s="393"/>
      <c r="M359" s="393"/>
      <c r="N359" s="393"/>
      <c r="O359" s="393"/>
    </row>
    <row r="360" spans="12:15" ht="15" hidden="1" x14ac:dyDescent="0.25">
      <c r="L360" s="393"/>
      <c r="M360" s="393"/>
      <c r="N360" s="393"/>
      <c r="O360" s="393"/>
    </row>
    <row r="361" spans="12:15" ht="15" hidden="1" x14ac:dyDescent="0.25">
      <c r="L361" s="393"/>
      <c r="M361" s="393"/>
      <c r="N361" s="393"/>
      <c r="O361" s="393"/>
    </row>
    <row r="362" spans="12:15" ht="15" hidden="1" x14ac:dyDescent="0.25">
      <c r="L362" s="393"/>
      <c r="M362" s="393"/>
      <c r="N362" s="393"/>
      <c r="O362" s="393"/>
    </row>
    <row r="363" spans="12:15" ht="15" hidden="1" x14ac:dyDescent="0.25">
      <c r="L363" s="393"/>
      <c r="M363" s="393"/>
      <c r="N363" s="393"/>
      <c r="O363" s="393"/>
    </row>
    <row r="364" spans="12:15" ht="15" hidden="1" x14ac:dyDescent="0.25">
      <c r="L364" s="393"/>
      <c r="M364" s="393"/>
      <c r="N364" s="393"/>
      <c r="O364" s="393"/>
    </row>
    <row r="365" spans="12:15" ht="15" hidden="1" x14ac:dyDescent="0.25">
      <c r="L365" s="393"/>
      <c r="M365" s="393"/>
      <c r="N365" s="393"/>
      <c r="O365" s="393"/>
    </row>
    <row r="366" spans="12:15" ht="15" hidden="1" x14ac:dyDescent="0.25">
      <c r="L366" s="393"/>
      <c r="M366" s="393"/>
      <c r="N366" s="393"/>
      <c r="O366" s="393"/>
    </row>
    <row r="367" spans="12:15" ht="15" hidden="1" x14ac:dyDescent="0.25">
      <c r="L367" s="393"/>
      <c r="M367" s="393"/>
      <c r="N367" s="393"/>
      <c r="O367" s="393"/>
    </row>
    <row r="368" spans="12:15" ht="15" hidden="1" x14ac:dyDescent="0.25">
      <c r="L368" s="393"/>
      <c r="M368" s="393"/>
      <c r="N368" s="393"/>
      <c r="O368" s="393"/>
    </row>
    <row r="369" spans="12:15" ht="15" hidden="1" x14ac:dyDescent="0.25">
      <c r="L369" s="393"/>
      <c r="M369" s="393"/>
      <c r="N369" s="393"/>
      <c r="O369" s="393"/>
    </row>
    <row r="370" spans="12:15" ht="15" hidden="1" x14ac:dyDescent="0.25">
      <c r="L370" s="393"/>
      <c r="M370" s="393"/>
      <c r="N370" s="393"/>
      <c r="O370" s="393"/>
    </row>
    <row r="371" spans="12:15" ht="15" hidden="1" x14ac:dyDescent="0.25">
      <c r="L371" s="393"/>
      <c r="M371" s="393"/>
      <c r="N371" s="393"/>
      <c r="O371" s="393"/>
    </row>
    <row r="372" spans="12:15" ht="15" hidden="1" x14ac:dyDescent="0.25">
      <c r="L372" s="393"/>
      <c r="M372" s="393"/>
      <c r="N372" s="393"/>
      <c r="O372" s="393"/>
    </row>
    <row r="373" spans="12:15" ht="15" hidden="1" x14ac:dyDescent="0.25">
      <c r="L373" s="393"/>
      <c r="M373" s="393"/>
      <c r="N373" s="393"/>
      <c r="O373" s="393"/>
    </row>
    <row r="374" spans="12:15" ht="15" hidden="1" x14ac:dyDescent="0.25">
      <c r="L374" s="393"/>
      <c r="M374" s="393"/>
      <c r="N374" s="393"/>
      <c r="O374" s="393"/>
    </row>
    <row r="375" spans="12:15" ht="15" hidden="1" x14ac:dyDescent="0.25">
      <c r="L375" s="393"/>
      <c r="M375" s="393"/>
      <c r="N375" s="393"/>
      <c r="O375" s="393"/>
    </row>
    <row r="376" spans="12:15" ht="15" hidden="1" x14ac:dyDescent="0.25">
      <c r="L376" s="393"/>
      <c r="M376" s="393"/>
      <c r="N376" s="393"/>
      <c r="O376" s="393"/>
    </row>
    <row r="377" spans="12:15" ht="15" hidden="1" x14ac:dyDescent="0.25">
      <c r="L377" s="393"/>
      <c r="M377" s="393"/>
      <c r="N377" s="393"/>
      <c r="O377" s="393"/>
    </row>
    <row r="378" spans="12:15" ht="15" hidden="1" x14ac:dyDescent="0.25">
      <c r="L378" s="393"/>
      <c r="M378" s="393"/>
      <c r="N378" s="393"/>
      <c r="O378" s="393"/>
    </row>
    <row r="379" spans="12:15" ht="15" hidden="1" x14ac:dyDescent="0.25">
      <c r="L379" s="393"/>
      <c r="M379" s="393"/>
      <c r="N379" s="393"/>
      <c r="O379" s="393"/>
    </row>
    <row r="380" spans="12:15" ht="15" hidden="1" x14ac:dyDescent="0.25">
      <c r="L380" s="393"/>
      <c r="M380" s="393"/>
      <c r="N380" s="393"/>
      <c r="O380" s="393"/>
    </row>
    <row r="381" spans="12:15" ht="15" hidden="1" x14ac:dyDescent="0.25">
      <c r="L381" s="393"/>
      <c r="M381" s="393"/>
      <c r="N381" s="393"/>
      <c r="O381" s="393"/>
    </row>
    <row r="382" spans="12:15" ht="15" hidden="1" x14ac:dyDescent="0.25">
      <c r="L382" s="393"/>
      <c r="M382" s="393"/>
      <c r="N382" s="393"/>
      <c r="O382" s="393"/>
    </row>
    <row r="383" spans="12:15" ht="15" hidden="1" x14ac:dyDescent="0.25">
      <c r="L383" s="393"/>
      <c r="M383" s="393"/>
      <c r="N383" s="393"/>
      <c r="O383" s="393"/>
    </row>
    <row r="384" spans="12:15" ht="15" hidden="1" x14ac:dyDescent="0.25">
      <c r="L384" s="393"/>
      <c r="M384" s="393"/>
      <c r="N384" s="393"/>
      <c r="O384" s="393"/>
    </row>
    <row r="385" spans="12:15" ht="15" hidden="1" x14ac:dyDescent="0.25">
      <c r="L385" s="393"/>
      <c r="M385" s="393"/>
      <c r="N385" s="393"/>
      <c r="O385" s="393"/>
    </row>
    <row r="386" spans="12:15" ht="15" hidden="1" x14ac:dyDescent="0.25">
      <c r="L386" s="393"/>
      <c r="M386" s="393"/>
      <c r="N386" s="393"/>
      <c r="O386" s="393"/>
    </row>
    <row r="387" spans="12:15" ht="15" hidden="1" x14ac:dyDescent="0.25">
      <c r="L387" s="393"/>
      <c r="M387" s="393"/>
      <c r="N387" s="393"/>
      <c r="O387" s="393"/>
    </row>
    <row r="388" spans="12:15" ht="15" hidden="1" x14ac:dyDescent="0.25">
      <c r="L388" s="393"/>
      <c r="M388" s="393"/>
      <c r="N388" s="393"/>
      <c r="O388" s="393"/>
    </row>
    <row r="389" spans="12:15" ht="15" hidden="1" x14ac:dyDescent="0.25">
      <c r="L389" s="393"/>
      <c r="M389" s="393"/>
      <c r="N389" s="393"/>
      <c r="O389" s="393"/>
    </row>
    <row r="390" spans="12:15" ht="15" hidden="1" x14ac:dyDescent="0.25">
      <c r="L390" s="393"/>
      <c r="M390" s="393"/>
      <c r="N390" s="393"/>
      <c r="O390" s="393"/>
    </row>
    <row r="391" spans="12:15" ht="15" hidden="1" x14ac:dyDescent="0.25">
      <c r="L391" s="393"/>
      <c r="M391" s="393"/>
      <c r="N391" s="393"/>
      <c r="O391" s="393"/>
    </row>
    <row r="392" spans="12:15" ht="15" hidden="1" x14ac:dyDescent="0.25">
      <c r="L392" s="393"/>
      <c r="M392" s="393"/>
      <c r="N392" s="393"/>
      <c r="O392" s="393"/>
    </row>
    <row r="393" spans="12:15" ht="15" hidden="1" x14ac:dyDescent="0.25">
      <c r="L393" s="393"/>
      <c r="M393" s="393"/>
      <c r="N393" s="393"/>
      <c r="O393" s="393"/>
    </row>
    <row r="394" spans="12:15" ht="15" hidden="1" x14ac:dyDescent="0.25">
      <c r="L394" s="393"/>
      <c r="M394" s="393"/>
      <c r="N394" s="393"/>
      <c r="O394" s="393"/>
    </row>
    <row r="395" spans="12:15" ht="15" hidden="1" x14ac:dyDescent="0.25">
      <c r="L395" s="393"/>
      <c r="M395" s="393"/>
      <c r="N395" s="393"/>
      <c r="O395" s="393"/>
    </row>
    <row r="396" spans="12:15" ht="15" hidden="1" x14ac:dyDescent="0.25">
      <c r="L396" s="393"/>
      <c r="M396" s="393"/>
      <c r="N396" s="393"/>
      <c r="O396" s="393"/>
    </row>
    <row r="397" spans="12:15" ht="15" hidden="1" x14ac:dyDescent="0.25">
      <c r="L397" s="393"/>
      <c r="M397" s="393"/>
      <c r="N397" s="393"/>
      <c r="O397" s="393"/>
    </row>
    <row r="398" spans="12:15" ht="15" hidden="1" x14ac:dyDescent="0.25">
      <c r="L398" s="393"/>
      <c r="M398" s="393"/>
      <c r="N398" s="393"/>
      <c r="O398" s="393"/>
    </row>
    <row r="399" spans="12:15" ht="15" hidden="1" x14ac:dyDescent="0.25">
      <c r="L399" s="393"/>
      <c r="M399" s="393"/>
      <c r="N399" s="393"/>
      <c r="O399" s="393"/>
    </row>
    <row r="400" spans="12:15" ht="15" hidden="1" x14ac:dyDescent="0.25">
      <c r="L400" s="393"/>
      <c r="M400" s="393"/>
      <c r="N400" s="393"/>
      <c r="O400" s="393"/>
    </row>
    <row r="401" spans="12:15" ht="15" hidden="1" x14ac:dyDescent="0.25">
      <c r="L401" s="393"/>
      <c r="M401" s="393"/>
      <c r="N401" s="393"/>
      <c r="O401" s="393"/>
    </row>
    <row r="402" spans="12:15" ht="15" hidden="1" x14ac:dyDescent="0.25">
      <c r="L402" s="393"/>
      <c r="M402" s="393"/>
      <c r="N402" s="393"/>
      <c r="O402" s="393"/>
    </row>
    <row r="403" spans="12:15" ht="15" hidden="1" x14ac:dyDescent="0.25">
      <c r="L403" s="393"/>
      <c r="M403" s="393"/>
      <c r="N403" s="393"/>
      <c r="O403" s="393"/>
    </row>
    <row r="404" spans="12:15" ht="15" hidden="1" x14ac:dyDescent="0.25">
      <c r="L404" s="393"/>
      <c r="M404" s="393"/>
      <c r="N404" s="393"/>
      <c r="O404" s="393"/>
    </row>
    <row r="405" spans="12:15" ht="15" hidden="1" x14ac:dyDescent="0.25">
      <c r="L405" s="393"/>
      <c r="M405" s="393"/>
      <c r="N405" s="393"/>
      <c r="O405" s="393"/>
    </row>
    <row r="406" spans="12:15" ht="15" hidden="1" x14ac:dyDescent="0.25">
      <c r="L406" s="393"/>
      <c r="M406" s="393"/>
      <c r="N406" s="393"/>
      <c r="O406" s="393"/>
    </row>
    <row r="407" spans="12:15" ht="15" hidden="1" x14ac:dyDescent="0.25">
      <c r="L407" s="393"/>
      <c r="M407" s="393"/>
      <c r="N407" s="393"/>
      <c r="O407" s="393"/>
    </row>
    <row r="408" spans="12:15" ht="15" hidden="1" x14ac:dyDescent="0.25">
      <c r="L408" s="393"/>
      <c r="M408" s="393"/>
      <c r="N408" s="393"/>
      <c r="O408" s="393"/>
    </row>
    <row r="409" spans="12:15" ht="15" hidden="1" x14ac:dyDescent="0.25">
      <c r="L409" s="393"/>
      <c r="M409" s="393"/>
      <c r="N409" s="393"/>
      <c r="O409" s="393"/>
    </row>
    <row r="410" spans="12:15" ht="15" hidden="1" x14ac:dyDescent="0.25">
      <c r="L410" s="393"/>
      <c r="M410" s="393"/>
      <c r="N410" s="393"/>
      <c r="O410" s="393"/>
    </row>
    <row r="411" spans="12:15" ht="15" hidden="1" x14ac:dyDescent="0.25">
      <c r="L411" s="393"/>
      <c r="M411" s="393"/>
      <c r="N411" s="393"/>
      <c r="O411" s="393"/>
    </row>
    <row r="412" spans="12:15" ht="15" hidden="1" x14ac:dyDescent="0.25">
      <c r="L412" s="393"/>
      <c r="M412" s="393"/>
      <c r="N412" s="393"/>
      <c r="O412" s="393"/>
    </row>
    <row r="413" spans="12:15" ht="15" hidden="1" x14ac:dyDescent="0.25">
      <c r="L413" s="393"/>
      <c r="M413" s="393"/>
      <c r="N413" s="393"/>
      <c r="O413" s="393"/>
    </row>
    <row r="414" spans="12:15" ht="15" hidden="1" x14ac:dyDescent="0.25">
      <c r="L414" s="393"/>
      <c r="M414" s="393"/>
      <c r="N414" s="393"/>
      <c r="O414" s="393"/>
    </row>
    <row r="415" spans="12:15" ht="15" hidden="1" x14ac:dyDescent="0.25">
      <c r="L415" s="393"/>
      <c r="M415" s="393"/>
      <c r="N415" s="393"/>
      <c r="O415" s="393"/>
    </row>
    <row r="416" spans="12:15" ht="15" hidden="1" x14ac:dyDescent="0.25">
      <c r="L416" s="393"/>
      <c r="M416" s="393"/>
      <c r="N416" s="393"/>
      <c r="O416" s="393"/>
    </row>
    <row r="417" spans="12:15" ht="15" hidden="1" x14ac:dyDescent="0.25">
      <c r="L417" s="393"/>
      <c r="M417" s="393"/>
      <c r="N417" s="393"/>
      <c r="O417" s="393"/>
    </row>
    <row r="418" spans="12:15" ht="15" hidden="1" x14ac:dyDescent="0.25">
      <c r="L418" s="393"/>
      <c r="M418" s="393"/>
      <c r="N418" s="393"/>
      <c r="O418" s="393"/>
    </row>
    <row r="419" spans="12:15" ht="15" hidden="1" x14ac:dyDescent="0.25">
      <c r="L419" s="393"/>
      <c r="M419" s="393"/>
      <c r="N419" s="393"/>
      <c r="O419" s="393"/>
    </row>
    <row r="420" spans="12:15" ht="15" hidden="1" x14ac:dyDescent="0.25">
      <c r="L420" s="393"/>
      <c r="M420" s="393"/>
      <c r="N420" s="393"/>
      <c r="O420" s="393"/>
    </row>
    <row r="421" spans="12:15" ht="15" hidden="1" x14ac:dyDescent="0.25">
      <c r="L421" s="393"/>
      <c r="M421" s="393"/>
      <c r="N421" s="393"/>
      <c r="O421" s="393"/>
    </row>
    <row r="422" spans="12:15" ht="15" hidden="1" x14ac:dyDescent="0.25">
      <c r="L422" s="393"/>
      <c r="M422" s="393"/>
      <c r="N422" s="393"/>
      <c r="O422" s="393"/>
    </row>
    <row r="423" spans="12:15" ht="15" hidden="1" x14ac:dyDescent="0.25">
      <c r="L423" s="393"/>
      <c r="M423" s="393"/>
      <c r="N423" s="393"/>
      <c r="O423" s="393"/>
    </row>
    <row r="424" spans="12:15" ht="15" hidden="1" x14ac:dyDescent="0.25">
      <c r="L424" s="393"/>
      <c r="M424" s="393"/>
      <c r="N424" s="393"/>
      <c r="O424" s="393"/>
    </row>
    <row r="425" spans="12:15" ht="15" hidden="1" x14ac:dyDescent="0.25">
      <c r="L425" s="393"/>
      <c r="M425" s="393"/>
      <c r="N425" s="393"/>
      <c r="O425" s="393"/>
    </row>
    <row r="426" spans="12:15" ht="15" hidden="1" x14ac:dyDescent="0.25">
      <c r="L426" s="393"/>
      <c r="M426" s="393"/>
      <c r="N426" s="393"/>
      <c r="O426" s="393"/>
    </row>
    <row r="427" spans="12:15" ht="15" hidden="1" x14ac:dyDescent="0.25">
      <c r="L427" s="393"/>
      <c r="M427" s="393"/>
      <c r="N427" s="393"/>
      <c r="O427" s="393"/>
    </row>
    <row r="428" spans="12:15" ht="15" hidden="1" x14ac:dyDescent="0.25">
      <c r="L428" s="393"/>
      <c r="M428" s="393"/>
      <c r="N428" s="393"/>
      <c r="O428" s="393"/>
    </row>
    <row r="429" spans="12:15" ht="15" hidden="1" x14ac:dyDescent="0.25">
      <c r="L429" s="393"/>
      <c r="M429" s="393"/>
      <c r="N429" s="393"/>
      <c r="O429" s="393"/>
    </row>
    <row r="430" spans="12:15" ht="15" hidden="1" x14ac:dyDescent="0.25">
      <c r="L430" s="393"/>
      <c r="M430" s="393"/>
      <c r="N430" s="393"/>
      <c r="O430" s="393"/>
    </row>
    <row r="431" spans="12:15" ht="15" hidden="1" x14ac:dyDescent="0.25">
      <c r="L431" s="393"/>
      <c r="M431" s="393"/>
      <c r="N431" s="393"/>
      <c r="O431" s="393"/>
    </row>
    <row r="432" spans="12:15" ht="15" hidden="1" x14ac:dyDescent="0.25">
      <c r="L432" s="393"/>
      <c r="M432" s="393"/>
      <c r="N432" s="393"/>
      <c r="O432" s="393"/>
    </row>
    <row r="433" spans="12:15" ht="15" hidden="1" x14ac:dyDescent="0.25">
      <c r="L433" s="393"/>
      <c r="M433" s="393"/>
      <c r="N433" s="393"/>
      <c r="O433" s="393"/>
    </row>
    <row r="434" spans="12:15" ht="15" hidden="1" x14ac:dyDescent="0.25">
      <c r="L434" s="393"/>
      <c r="M434" s="393"/>
      <c r="N434" s="393"/>
      <c r="O434" s="393"/>
    </row>
    <row r="435" spans="12:15" ht="15" hidden="1" x14ac:dyDescent="0.25">
      <c r="L435" s="393"/>
      <c r="M435" s="393"/>
      <c r="N435" s="393"/>
      <c r="O435" s="393"/>
    </row>
    <row r="436" spans="12:15" ht="15" hidden="1" x14ac:dyDescent="0.25">
      <c r="L436" s="393"/>
      <c r="M436" s="393"/>
      <c r="N436" s="393"/>
      <c r="O436" s="393"/>
    </row>
    <row r="437" spans="12:15" ht="15" hidden="1" x14ac:dyDescent="0.25">
      <c r="L437" s="393"/>
      <c r="M437" s="393"/>
      <c r="N437" s="393"/>
      <c r="O437" s="393"/>
    </row>
    <row r="438" spans="12:15" ht="15" hidden="1" x14ac:dyDescent="0.25">
      <c r="L438" s="393"/>
      <c r="M438" s="393"/>
      <c r="N438" s="393"/>
      <c r="O438" s="393"/>
    </row>
    <row r="439" spans="12:15" ht="15" hidden="1" x14ac:dyDescent="0.25">
      <c r="L439" s="393"/>
      <c r="M439" s="393"/>
      <c r="N439" s="393"/>
      <c r="O439" s="393"/>
    </row>
    <row r="440" spans="12:15" ht="15" hidden="1" x14ac:dyDescent="0.25">
      <c r="L440" s="393"/>
      <c r="M440" s="393"/>
      <c r="N440" s="393"/>
      <c r="O440" s="393"/>
    </row>
    <row r="441" spans="12:15" ht="15" hidden="1" x14ac:dyDescent="0.25">
      <c r="L441" s="393"/>
      <c r="M441" s="393"/>
      <c r="N441" s="393"/>
      <c r="O441" s="393"/>
    </row>
    <row r="442" spans="12:15" ht="15" hidden="1" x14ac:dyDescent="0.25">
      <c r="L442" s="393"/>
      <c r="M442" s="393"/>
      <c r="N442" s="393"/>
      <c r="O442" s="393"/>
    </row>
    <row r="443" spans="12:15" ht="15" hidden="1" x14ac:dyDescent="0.25">
      <c r="L443" s="393"/>
      <c r="M443" s="393"/>
      <c r="N443" s="393"/>
      <c r="O443" s="393"/>
    </row>
    <row r="444" spans="12:15" ht="15" hidden="1" x14ac:dyDescent="0.25">
      <c r="L444" s="393"/>
      <c r="M444" s="393"/>
      <c r="N444" s="393"/>
      <c r="O444" s="393"/>
    </row>
    <row r="445" spans="12:15" ht="15" hidden="1" x14ac:dyDescent="0.25">
      <c r="L445" s="393"/>
      <c r="M445" s="393"/>
      <c r="N445" s="393"/>
      <c r="O445" s="393"/>
    </row>
    <row r="446" spans="12:15" ht="15" hidden="1" x14ac:dyDescent="0.25">
      <c r="L446" s="393"/>
      <c r="M446" s="393"/>
      <c r="N446" s="393"/>
      <c r="O446" s="393"/>
    </row>
    <row r="447" spans="12:15" ht="15" hidden="1" x14ac:dyDescent="0.25">
      <c r="L447" s="393"/>
      <c r="M447" s="393"/>
      <c r="N447" s="393"/>
      <c r="O447" s="393"/>
    </row>
    <row r="448" spans="12:15" ht="15" hidden="1" x14ac:dyDescent="0.25">
      <c r="L448" s="393"/>
      <c r="M448" s="393"/>
      <c r="N448" s="393"/>
      <c r="O448" s="393"/>
    </row>
    <row r="449" spans="12:15" ht="15" hidden="1" x14ac:dyDescent="0.25">
      <c r="L449" s="393"/>
      <c r="M449" s="393"/>
      <c r="N449" s="393"/>
      <c r="O449" s="393"/>
    </row>
    <row r="450" spans="12:15" ht="15" hidden="1" x14ac:dyDescent="0.25">
      <c r="L450" s="393"/>
      <c r="M450" s="393"/>
      <c r="N450" s="393"/>
      <c r="O450" s="393"/>
    </row>
    <row r="451" spans="12:15" ht="15" hidden="1" x14ac:dyDescent="0.25">
      <c r="L451" s="393"/>
      <c r="M451" s="393"/>
      <c r="N451" s="393"/>
      <c r="O451" s="393"/>
    </row>
    <row r="452" spans="12:15" ht="15" hidden="1" x14ac:dyDescent="0.25">
      <c r="L452" s="393"/>
      <c r="M452" s="393"/>
      <c r="N452" s="393"/>
      <c r="O452" s="393"/>
    </row>
    <row r="453" spans="12:15" ht="15" hidden="1" x14ac:dyDescent="0.25">
      <c r="L453" s="393"/>
      <c r="M453" s="393"/>
      <c r="N453" s="393"/>
      <c r="O453" s="393"/>
    </row>
    <row r="454" spans="12:15" ht="15" hidden="1" x14ac:dyDescent="0.25">
      <c r="L454" s="393"/>
      <c r="M454" s="393"/>
      <c r="N454" s="393"/>
      <c r="O454" s="393"/>
    </row>
    <row r="455" spans="12:15" ht="15" hidden="1" x14ac:dyDescent="0.25">
      <c r="L455" s="393"/>
      <c r="M455" s="393"/>
      <c r="N455" s="393"/>
      <c r="O455" s="393"/>
    </row>
    <row r="456" spans="12:15" ht="15" hidden="1" x14ac:dyDescent="0.25">
      <c r="L456" s="393"/>
      <c r="M456" s="393"/>
      <c r="N456" s="393"/>
      <c r="O456" s="393"/>
    </row>
    <row r="457" spans="12:15" ht="15" hidden="1" x14ac:dyDescent="0.25">
      <c r="L457" s="393"/>
      <c r="M457" s="393"/>
      <c r="N457" s="393"/>
      <c r="O457" s="393"/>
    </row>
    <row r="458" spans="12:15" ht="15" hidden="1" x14ac:dyDescent="0.25">
      <c r="L458" s="393"/>
      <c r="M458" s="393"/>
      <c r="N458" s="393"/>
      <c r="O458" s="393"/>
    </row>
    <row r="459" spans="12:15" ht="15" hidden="1" x14ac:dyDescent="0.25">
      <c r="L459" s="393"/>
      <c r="M459" s="393"/>
      <c r="N459" s="393"/>
      <c r="O459" s="393"/>
    </row>
    <row r="460" spans="12:15" ht="15" hidden="1" x14ac:dyDescent="0.25">
      <c r="L460" s="393"/>
      <c r="M460" s="393"/>
      <c r="N460" s="393"/>
      <c r="O460" s="393"/>
    </row>
    <row r="461" spans="12:15" ht="15" hidden="1" x14ac:dyDescent="0.25">
      <c r="L461" s="393"/>
      <c r="M461" s="393"/>
      <c r="N461" s="393"/>
      <c r="O461" s="393"/>
    </row>
    <row r="462" spans="12:15" ht="15" hidden="1" x14ac:dyDescent="0.25">
      <c r="L462" s="393"/>
      <c r="M462" s="393"/>
      <c r="N462" s="393"/>
      <c r="O462" s="393"/>
    </row>
    <row r="463" spans="12:15" ht="15" hidden="1" x14ac:dyDescent="0.25">
      <c r="L463" s="393"/>
      <c r="M463" s="393"/>
      <c r="N463" s="393"/>
      <c r="O463" s="393"/>
    </row>
    <row r="464" spans="12:15" ht="15" hidden="1" x14ac:dyDescent="0.25">
      <c r="L464" s="393"/>
      <c r="M464" s="393"/>
      <c r="N464" s="393"/>
      <c r="O464" s="393"/>
    </row>
    <row r="465" spans="12:15" ht="15" hidden="1" x14ac:dyDescent="0.25">
      <c r="L465" s="393"/>
      <c r="M465" s="393"/>
      <c r="N465" s="393"/>
      <c r="O465" s="393"/>
    </row>
    <row r="466" spans="12:15" ht="15" hidden="1" x14ac:dyDescent="0.25">
      <c r="L466" s="393"/>
      <c r="M466" s="393"/>
      <c r="N466" s="393"/>
      <c r="O466" s="393"/>
    </row>
    <row r="467" spans="12:15" ht="15" hidden="1" x14ac:dyDescent="0.25">
      <c r="L467" s="393"/>
      <c r="M467" s="393"/>
      <c r="N467" s="393"/>
      <c r="O467" s="393"/>
    </row>
    <row r="468" spans="12:15" ht="15" hidden="1" x14ac:dyDescent="0.25">
      <c r="L468" s="393"/>
      <c r="M468" s="393"/>
      <c r="N468" s="393"/>
      <c r="O468" s="393"/>
    </row>
    <row r="469" spans="12:15" ht="15" hidden="1" x14ac:dyDescent="0.25">
      <c r="L469" s="393"/>
      <c r="M469" s="393"/>
      <c r="N469" s="393"/>
      <c r="O469" s="393"/>
    </row>
    <row r="470" spans="12:15" ht="15" hidden="1" x14ac:dyDescent="0.25">
      <c r="L470" s="393"/>
      <c r="M470" s="393"/>
      <c r="N470" s="393"/>
      <c r="O470" s="393"/>
    </row>
    <row r="471" spans="12:15" ht="15" hidden="1" x14ac:dyDescent="0.25">
      <c r="L471" s="393"/>
      <c r="M471" s="393"/>
      <c r="N471" s="393"/>
      <c r="O471" s="393"/>
    </row>
    <row r="472" spans="12:15" ht="15" hidden="1" x14ac:dyDescent="0.25">
      <c r="L472" s="393"/>
      <c r="M472" s="393"/>
      <c r="N472" s="393"/>
      <c r="O472" s="393"/>
    </row>
    <row r="473" spans="12:15" ht="15" hidden="1" x14ac:dyDescent="0.25">
      <c r="L473" s="393"/>
      <c r="M473" s="393"/>
      <c r="N473" s="393"/>
      <c r="O473" s="393"/>
    </row>
    <row r="474" spans="12:15" ht="15" hidden="1" x14ac:dyDescent="0.25">
      <c r="L474" s="393"/>
      <c r="M474" s="393"/>
      <c r="N474" s="393"/>
      <c r="O474" s="393"/>
    </row>
    <row r="475" spans="12:15" ht="15" hidden="1" x14ac:dyDescent="0.25">
      <c r="L475" s="393"/>
      <c r="M475" s="393"/>
      <c r="N475" s="393"/>
      <c r="O475" s="393"/>
    </row>
    <row r="476" spans="12:15" ht="15" hidden="1" x14ac:dyDescent="0.25">
      <c r="L476" s="393"/>
      <c r="M476" s="393"/>
      <c r="N476" s="393"/>
      <c r="O476" s="393"/>
    </row>
    <row r="477" spans="12:15" ht="15" hidden="1" x14ac:dyDescent="0.25">
      <c r="L477" s="393"/>
      <c r="M477" s="393"/>
      <c r="N477" s="393"/>
      <c r="O477" s="393"/>
    </row>
    <row r="478" spans="12:15" ht="15" hidden="1" x14ac:dyDescent="0.25">
      <c r="L478" s="393"/>
      <c r="M478" s="393"/>
      <c r="N478" s="393"/>
      <c r="O478" s="393"/>
    </row>
    <row r="479" spans="12:15" ht="15" hidden="1" x14ac:dyDescent="0.25">
      <c r="L479" s="393"/>
      <c r="M479" s="393"/>
      <c r="N479" s="393"/>
      <c r="O479" s="393"/>
    </row>
    <row r="480" spans="12:15" ht="15" hidden="1" x14ac:dyDescent="0.25">
      <c r="L480" s="393"/>
      <c r="M480" s="393"/>
      <c r="N480" s="393"/>
      <c r="O480" s="393"/>
    </row>
    <row r="481" spans="12:15" ht="15" hidden="1" x14ac:dyDescent="0.25">
      <c r="L481" s="393"/>
      <c r="M481" s="393"/>
      <c r="N481" s="393"/>
      <c r="O481" s="393"/>
    </row>
    <row r="482" spans="12:15" ht="15" hidden="1" x14ac:dyDescent="0.25">
      <c r="L482" s="393"/>
      <c r="M482" s="393"/>
      <c r="N482" s="393"/>
      <c r="O482" s="393"/>
    </row>
    <row r="483" spans="12:15" ht="15" hidden="1" x14ac:dyDescent="0.25">
      <c r="L483" s="393"/>
      <c r="M483" s="393"/>
      <c r="N483" s="393"/>
      <c r="O483" s="393"/>
    </row>
    <row r="484" spans="12:15" ht="15" hidden="1" x14ac:dyDescent="0.25">
      <c r="L484" s="393"/>
      <c r="M484" s="393"/>
      <c r="N484" s="393"/>
      <c r="O484" s="393"/>
    </row>
    <row r="485" spans="12:15" ht="15" hidden="1" x14ac:dyDescent="0.25">
      <c r="L485" s="393"/>
      <c r="M485" s="393"/>
      <c r="N485" s="393"/>
      <c r="O485" s="393"/>
    </row>
    <row r="486" spans="12:15" ht="15" hidden="1" x14ac:dyDescent="0.25">
      <c r="L486" s="393"/>
      <c r="M486" s="393"/>
      <c r="N486" s="393"/>
      <c r="O486" s="393"/>
    </row>
    <row r="487" spans="12:15" ht="15" hidden="1" x14ac:dyDescent="0.25">
      <c r="L487" s="393"/>
      <c r="M487" s="393"/>
      <c r="N487" s="393"/>
      <c r="O487" s="393"/>
    </row>
    <row r="488" spans="12:15" ht="15" hidden="1" x14ac:dyDescent="0.25">
      <c r="L488" s="393"/>
      <c r="M488" s="393"/>
      <c r="N488" s="393"/>
      <c r="O488" s="393"/>
    </row>
    <row r="489" spans="12:15" ht="15" hidden="1" x14ac:dyDescent="0.25">
      <c r="L489" s="393"/>
      <c r="M489" s="393"/>
      <c r="N489" s="393"/>
      <c r="O489" s="393"/>
    </row>
    <row r="490" spans="12:15" ht="15" hidden="1" x14ac:dyDescent="0.25">
      <c r="L490" s="393"/>
      <c r="M490" s="393"/>
      <c r="N490" s="393"/>
      <c r="O490" s="393"/>
    </row>
    <row r="491" spans="12:15" ht="15" hidden="1" x14ac:dyDescent="0.25">
      <c r="L491" s="393"/>
      <c r="M491" s="393"/>
      <c r="N491" s="393"/>
      <c r="O491" s="393"/>
    </row>
    <row r="492" spans="12:15" ht="15" hidden="1" x14ac:dyDescent="0.25">
      <c r="L492" s="393"/>
      <c r="M492" s="393"/>
      <c r="N492" s="393"/>
      <c r="O492" s="393"/>
    </row>
    <row r="493" spans="12:15" ht="15" hidden="1" x14ac:dyDescent="0.25">
      <c r="L493" s="393"/>
      <c r="M493" s="393"/>
      <c r="N493" s="393"/>
      <c r="O493" s="393"/>
    </row>
    <row r="494" spans="12:15" ht="15" hidden="1" x14ac:dyDescent="0.25">
      <c r="L494" s="393"/>
      <c r="M494" s="393"/>
      <c r="N494" s="393"/>
      <c r="O494" s="393"/>
    </row>
    <row r="495" spans="12:15" ht="15" hidden="1" x14ac:dyDescent="0.25">
      <c r="L495" s="393"/>
      <c r="M495" s="393"/>
      <c r="N495" s="393"/>
      <c r="O495" s="393"/>
    </row>
    <row r="496" spans="12:15" ht="15" hidden="1" x14ac:dyDescent="0.25">
      <c r="L496" s="393"/>
      <c r="M496" s="393"/>
      <c r="N496" s="393"/>
      <c r="O496" s="393"/>
    </row>
    <row r="497" spans="12:15" ht="15" hidden="1" x14ac:dyDescent="0.25">
      <c r="L497" s="393"/>
      <c r="M497" s="393"/>
      <c r="N497" s="393"/>
      <c r="O497" s="393"/>
    </row>
    <row r="498" spans="12:15" ht="15" hidden="1" x14ac:dyDescent="0.25">
      <c r="L498" s="393"/>
      <c r="M498" s="393"/>
      <c r="N498" s="393"/>
      <c r="O498" s="393"/>
    </row>
    <row r="499" spans="12:15" ht="15" hidden="1" x14ac:dyDescent="0.25">
      <c r="L499" s="393"/>
      <c r="M499" s="393"/>
      <c r="N499" s="393"/>
      <c r="O499" s="393"/>
    </row>
    <row r="500" spans="12:15" ht="15" hidden="1" x14ac:dyDescent="0.25">
      <c r="L500" s="393"/>
      <c r="M500" s="393"/>
      <c r="N500" s="393"/>
      <c r="O500" s="393"/>
    </row>
    <row r="501" spans="12:15" ht="15" hidden="1" x14ac:dyDescent="0.25">
      <c r="L501" s="393"/>
      <c r="M501" s="393"/>
      <c r="N501" s="393"/>
      <c r="O501" s="393"/>
    </row>
    <row r="502" spans="12:15" ht="15" hidden="1" x14ac:dyDescent="0.25">
      <c r="L502" s="393"/>
      <c r="M502" s="393"/>
      <c r="N502" s="393"/>
      <c r="O502" s="393"/>
    </row>
    <row r="503" spans="12:15" ht="15" hidden="1" x14ac:dyDescent="0.25">
      <c r="L503" s="393"/>
      <c r="M503" s="393"/>
      <c r="N503" s="393"/>
      <c r="O503" s="393"/>
    </row>
    <row r="504" spans="12:15" ht="15" hidden="1" x14ac:dyDescent="0.25">
      <c r="L504" s="393"/>
      <c r="M504" s="393"/>
      <c r="N504" s="393"/>
      <c r="O504" s="393"/>
    </row>
    <row r="505" spans="12:15" ht="15" hidden="1" x14ac:dyDescent="0.25">
      <c r="L505" s="393"/>
      <c r="M505" s="393"/>
      <c r="N505" s="393"/>
      <c r="O505" s="393"/>
    </row>
    <row r="506" spans="12:15" ht="15" hidden="1" x14ac:dyDescent="0.25">
      <c r="L506" s="393"/>
      <c r="M506" s="393"/>
      <c r="N506" s="393"/>
      <c r="O506" s="393"/>
    </row>
    <row r="507" spans="12:15" ht="15" hidden="1" x14ac:dyDescent="0.25">
      <c r="L507" s="393"/>
      <c r="M507" s="393"/>
      <c r="N507" s="393"/>
      <c r="O507" s="393"/>
    </row>
    <row r="508" spans="12:15" ht="15" hidden="1" x14ac:dyDescent="0.25">
      <c r="L508" s="393"/>
      <c r="M508" s="393"/>
      <c r="N508" s="393"/>
      <c r="O508" s="393"/>
    </row>
    <row r="509" spans="12:15" ht="15" hidden="1" x14ac:dyDescent="0.25">
      <c r="L509" s="393"/>
      <c r="M509" s="393"/>
      <c r="N509" s="393"/>
      <c r="O509" s="393"/>
    </row>
    <row r="510" spans="12:15" ht="15" hidden="1" x14ac:dyDescent="0.25">
      <c r="L510" s="393"/>
      <c r="M510" s="393"/>
      <c r="N510" s="393"/>
      <c r="O510" s="393"/>
    </row>
    <row r="511" spans="12:15" ht="15" hidden="1" x14ac:dyDescent="0.25">
      <c r="L511" s="393"/>
      <c r="M511" s="393"/>
      <c r="N511" s="393"/>
      <c r="O511" s="393"/>
    </row>
    <row r="512" spans="12:15" ht="15" hidden="1" x14ac:dyDescent="0.25">
      <c r="L512" s="393"/>
      <c r="M512" s="393"/>
      <c r="N512" s="393"/>
      <c r="O512" s="393"/>
    </row>
    <row r="513" spans="12:15" ht="15" hidden="1" x14ac:dyDescent="0.25">
      <c r="L513" s="393"/>
      <c r="M513" s="393"/>
      <c r="N513" s="393"/>
      <c r="O513" s="393"/>
    </row>
    <row r="514" spans="12:15" ht="15" hidden="1" x14ac:dyDescent="0.25">
      <c r="L514" s="393"/>
      <c r="M514" s="393"/>
      <c r="N514" s="393"/>
      <c r="O514" s="393"/>
    </row>
    <row r="515" spans="12:15" ht="15" hidden="1" x14ac:dyDescent="0.25">
      <c r="L515" s="393"/>
      <c r="M515" s="393"/>
      <c r="N515" s="393"/>
      <c r="O515" s="393"/>
    </row>
    <row r="516" spans="12:15" ht="15" hidden="1" x14ac:dyDescent="0.25">
      <c r="L516" s="393"/>
      <c r="M516" s="393"/>
      <c r="N516" s="393"/>
      <c r="O516" s="393"/>
    </row>
    <row r="517" spans="12:15" ht="15" hidden="1" x14ac:dyDescent="0.25">
      <c r="L517" s="393"/>
      <c r="M517" s="393"/>
      <c r="N517" s="393"/>
      <c r="O517" s="393"/>
    </row>
    <row r="518" spans="12:15" ht="15" hidden="1" x14ac:dyDescent="0.25">
      <c r="L518" s="393"/>
      <c r="M518" s="393"/>
      <c r="N518" s="393"/>
      <c r="O518" s="393"/>
    </row>
    <row r="519" spans="12:15" ht="15" hidden="1" x14ac:dyDescent="0.25">
      <c r="L519" s="393"/>
      <c r="M519" s="393"/>
      <c r="N519" s="393"/>
      <c r="O519" s="393"/>
    </row>
    <row r="520" spans="12:15" ht="15" hidden="1" x14ac:dyDescent="0.25">
      <c r="L520" s="393"/>
      <c r="M520" s="393"/>
      <c r="N520" s="393"/>
      <c r="O520" s="393"/>
    </row>
    <row r="521" spans="12:15" ht="15" hidden="1" x14ac:dyDescent="0.25">
      <c r="L521" s="393"/>
      <c r="M521" s="393"/>
      <c r="N521" s="393"/>
      <c r="O521" s="393"/>
    </row>
    <row r="522" spans="12:15" ht="15" hidden="1" x14ac:dyDescent="0.25">
      <c r="L522" s="393"/>
      <c r="M522" s="393"/>
      <c r="N522" s="393"/>
      <c r="O522" s="393"/>
    </row>
    <row r="523" spans="12:15" ht="15" hidden="1" x14ac:dyDescent="0.25">
      <c r="L523" s="393"/>
      <c r="M523" s="393"/>
      <c r="N523" s="393"/>
      <c r="O523" s="393"/>
    </row>
    <row r="524" spans="12:15" ht="15" hidden="1" x14ac:dyDescent="0.25">
      <c r="L524" s="393"/>
      <c r="M524" s="393"/>
      <c r="N524" s="393"/>
      <c r="O524" s="393"/>
    </row>
    <row r="525" spans="12:15" ht="15" hidden="1" x14ac:dyDescent="0.25">
      <c r="L525" s="393"/>
      <c r="M525" s="393"/>
      <c r="N525" s="393"/>
      <c r="O525" s="393"/>
    </row>
    <row r="526" spans="12:15" ht="15" hidden="1" x14ac:dyDescent="0.25">
      <c r="L526" s="393"/>
      <c r="M526" s="393"/>
      <c r="N526" s="393"/>
      <c r="O526" s="393"/>
    </row>
    <row r="527" spans="12:15" ht="15" hidden="1" x14ac:dyDescent="0.25">
      <c r="L527" s="393"/>
      <c r="M527" s="393"/>
      <c r="N527" s="393"/>
      <c r="O527" s="393"/>
    </row>
    <row r="528" spans="12:15" ht="15" hidden="1" x14ac:dyDescent="0.25">
      <c r="L528" s="393"/>
      <c r="M528" s="393"/>
      <c r="N528" s="393"/>
      <c r="O528" s="393"/>
    </row>
    <row r="529" spans="12:15" ht="15" hidden="1" x14ac:dyDescent="0.25">
      <c r="L529" s="393"/>
      <c r="M529" s="393"/>
      <c r="N529" s="393"/>
      <c r="O529" s="393"/>
    </row>
    <row r="530" spans="12:15" ht="15" hidden="1" x14ac:dyDescent="0.25">
      <c r="L530" s="393"/>
      <c r="M530" s="393"/>
      <c r="N530" s="393"/>
      <c r="O530" s="393"/>
    </row>
    <row r="531" spans="12:15" ht="15" hidden="1" x14ac:dyDescent="0.25">
      <c r="L531" s="393"/>
      <c r="M531" s="393"/>
      <c r="N531" s="393"/>
      <c r="O531" s="393"/>
    </row>
    <row r="532" spans="12:15" ht="15" hidden="1" x14ac:dyDescent="0.25">
      <c r="L532" s="393"/>
      <c r="M532" s="393"/>
      <c r="N532" s="393"/>
      <c r="O532" s="393"/>
    </row>
    <row r="533" spans="12:15" ht="15" hidden="1" x14ac:dyDescent="0.25">
      <c r="L533" s="393"/>
      <c r="M533" s="393"/>
      <c r="N533" s="393"/>
      <c r="O533" s="393"/>
    </row>
    <row r="534" spans="12:15" ht="15" hidden="1" x14ac:dyDescent="0.25">
      <c r="L534" s="393"/>
      <c r="M534" s="393"/>
      <c r="N534" s="393"/>
      <c r="O534" s="393"/>
    </row>
    <row r="535" spans="12:15" ht="15" hidden="1" x14ac:dyDescent="0.25">
      <c r="L535" s="393"/>
      <c r="M535" s="393"/>
      <c r="N535" s="393"/>
      <c r="O535" s="393"/>
    </row>
    <row r="536" spans="12:15" ht="15" hidden="1" x14ac:dyDescent="0.25">
      <c r="L536" s="393"/>
      <c r="M536" s="393"/>
      <c r="N536" s="393"/>
      <c r="O536" s="393"/>
    </row>
    <row r="537" spans="12:15" ht="15" hidden="1" x14ac:dyDescent="0.25">
      <c r="L537" s="393"/>
      <c r="M537" s="393"/>
      <c r="N537" s="393"/>
      <c r="O537" s="393"/>
    </row>
    <row r="538" spans="12:15" ht="15" hidden="1" x14ac:dyDescent="0.25">
      <c r="L538" s="393"/>
      <c r="M538" s="393"/>
      <c r="N538" s="393"/>
      <c r="O538" s="393"/>
    </row>
    <row r="539" spans="12:15" ht="15" hidden="1" x14ac:dyDescent="0.25">
      <c r="L539" s="393"/>
      <c r="M539" s="393"/>
      <c r="N539" s="393"/>
      <c r="O539" s="393"/>
    </row>
    <row r="540" spans="12:15" ht="15" hidden="1" x14ac:dyDescent="0.25">
      <c r="L540" s="393"/>
      <c r="M540" s="393"/>
      <c r="N540" s="393"/>
      <c r="O540" s="393"/>
    </row>
    <row r="541" spans="12:15" ht="15" hidden="1" x14ac:dyDescent="0.25">
      <c r="L541" s="393"/>
      <c r="M541" s="393"/>
      <c r="N541" s="393"/>
      <c r="O541" s="393"/>
    </row>
    <row r="542" spans="12:15" ht="15" hidden="1" x14ac:dyDescent="0.25">
      <c r="L542" s="393"/>
      <c r="M542" s="393"/>
      <c r="N542" s="393"/>
      <c r="O542" s="393"/>
    </row>
    <row r="543" spans="12:15" ht="15" hidden="1" x14ac:dyDescent="0.25">
      <c r="L543" s="393"/>
      <c r="M543" s="393"/>
      <c r="N543" s="393"/>
      <c r="O543" s="393"/>
    </row>
    <row r="544" spans="12:15" ht="15" hidden="1" x14ac:dyDescent="0.25">
      <c r="L544" s="393"/>
      <c r="M544" s="393"/>
      <c r="N544" s="393"/>
      <c r="O544" s="393"/>
    </row>
    <row r="545" spans="12:15" ht="15" hidden="1" x14ac:dyDescent="0.25">
      <c r="L545" s="393"/>
      <c r="M545" s="393"/>
      <c r="N545" s="393"/>
      <c r="O545" s="393"/>
    </row>
    <row r="546" spans="12:15" ht="15" hidden="1" x14ac:dyDescent="0.25">
      <c r="L546" s="393"/>
      <c r="M546" s="393"/>
      <c r="N546" s="393"/>
      <c r="O546" s="393"/>
    </row>
    <row r="547" spans="12:15" ht="15" hidden="1" x14ac:dyDescent="0.25">
      <c r="L547" s="393"/>
      <c r="M547" s="393"/>
      <c r="N547" s="393"/>
      <c r="O547" s="393"/>
    </row>
    <row r="548" spans="12:15" ht="15" hidden="1" x14ac:dyDescent="0.25">
      <c r="L548" s="393"/>
      <c r="M548" s="393"/>
      <c r="N548" s="393"/>
      <c r="O548" s="393"/>
    </row>
    <row r="549" spans="12:15" ht="15" hidden="1" x14ac:dyDescent="0.25">
      <c r="L549" s="393"/>
      <c r="M549" s="393"/>
      <c r="N549" s="393"/>
      <c r="O549" s="393"/>
    </row>
    <row r="550" spans="12:15" ht="15" hidden="1" x14ac:dyDescent="0.25">
      <c r="L550" s="393"/>
      <c r="M550" s="393"/>
      <c r="N550" s="393"/>
      <c r="O550" s="393"/>
    </row>
    <row r="551" spans="12:15" ht="15" hidden="1" x14ac:dyDescent="0.25">
      <c r="L551" s="393"/>
      <c r="M551" s="393"/>
      <c r="N551" s="393"/>
      <c r="O551" s="393"/>
    </row>
    <row r="552" spans="12:15" ht="15" hidden="1" x14ac:dyDescent="0.25">
      <c r="L552" s="393"/>
      <c r="M552" s="393"/>
      <c r="N552" s="393"/>
      <c r="O552" s="393"/>
    </row>
    <row r="553" spans="12:15" ht="15" hidden="1" x14ac:dyDescent="0.25">
      <c r="L553" s="393"/>
      <c r="M553" s="393"/>
      <c r="N553" s="393"/>
      <c r="O553" s="393"/>
    </row>
    <row r="554" spans="12:15" ht="15" hidden="1" x14ac:dyDescent="0.25">
      <c r="L554" s="393"/>
      <c r="M554" s="393"/>
      <c r="N554" s="393"/>
      <c r="O554" s="393"/>
    </row>
    <row r="555" spans="12:15" ht="15" hidden="1" x14ac:dyDescent="0.25">
      <c r="L555" s="393"/>
      <c r="M555" s="393"/>
      <c r="N555" s="393"/>
      <c r="O555" s="393"/>
    </row>
    <row r="556" spans="12:15" ht="15" hidden="1" x14ac:dyDescent="0.25">
      <c r="L556" s="393"/>
      <c r="M556" s="393"/>
      <c r="N556" s="393"/>
      <c r="O556" s="393"/>
    </row>
    <row r="557" spans="12:15" ht="15" hidden="1" x14ac:dyDescent="0.25">
      <c r="L557" s="393"/>
      <c r="M557" s="393"/>
      <c r="N557" s="393"/>
      <c r="O557" s="393"/>
    </row>
    <row r="558" spans="12:15" ht="15" hidden="1" x14ac:dyDescent="0.25">
      <c r="L558" s="393"/>
      <c r="M558" s="393"/>
      <c r="N558" s="393"/>
      <c r="O558" s="393"/>
    </row>
    <row r="559" spans="12:15" ht="15" hidden="1" x14ac:dyDescent="0.25">
      <c r="L559" s="393"/>
      <c r="M559" s="393"/>
      <c r="N559" s="393"/>
      <c r="O559" s="393"/>
    </row>
    <row r="560" spans="12:15" ht="15" hidden="1" x14ac:dyDescent="0.25">
      <c r="L560" s="393"/>
      <c r="M560" s="393"/>
      <c r="N560" s="393"/>
      <c r="O560" s="393"/>
    </row>
    <row r="561" spans="12:15" ht="15" hidden="1" x14ac:dyDescent="0.25">
      <c r="L561" s="393"/>
      <c r="M561" s="393"/>
      <c r="N561" s="393"/>
      <c r="O561" s="393"/>
    </row>
    <row r="562" spans="12:15" ht="15" hidden="1" x14ac:dyDescent="0.25">
      <c r="L562" s="393"/>
      <c r="M562" s="393"/>
      <c r="N562" s="393"/>
      <c r="O562" s="393"/>
    </row>
    <row r="563" spans="12:15" ht="15" hidden="1" x14ac:dyDescent="0.25">
      <c r="L563" s="393"/>
      <c r="M563" s="393"/>
      <c r="N563" s="393"/>
      <c r="O563" s="393"/>
    </row>
    <row r="564" spans="12:15" ht="15" hidden="1" x14ac:dyDescent="0.25">
      <c r="L564" s="393"/>
      <c r="M564" s="393"/>
      <c r="N564" s="393"/>
      <c r="O564" s="393"/>
    </row>
    <row r="565" spans="12:15" ht="15" hidden="1" x14ac:dyDescent="0.25">
      <c r="L565" s="393"/>
      <c r="M565" s="393"/>
      <c r="N565" s="393"/>
      <c r="O565" s="393"/>
    </row>
    <row r="566" spans="12:15" ht="15" hidden="1" x14ac:dyDescent="0.25">
      <c r="L566" s="393"/>
      <c r="M566" s="393"/>
      <c r="N566" s="393"/>
      <c r="O566" s="393"/>
    </row>
    <row r="567" spans="12:15" ht="15" hidden="1" x14ac:dyDescent="0.25">
      <c r="L567" s="393"/>
      <c r="M567" s="393"/>
      <c r="N567" s="393"/>
      <c r="O567" s="393"/>
    </row>
    <row r="568" spans="12:15" ht="15" hidden="1" x14ac:dyDescent="0.25">
      <c r="L568" s="393"/>
      <c r="M568" s="393"/>
      <c r="N568" s="393"/>
      <c r="O568" s="393"/>
    </row>
    <row r="569" spans="12:15" ht="15" hidden="1" x14ac:dyDescent="0.25">
      <c r="L569" s="393"/>
      <c r="M569" s="393"/>
      <c r="N569" s="393"/>
      <c r="O569" s="393"/>
    </row>
    <row r="570" spans="12:15" ht="15" hidden="1" x14ac:dyDescent="0.25">
      <c r="L570" s="393"/>
      <c r="M570" s="393"/>
      <c r="N570" s="393"/>
      <c r="O570" s="393"/>
    </row>
    <row r="571" spans="12:15" ht="15" hidden="1" x14ac:dyDescent="0.25">
      <c r="L571" s="393"/>
      <c r="M571" s="393"/>
      <c r="N571" s="393"/>
      <c r="O571" s="393"/>
    </row>
    <row r="572" spans="12:15" ht="15" hidden="1" x14ac:dyDescent="0.25">
      <c r="L572" s="393"/>
      <c r="M572" s="393"/>
      <c r="N572" s="393"/>
      <c r="O572" s="393"/>
    </row>
    <row r="573" spans="12:15" ht="15" hidden="1" x14ac:dyDescent="0.25">
      <c r="L573" s="393"/>
      <c r="M573" s="393"/>
      <c r="N573" s="393"/>
      <c r="O573" s="393"/>
    </row>
    <row r="574" spans="12:15" ht="15" hidden="1" x14ac:dyDescent="0.25">
      <c r="L574" s="393"/>
      <c r="M574" s="393"/>
      <c r="N574" s="393"/>
      <c r="O574" s="393"/>
    </row>
    <row r="575" spans="12:15" ht="15" hidden="1" x14ac:dyDescent="0.25">
      <c r="L575" s="393"/>
      <c r="M575" s="393"/>
      <c r="N575" s="393"/>
      <c r="O575" s="393"/>
    </row>
    <row r="576" spans="12:15" ht="15" hidden="1" x14ac:dyDescent="0.25">
      <c r="L576" s="393"/>
      <c r="M576" s="393"/>
      <c r="N576" s="393"/>
      <c r="O576" s="393"/>
    </row>
    <row r="577" spans="12:15" ht="15" hidden="1" x14ac:dyDescent="0.25">
      <c r="L577" s="393"/>
      <c r="M577" s="393"/>
      <c r="N577" s="393"/>
      <c r="O577" s="393"/>
    </row>
    <row r="578" spans="12:15" ht="15" hidden="1" x14ac:dyDescent="0.25">
      <c r="L578" s="393"/>
      <c r="M578" s="393"/>
      <c r="N578" s="393"/>
      <c r="O578" s="393"/>
    </row>
    <row r="579" spans="12:15" ht="15" hidden="1" x14ac:dyDescent="0.25">
      <c r="L579" s="393"/>
      <c r="M579" s="393"/>
      <c r="N579" s="393"/>
      <c r="O579" s="393"/>
    </row>
    <row r="580" spans="12:15" ht="15" hidden="1" x14ac:dyDescent="0.25">
      <c r="L580" s="393"/>
      <c r="M580" s="393"/>
      <c r="N580" s="393"/>
      <c r="O580" s="393"/>
    </row>
    <row r="581" spans="12:15" ht="15" hidden="1" x14ac:dyDescent="0.25">
      <c r="L581" s="393"/>
      <c r="M581" s="393"/>
      <c r="N581" s="393"/>
      <c r="O581" s="393"/>
    </row>
    <row r="582" spans="12:15" ht="15" hidden="1" x14ac:dyDescent="0.25">
      <c r="L582" s="393"/>
      <c r="M582" s="393"/>
      <c r="N582" s="393"/>
      <c r="O582" s="393"/>
    </row>
    <row r="583" spans="12:15" ht="15" hidden="1" x14ac:dyDescent="0.25">
      <c r="L583" s="393"/>
      <c r="M583" s="393"/>
      <c r="N583" s="393"/>
      <c r="O583" s="393"/>
    </row>
    <row r="584" spans="12:15" ht="15" hidden="1" x14ac:dyDescent="0.25">
      <c r="L584" s="393"/>
      <c r="M584" s="393"/>
      <c r="N584" s="393"/>
      <c r="O584" s="393"/>
    </row>
    <row r="585" spans="12:15" ht="15" hidden="1" x14ac:dyDescent="0.25">
      <c r="L585" s="393"/>
      <c r="M585" s="393"/>
      <c r="N585" s="393"/>
      <c r="O585" s="393"/>
    </row>
    <row r="586" spans="12:15" ht="15" hidden="1" x14ac:dyDescent="0.25">
      <c r="L586" s="393"/>
      <c r="M586" s="393"/>
      <c r="N586" s="393"/>
      <c r="O586" s="393"/>
    </row>
    <row r="587" spans="12:15" ht="15" hidden="1" x14ac:dyDescent="0.25">
      <c r="L587" s="393"/>
      <c r="M587" s="393"/>
      <c r="N587" s="393"/>
      <c r="O587" s="393"/>
    </row>
    <row r="588" spans="12:15" ht="15" hidden="1" x14ac:dyDescent="0.25">
      <c r="L588" s="393"/>
      <c r="M588" s="393"/>
      <c r="N588" s="393"/>
      <c r="O588" s="393"/>
    </row>
    <row r="589" spans="12:15" ht="15" hidden="1" x14ac:dyDescent="0.25">
      <c r="L589" s="393"/>
      <c r="M589" s="393"/>
      <c r="N589" s="393"/>
      <c r="O589" s="393"/>
    </row>
    <row r="590" spans="12:15" ht="15" hidden="1" x14ac:dyDescent="0.25">
      <c r="L590" s="393"/>
      <c r="M590" s="393"/>
      <c r="N590" s="393"/>
      <c r="O590" s="393"/>
    </row>
    <row r="591" spans="12:15" ht="15" hidden="1" x14ac:dyDescent="0.25">
      <c r="L591" s="393"/>
      <c r="M591" s="393"/>
      <c r="N591" s="393"/>
      <c r="O591" s="393"/>
    </row>
    <row r="592" spans="12:15" ht="15" hidden="1" x14ac:dyDescent="0.25">
      <c r="L592" s="393"/>
      <c r="M592" s="393"/>
      <c r="N592" s="393"/>
      <c r="O592" s="393"/>
    </row>
    <row r="593" spans="12:15" ht="15" hidden="1" x14ac:dyDescent="0.25">
      <c r="L593" s="393"/>
      <c r="M593" s="393"/>
      <c r="N593" s="393"/>
      <c r="O593" s="393"/>
    </row>
    <row r="594" spans="12:15" ht="15" hidden="1" x14ac:dyDescent="0.25">
      <c r="L594" s="393"/>
      <c r="M594" s="393"/>
      <c r="N594" s="393"/>
      <c r="O594" s="393"/>
    </row>
    <row r="595" spans="12:15" ht="15" hidden="1" x14ac:dyDescent="0.25">
      <c r="L595" s="393"/>
      <c r="M595" s="393"/>
      <c r="N595" s="393"/>
      <c r="O595" s="393"/>
    </row>
    <row r="596" spans="12:15" ht="15" hidden="1" x14ac:dyDescent="0.25">
      <c r="L596" s="393"/>
      <c r="M596" s="393"/>
      <c r="N596" s="393"/>
      <c r="O596" s="393"/>
    </row>
    <row r="597" spans="12:15" ht="15" hidden="1" x14ac:dyDescent="0.25">
      <c r="L597" s="393"/>
      <c r="M597" s="393"/>
      <c r="N597" s="393"/>
      <c r="O597" s="393"/>
    </row>
    <row r="598" spans="12:15" ht="15" hidden="1" x14ac:dyDescent="0.25">
      <c r="L598" s="393"/>
      <c r="M598" s="393"/>
      <c r="N598" s="393"/>
      <c r="O598" s="393"/>
    </row>
    <row r="599" spans="12:15" ht="15" hidden="1" x14ac:dyDescent="0.25">
      <c r="L599" s="393"/>
      <c r="M599" s="393"/>
      <c r="N599" s="393"/>
      <c r="O599" s="393"/>
    </row>
    <row r="600" spans="12:15" ht="15" hidden="1" x14ac:dyDescent="0.25">
      <c r="L600" s="393"/>
      <c r="M600" s="393"/>
      <c r="N600" s="393"/>
      <c r="O600" s="393"/>
    </row>
    <row r="601" spans="12:15" ht="15" hidden="1" x14ac:dyDescent="0.25">
      <c r="L601" s="393"/>
      <c r="M601" s="393"/>
      <c r="N601" s="393"/>
      <c r="O601" s="393"/>
    </row>
    <row r="602" spans="12:15" ht="15" hidden="1" x14ac:dyDescent="0.25">
      <c r="L602" s="393"/>
      <c r="M602" s="393"/>
      <c r="N602" s="393"/>
      <c r="O602" s="393"/>
    </row>
    <row r="603" spans="12:15" ht="15" hidden="1" x14ac:dyDescent="0.25">
      <c r="L603" s="393"/>
      <c r="M603" s="393"/>
      <c r="N603" s="393"/>
      <c r="O603" s="393"/>
    </row>
    <row r="604" spans="12:15" ht="15" hidden="1" x14ac:dyDescent="0.25">
      <c r="L604" s="393"/>
      <c r="M604" s="393"/>
      <c r="N604" s="393"/>
      <c r="O604" s="393"/>
    </row>
    <row r="605" spans="12:15" ht="15" hidden="1" x14ac:dyDescent="0.25">
      <c r="L605" s="393"/>
      <c r="M605" s="393"/>
      <c r="N605" s="393"/>
      <c r="O605" s="393"/>
    </row>
    <row r="606" spans="12:15" ht="15" hidden="1" x14ac:dyDescent="0.25">
      <c r="L606" s="393"/>
      <c r="M606" s="393"/>
      <c r="N606" s="393"/>
      <c r="O606" s="393"/>
    </row>
    <row r="607" spans="12:15" ht="15" hidden="1" x14ac:dyDescent="0.25">
      <c r="L607" s="393"/>
      <c r="M607" s="393"/>
      <c r="N607" s="393"/>
      <c r="O607" s="393"/>
    </row>
    <row r="608" spans="12:15" ht="15" hidden="1" x14ac:dyDescent="0.25">
      <c r="L608" s="393"/>
      <c r="M608" s="393"/>
      <c r="N608" s="393"/>
      <c r="O608" s="393"/>
    </row>
    <row r="609" spans="12:15" ht="15" hidden="1" x14ac:dyDescent="0.25">
      <c r="L609" s="393"/>
      <c r="M609" s="393"/>
      <c r="N609" s="393"/>
      <c r="O609" s="393"/>
    </row>
    <row r="610" spans="12:15" ht="15" hidden="1" x14ac:dyDescent="0.25">
      <c r="L610" s="393"/>
      <c r="M610" s="393"/>
      <c r="N610" s="393"/>
      <c r="O610" s="393"/>
    </row>
    <row r="611" spans="12:15" ht="15" hidden="1" x14ac:dyDescent="0.25">
      <c r="L611" s="393"/>
      <c r="M611" s="393"/>
      <c r="N611" s="393"/>
      <c r="O611" s="393"/>
    </row>
    <row r="612" spans="12:15" ht="15" hidden="1" x14ac:dyDescent="0.25">
      <c r="L612" s="393"/>
      <c r="M612" s="393"/>
      <c r="N612" s="393"/>
      <c r="O612" s="393"/>
    </row>
    <row r="613" spans="12:15" ht="15" hidden="1" x14ac:dyDescent="0.25">
      <c r="L613" s="393"/>
      <c r="M613" s="393"/>
      <c r="N613" s="393"/>
      <c r="O613" s="393"/>
    </row>
    <row r="614" spans="12:15" ht="15" hidden="1" x14ac:dyDescent="0.25">
      <c r="L614" s="393"/>
      <c r="M614" s="393"/>
      <c r="N614" s="393"/>
      <c r="O614" s="393"/>
    </row>
    <row r="615" spans="12:15" ht="15" hidden="1" x14ac:dyDescent="0.25">
      <c r="L615" s="393"/>
      <c r="M615" s="393"/>
      <c r="N615" s="393"/>
      <c r="O615" s="393"/>
    </row>
    <row r="616" spans="12:15" ht="15" hidden="1" x14ac:dyDescent="0.25">
      <c r="L616" s="393"/>
      <c r="M616" s="393"/>
      <c r="N616" s="393"/>
      <c r="O616" s="393"/>
    </row>
    <row r="617" spans="12:15" ht="15" hidden="1" x14ac:dyDescent="0.25">
      <c r="L617" s="393"/>
      <c r="M617" s="393"/>
      <c r="N617" s="393"/>
      <c r="O617" s="393"/>
    </row>
    <row r="618" spans="12:15" ht="15" hidden="1" x14ac:dyDescent="0.25">
      <c r="L618" s="393"/>
      <c r="M618" s="393"/>
      <c r="N618" s="393"/>
      <c r="O618" s="393"/>
    </row>
    <row r="619" spans="12:15" ht="15" hidden="1" x14ac:dyDescent="0.25">
      <c r="L619" s="393"/>
      <c r="M619" s="393"/>
      <c r="N619" s="393"/>
      <c r="O619" s="393"/>
    </row>
    <row r="620" spans="12:15" ht="15" hidden="1" x14ac:dyDescent="0.25">
      <c r="L620" s="393"/>
      <c r="M620" s="393"/>
      <c r="N620" s="393"/>
      <c r="O620" s="393"/>
    </row>
    <row r="621" spans="12:15" ht="15" hidden="1" x14ac:dyDescent="0.25">
      <c r="L621" s="393"/>
      <c r="M621" s="393"/>
      <c r="N621" s="393"/>
      <c r="O621" s="393"/>
    </row>
    <row r="622" spans="12:15" ht="15" hidden="1" x14ac:dyDescent="0.25">
      <c r="L622" s="393"/>
      <c r="M622" s="393"/>
      <c r="N622" s="393"/>
      <c r="O622" s="393"/>
    </row>
    <row r="623" spans="12:15" ht="15" hidden="1" x14ac:dyDescent="0.25">
      <c r="L623" s="393"/>
      <c r="M623" s="393"/>
      <c r="N623" s="393"/>
      <c r="O623" s="393"/>
    </row>
    <row r="624" spans="12:15" ht="15" hidden="1" x14ac:dyDescent="0.25">
      <c r="L624" s="393"/>
      <c r="M624" s="393"/>
      <c r="N624" s="393"/>
      <c r="O624" s="393"/>
    </row>
    <row r="625" spans="12:15" ht="15" hidden="1" x14ac:dyDescent="0.25">
      <c r="L625" s="393"/>
      <c r="M625" s="393"/>
      <c r="N625" s="393"/>
      <c r="O625" s="393"/>
    </row>
    <row r="626" spans="12:15" ht="15" hidden="1" x14ac:dyDescent="0.25">
      <c r="L626" s="393"/>
      <c r="M626" s="393"/>
      <c r="N626" s="393"/>
      <c r="O626" s="393"/>
    </row>
    <row r="627" spans="12:15" ht="15" hidden="1" x14ac:dyDescent="0.25">
      <c r="L627" s="393"/>
      <c r="M627" s="393"/>
      <c r="N627" s="393"/>
      <c r="O627" s="393"/>
    </row>
    <row r="628" spans="12:15" ht="15" hidden="1" x14ac:dyDescent="0.25">
      <c r="L628" s="393"/>
      <c r="M628" s="393"/>
      <c r="N628" s="393"/>
      <c r="O628" s="393"/>
    </row>
    <row r="629" spans="12:15" ht="15" hidden="1" x14ac:dyDescent="0.25">
      <c r="L629" s="393"/>
      <c r="M629" s="393"/>
      <c r="N629" s="393"/>
      <c r="O629" s="393"/>
    </row>
    <row r="630" spans="12:15" ht="15" hidden="1" x14ac:dyDescent="0.25">
      <c r="L630" s="393"/>
      <c r="M630" s="393"/>
      <c r="N630" s="393"/>
      <c r="O630" s="393"/>
    </row>
    <row r="631" spans="12:15" ht="15" hidden="1" x14ac:dyDescent="0.25">
      <c r="L631" s="393"/>
      <c r="M631" s="393"/>
      <c r="N631" s="393"/>
      <c r="O631" s="393"/>
    </row>
    <row r="632" spans="12:15" ht="15" hidden="1" x14ac:dyDescent="0.25">
      <c r="L632" s="393"/>
      <c r="M632" s="393"/>
      <c r="N632" s="393"/>
      <c r="O632" s="393"/>
    </row>
    <row r="633" spans="12:15" ht="15" hidden="1" x14ac:dyDescent="0.25">
      <c r="L633" s="393"/>
      <c r="M633" s="393"/>
      <c r="N633" s="393"/>
      <c r="O633" s="393"/>
    </row>
    <row r="634" spans="12:15" ht="15" hidden="1" x14ac:dyDescent="0.25">
      <c r="L634" s="393"/>
      <c r="M634" s="393"/>
      <c r="N634" s="393"/>
      <c r="O634" s="393"/>
    </row>
    <row r="635" spans="12:15" ht="15" hidden="1" x14ac:dyDescent="0.25">
      <c r="L635" s="393"/>
      <c r="M635" s="393"/>
      <c r="N635" s="393"/>
      <c r="O635" s="393"/>
    </row>
    <row r="636" spans="12:15" ht="15" hidden="1" x14ac:dyDescent="0.25">
      <c r="L636" s="393"/>
      <c r="M636" s="393"/>
      <c r="N636" s="393"/>
      <c r="O636" s="393"/>
    </row>
    <row r="637" spans="12:15" ht="15" hidden="1" x14ac:dyDescent="0.25">
      <c r="L637" s="393"/>
      <c r="M637" s="393"/>
      <c r="N637" s="393"/>
      <c r="O637" s="393"/>
    </row>
    <row r="638" spans="12:15" ht="15" hidden="1" x14ac:dyDescent="0.25">
      <c r="L638" s="393"/>
      <c r="M638" s="393"/>
      <c r="N638" s="393"/>
      <c r="O638" s="393"/>
    </row>
    <row r="639" spans="12:15" ht="15" hidden="1" x14ac:dyDescent="0.25">
      <c r="L639" s="393"/>
      <c r="M639" s="393"/>
      <c r="N639" s="393"/>
      <c r="O639" s="393"/>
    </row>
    <row r="640" spans="12:15" ht="15" hidden="1" x14ac:dyDescent="0.25">
      <c r="L640" s="393"/>
      <c r="M640" s="393"/>
      <c r="N640" s="393"/>
      <c r="O640" s="393"/>
    </row>
    <row r="641" spans="12:15" ht="15" hidden="1" x14ac:dyDescent="0.25">
      <c r="L641" s="393"/>
      <c r="M641" s="393"/>
      <c r="N641" s="393"/>
      <c r="O641" s="393"/>
    </row>
    <row r="642" spans="12:15" ht="15" hidden="1" x14ac:dyDescent="0.25">
      <c r="L642" s="393"/>
      <c r="M642" s="393"/>
      <c r="N642" s="393"/>
      <c r="O642" s="393"/>
    </row>
    <row r="643" spans="12:15" ht="15" hidden="1" x14ac:dyDescent="0.25">
      <c r="L643" s="393"/>
      <c r="M643" s="393"/>
      <c r="N643" s="393"/>
      <c r="O643" s="393"/>
    </row>
    <row r="644" spans="12:15" ht="15" hidden="1" x14ac:dyDescent="0.25">
      <c r="L644" s="393"/>
      <c r="M644" s="393"/>
      <c r="N644" s="393"/>
      <c r="O644" s="393"/>
    </row>
    <row r="645" spans="12:15" ht="15" hidden="1" x14ac:dyDescent="0.25">
      <c r="L645" s="393"/>
      <c r="M645" s="393"/>
      <c r="N645" s="393"/>
      <c r="O645" s="393"/>
    </row>
    <row r="646" spans="12:15" ht="15" hidden="1" x14ac:dyDescent="0.25">
      <c r="L646" s="393"/>
      <c r="M646" s="393"/>
      <c r="N646" s="393"/>
      <c r="O646" s="393"/>
    </row>
    <row r="647" spans="12:15" ht="15" hidden="1" x14ac:dyDescent="0.25">
      <c r="L647" s="393"/>
      <c r="M647" s="393"/>
      <c r="N647" s="393"/>
      <c r="O647" s="393"/>
    </row>
    <row r="648" spans="12:15" ht="15" hidden="1" x14ac:dyDescent="0.25">
      <c r="L648" s="393"/>
      <c r="M648" s="393"/>
      <c r="N648" s="393"/>
      <c r="O648" s="393"/>
    </row>
    <row r="649" spans="12:15" ht="15" hidden="1" x14ac:dyDescent="0.25">
      <c r="L649" s="393"/>
      <c r="M649" s="393"/>
      <c r="N649" s="393"/>
      <c r="O649" s="393"/>
    </row>
    <row r="650" spans="12:15" ht="15" hidden="1" x14ac:dyDescent="0.25">
      <c r="L650" s="393"/>
      <c r="M650" s="393"/>
      <c r="N650" s="393"/>
      <c r="O650" s="393"/>
    </row>
    <row r="651" spans="12:15" ht="15" hidden="1" x14ac:dyDescent="0.25">
      <c r="L651" s="393"/>
      <c r="M651" s="393"/>
      <c r="N651" s="393"/>
      <c r="O651" s="393"/>
    </row>
    <row r="652" spans="12:15" ht="15" hidden="1" x14ac:dyDescent="0.25">
      <c r="L652" s="393"/>
      <c r="M652" s="393"/>
      <c r="N652" s="393"/>
      <c r="O652" s="393"/>
    </row>
    <row r="653" spans="12:15" ht="15" hidden="1" x14ac:dyDescent="0.25">
      <c r="L653" s="393"/>
      <c r="M653" s="393"/>
      <c r="N653" s="393"/>
      <c r="O653" s="393"/>
    </row>
    <row r="654" spans="12:15" ht="15" hidden="1" x14ac:dyDescent="0.25">
      <c r="L654" s="393"/>
      <c r="M654" s="393"/>
      <c r="N654" s="393"/>
      <c r="O654" s="393"/>
    </row>
    <row r="655" spans="12:15" ht="15" hidden="1" x14ac:dyDescent="0.25">
      <c r="L655" s="393"/>
      <c r="M655" s="393"/>
      <c r="N655" s="393"/>
      <c r="O655" s="393"/>
    </row>
    <row r="656" spans="12:15" ht="15" hidden="1" x14ac:dyDescent="0.25">
      <c r="L656" s="393"/>
      <c r="M656" s="393"/>
      <c r="N656" s="393"/>
      <c r="O656" s="393"/>
    </row>
    <row r="657" spans="12:15" ht="15" hidden="1" x14ac:dyDescent="0.25">
      <c r="L657" s="393"/>
      <c r="M657" s="393"/>
      <c r="N657" s="393"/>
      <c r="O657" s="393"/>
    </row>
    <row r="658" spans="12:15" ht="15" hidden="1" x14ac:dyDescent="0.25">
      <c r="L658" s="393"/>
      <c r="M658" s="393"/>
      <c r="N658" s="393"/>
      <c r="O658" s="393"/>
    </row>
    <row r="659" spans="12:15" ht="15" hidden="1" x14ac:dyDescent="0.25">
      <c r="L659" s="393"/>
      <c r="M659" s="393"/>
      <c r="N659" s="393"/>
      <c r="O659" s="393"/>
    </row>
    <row r="660" spans="12:15" ht="15" hidden="1" x14ac:dyDescent="0.25">
      <c r="L660" s="393"/>
      <c r="M660" s="393"/>
      <c r="N660" s="393"/>
      <c r="O660" s="393"/>
    </row>
    <row r="661" spans="12:15" ht="15" hidden="1" x14ac:dyDescent="0.25">
      <c r="L661" s="393"/>
      <c r="M661" s="393"/>
      <c r="N661" s="393"/>
      <c r="O661" s="393"/>
    </row>
    <row r="662" spans="12:15" ht="15" hidden="1" x14ac:dyDescent="0.25">
      <c r="L662" s="393"/>
      <c r="M662" s="393"/>
      <c r="N662" s="393"/>
      <c r="O662" s="393"/>
    </row>
    <row r="663" spans="12:15" ht="15" hidden="1" x14ac:dyDescent="0.25">
      <c r="L663" s="393"/>
      <c r="M663" s="393"/>
      <c r="N663" s="393"/>
      <c r="O663" s="393"/>
    </row>
    <row r="664" spans="12:15" ht="15" hidden="1" x14ac:dyDescent="0.25">
      <c r="L664" s="393"/>
      <c r="M664" s="393"/>
      <c r="N664" s="393"/>
      <c r="O664" s="393"/>
    </row>
    <row r="665" spans="12:15" ht="15" hidden="1" x14ac:dyDescent="0.25">
      <c r="L665" s="393"/>
      <c r="M665" s="393"/>
      <c r="N665" s="393"/>
      <c r="O665" s="393"/>
    </row>
    <row r="666" spans="12:15" ht="15" hidden="1" x14ac:dyDescent="0.25">
      <c r="L666" s="393"/>
      <c r="M666" s="393"/>
      <c r="N666" s="393"/>
      <c r="O666" s="393"/>
    </row>
    <row r="667" spans="12:15" ht="15" hidden="1" x14ac:dyDescent="0.25">
      <c r="L667" s="393"/>
      <c r="M667" s="393"/>
      <c r="N667" s="393"/>
      <c r="O667" s="393"/>
    </row>
    <row r="668" spans="12:15" ht="15" hidden="1" x14ac:dyDescent="0.25">
      <c r="L668" s="393"/>
      <c r="M668" s="393"/>
      <c r="N668" s="393"/>
      <c r="O668" s="393"/>
    </row>
    <row r="669" spans="12:15" ht="15" hidden="1" x14ac:dyDescent="0.25">
      <c r="L669" s="393"/>
      <c r="M669" s="393"/>
      <c r="N669" s="393"/>
      <c r="O669" s="393"/>
    </row>
    <row r="670" spans="12:15" ht="15" hidden="1" x14ac:dyDescent="0.25">
      <c r="L670" s="393"/>
      <c r="M670" s="393"/>
      <c r="N670" s="393"/>
      <c r="O670" s="393"/>
    </row>
    <row r="671" spans="12:15" ht="15" hidden="1" x14ac:dyDescent="0.25">
      <c r="L671" s="393"/>
      <c r="M671" s="393"/>
      <c r="N671" s="393"/>
      <c r="O671" s="393"/>
    </row>
    <row r="672" spans="12:15" ht="15" hidden="1" x14ac:dyDescent="0.25">
      <c r="L672" s="393"/>
      <c r="M672" s="393"/>
      <c r="N672" s="393"/>
      <c r="O672" s="393"/>
    </row>
    <row r="673" spans="12:15" ht="15" hidden="1" x14ac:dyDescent="0.25">
      <c r="L673" s="393"/>
      <c r="M673" s="393"/>
      <c r="N673" s="393"/>
      <c r="O673" s="393"/>
    </row>
    <row r="674" spans="12:15" ht="15" hidden="1" x14ac:dyDescent="0.25">
      <c r="L674" s="393"/>
      <c r="M674" s="393"/>
      <c r="N674" s="393"/>
      <c r="O674" s="393"/>
    </row>
    <row r="675" spans="12:15" ht="15" hidden="1" x14ac:dyDescent="0.25">
      <c r="L675" s="393"/>
      <c r="M675" s="393"/>
      <c r="N675" s="393"/>
      <c r="O675" s="393"/>
    </row>
    <row r="676" spans="12:15" ht="15" hidden="1" x14ac:dyDescent="0.25">
      <c r="L676" s="393"/>
      <c r="M676" s="393"/>
      <c r="N676" s="393"/>
      <c r="O676" s="393"/>
    </row>
    <row r="677" spans="12:15" ht="15" hidden="1" x14ac:dyDescent="0.25">
      <c r="L677" s="393"/>
      <c r="M677" s="393"/>
      <c r="N677" s="393"/>
      <c r="O677" s="393"/>
    </row>
    <row r="678" spans="12:15" ht="15" hidden="1" x14ac:dyDescent="0.25">
      <c r="L678" s="393"/>
      <c r="M678" s="393"/>
      <c r="N678" s="393"/>
      <c r="O678" s="393"/>
    </row>
    <row r="679" spans="12:15" ht="15" hidden="1" x14ac:dyDescent="0.25">
      <c r="L679" s="393"/>
      <c r="M679" s="393"/>
      <c r="N679" s="393"/>
      <c r="O679" s="393"/>
    </row>
    <row r="680" spans="12:15" ht="15" hidden="1" x14ac:dyDescent="0.25">
      <c r="L680" s="393"/>
      <c r="M680" s="393"/>
      <c r="N680" s="393"/>
      <c r="O680" s="393"/>
    </row>
    <row r="681" spans="12:15" ht="15" hidden="1" x14ac:dyDescent="0.25">
      <c r="L681" s="393"/>
      <c r="M681" s="393"/>
      <c r="N681" s="393"/>
      <c r="O681" s="393"/>
    </row>
    <row r="682" spans="12:15" ht="15" hidden="1" x14ac:dyDescent="0.25">
      <c r="L682" s="393"/>
      <c r="M682" s="393"/>
      <c r="N682" s="393"/>
      <c r="O682" s="393"/>
    </row>
    <row r="683" spans="12:15" ht="15" hidden="1" x14ac:dyDescent="0.25">
      <c r="L683" s="393"/>
      <c r="M683" s="393"/>
      <c r="N683" s="393"/>
      <c r="O683" s="393"/>
    </row>
    <row r="684" spans="12:15" ht="15" hidden="1" x14ac:dyDescent="0.25">
      <c r="L684" s="393"/>
      <c r="M684" s="393"/>
      <c r="N684" s="393"/>
      <c r="O684" s="393"/>
    </row>
    <row r="685" spans="12:15" ht="15" hidden="1" x14ac:dyDescent="0.25">
      <c r="L685" s="393"/>
      <c r="M685" s="393"/>
      <c r="N685" s="393"/>
      <c r="O685" s="393"/>
    </row>
    <row r="686" spans="12:15" ht="15" hidden="1" x14ac:dyDescent="0.25">
      <c r="L686" s="393"/>
      <c r="M686" s="393"/>
      <c r="N686" s="393"/>
      <c r="O686" s="393"/>
    </row>
    <row r="687" spans="12:15" ht="15" hidden="1" x14ac:dyDescent="0.25">
      <c r="L687" s="393"/>
      <c r="M687" s="393"/>
      <c r="N687" s="393"/>
      <c r="O687" s="393"/>
    </row>
    <row r="688" spans="12:15" ht="15" hidden="1" x14ac:dyDescent="0.25">
      <c r="L688" s="393"/>
      <c r="M688" s="393"/>
      <c r="N688" s="393"/>
      <c r="O688" s="393"/>
    </row>
    <row r="689" spans="12:15" ht="15" hidden="1" x14ac:dyDescent="0.25">
      <c r="L689" s="393"/>
      <c r="M689" s="393"/>
      <c r="N689" s="393"/>
      <c r="O689" s="393"/>
    </row>
    <row r="690" spans="12:15" ht="15" hidden="1" x14ac:dyDescent="0.25">
      <c r="L690" s="393"/>
      <c r="M690" s="393"/>
      <c r="N690" s="393"/>
      <c r="O690" s="393"/>
    </row>
    <row r="691" spans="12:15" ht="15" hidden="1" x14ac:dyDescent="0.25">
      <c r="L691" s="393"/>
      <c r="M691" s="393"/>
      <c r="N691" s="393"/>
      <c r="O691" s="393"/>
    </row>
    <row r="692" spans="12:15" ht="15" hidden="1" x14ac:dyDescent="0.25">
      <c r="L692" s="393"/>
      <c r="M692" s="393"/>
      <c r="N692" s="393"/>
      <c r="O692" s="393"/>
    </row>
    <row r="693" spans="12:15" ht="15" hidden="1" x14ac:dyDescent="0.25">
      <c r="L693" s="393"/>
      <c r="M693" s="393"/>
      <c r="N693" s="393"/>
      <c r="O693" s="393"/>
    </row>
    <row r="694" spans="12:15" ht="15" hidden="1" x14ac:dyDescent="0.25">
      <c r="L694" s="393"/>
      <c r="M694" s="393"/>
      <c r="N694" s="393"/>
      <c r="O694" s="393"/>
    </row>
    <row r="695" spans="12:15" ht="15" hidden="1" x14ac:dyDescent="0.25">
      <c r="L695" s="393"/>
      <c r="M695" s="393"/>
      <c r="N695" s="393"/>
      <c r="O695" s="393"/>
    </row>
    <row r="696" spans="12:15" ht="15" hidden="1" x14ac:dyDescent="0.25">
      <c r="L696" s="393"/>
      <c r="M696" s="393"/>
      <c r="N696" s="393"/>
      <c r="O696" s="393"/>
    </row>
    <row r="697" spans="12:15" ht="15" hidden="1" x14ac:dyDescent="0.25">
      <c r="L697" s="393"/>
      <c r="M697" s="393"/>
      <c r="N697" s="393"/>
      <c r="O697" s="393"/>
    </row>
    <row r="698" spans="12:15" ht="15" hidden="1" x14ac:dyDescent="0.25">
      <c r="L698" s="393"/>
      <c r="M698" s="393"/>
      <c r="N698" s="393"/>
      <c r="O698" s="393"/>
    </row>
    <row r="699" spans="12:15" ht="15" hidden="1" x14ac:dyDescent="0.25">
      <c r="L699" s="393"/>
      <c r="M699" s="393"/>
      <c r="N699" s="393"/>
      <c r="O699" s="393"/>
    </row>
    <row r="700" spans="12:15" ht="15" hidden="1" x14ac:dyDescent="0.25">
      <c r="L700" s="393"/>
      <c r="M700" s="393"/>
      <c r="N700" s="393"/>
      <c r="O700" s="393"/>
    </row>
    <row r="701" spans="12:15" ht="15" hidden="1" x14ac:dyDescent="0.25">
      <c r="L701" s="393"/>
      <c r="M701" s="393"/>
      <c r="N701" s="393"/>
      <c r="O701" s="393"/>
    </row>
    <row r="702" spans="12:15" ht="15" hidden="1" x14ac:dyDescent="0.25">
      <c r="L702" s="393"/>
      <c r="M702" s="393"/>
      <c r="N702" s="393"/>
      <c r="O702" s="393"/>
    </row>
    <row r="703" spans="12:15" ht="15" hidden="1" x14ac:dyDescent="0.25">
      <c r="L703" s="393"/>
      <c r="M703" s="393"/>
      <c r="N703" s="393"/>
      <c r="O703" s="393"/>
    </row>
    <row r="704" spans="12:15" ht="15" hidden="1" x14ac:dyDescent="0.25">
      <c r="L704" s="393"/>
      <c r="M704" s="393"/>
      <c r="N704" s="393"/>
      <c r="O704" s="393"/>
    </row>
    <row r="705" spans="12:15" ht="15" hidden="1" x14ac:dyDescent="0.25">
      <c r="L705" s="393"/>
      <c r="M705" s="393"/>
      <c r="N705" s="393"/>
      <c r="O705" s="393"/>
    </row>
    <row r="706" spans="12:15" ht="15" hidden="1" x14ac:dyDescent="0.25">
      <c r="L706" s="393"/>
      <c r="M706" s="393"/>
      <c r="N706" s="393"/>
      <c r="O706" s="393"/>
    </row>
    <row r="707" spans="12:15" ht="15" hidden="1" x14ac:dyDescent="0.25">
      <c r="L707" s="393"/>
      <c r="M707" s="393"/>
      <c r="N707" s="393"/>
      <c r="O707" s="393"/>
    </row>
    <row r="708" spans="12:15" ht="15" hidden="1" x14ac:dyDescent="0.25">
      <c r="L708" s="393"/>
      <c r="M708" s="393"/>
      <c r="N708" s="393"/>
      <c r="O708" s="393"/>
    </row>
    <row r="709" spans="12:15" ht="15" hidden="1" x14ac:dyDescent="0.25">
      <c r="L709" s="393"/>
      <c r="M709" s="393"/>
      <c r="N709" s="393"/>
      <c r="O709" s="393"/>
    </row>
    <row r="710" spans="12:15" ht="15" hidden="1" x14ac:dyDescent="0.25">
      <c r="L710" s="393"/>
      <c r="M710" s="393"/>
      <c r="N710" s="393"/>
      <c r="O710" s="393"/>
    </row>
    <row r="711" spans="12:15" ht="15" hidden="1" x14ac:dyDescent="0.25">
      <c r="L711" s="393"/>
      <c r="M711" s="393"/>
      <c r="N711" s="393"/>
      <c r="O711" s="393"/>
    </row>
    <row r="712" spans="12:15" ht="15" hidden="1" x14ac:dyDescent="0.25">
      <c r="L712" s="393"/>
      <c r="M712" s="393"/>
      <c r="N712" s="393"/>
      <c r="O712" s="393"/>
    </row>
    <row r="713" spans="12:15" ht="15" hidden="1" x14ac:dyDescent="0.25">
      <c r="L713" s="393"/>
      <c r="M713" s="393"/>
      <c r="N713" s="393"/>
      <c r="O713" s="393"/>
    </row>
    <row r="714" spans="12:15" ht="15" hidden="1" x14ac:dyDescent="0.25">
      <c r="L714" s="393"/>
      <c r="M714" s="393"/>
      <c r="N714" s="393"/>
      <c r="O714" s="393"/>
    </row>
    <row r="715" spans="12:15" ht="15" hidden="1" x14ac:dyDescent="0.25">
      <c r="L715" s="393"/>
      <c r="M715" s="393"/>
      <c r="N715" s="393"/>
      <c r="O715" s="393"/>
    </row>
    <row r="716" spans="12:15" ht="15" hidden="1" x14ac:dyDescent="0.25">
      <c r="L716" s="393"/>
      <c r="M716" s="393"/>
      <c r="N716" s="393"/>
      <c r="O716" s="393"/>
    </row>
    <row r="717" spans="12:15" ht="15" hidden="1" x14ac:dyDescent="0.25">
      <c r="L717" s="393"/>
      <c r="M717" s="393"/>
      <c r="N717" s="393"/>
      <c r="O717" s="393"/>
    </row>
    <row r="718" spans="12:15" ht="15" hidden="1" x14ac:dyDescent="0.25">
      <c r="L718" s="393"/>
      <c r="M718" s="393"/>
      <c r="N718" s="393"/>
      <c r="O718" s="393"/>
    </row>
    <row r="719" spans="12:15" ht="15" hidden="1" x14ac:dyDescent="0.25">
      <c r="L719" s="393"/>
      <c r="M719" s="393"/>
      <c r="N719" s="393"/>
      <c r="O719" s="393"/>
    </row>
    <row r="720" spans="12:15" ht="15" hidden="1" x14ac:dyDescent="0.25">
      <c r="L720" s="393"/>
      <c r="M720" s="393"/>
      <c r="N720" s="393"/>
      <c r="O720" s="393"/>
    </row>
    <row r="721" spans="12:15" ht="15" hidden="1" x14ac:dyDescent="0.25">
      <c r="L721" s="393"/>
      <c r="M721" s="393"/>
      <c r="N721" s="393"/>
      <c r="O721" s="393"/>
    </row>
    <row r="722" spans="12:15" ht="15" hidden="1" x14ac:dyDescent="0.25">
      <c r="L722" s="393"/>
      <c r="M722" s="393"/>
      <c r="N722" s="393"/>
      <c r="O722" s="393"/>
    </row>
    <row r="723" spans="12:15" ht="15" hidden="1" x14ac:dyDescent="0.25">
      <c r="L723" s="393"/>
      <c r="M723" s="393"/>
      <c r="N723" s="393"/>
      <c r="O723" s="393"/>
    </row>
    <row r="724" spans="12:15" ht="15" hidden="1" x14ac:dyDescent="0.25">
      <c r="L724" s="393"/>
      <c r="M724" s="393"/>
      <c r="N724" s="393"/>
      <c r="O724" s="393"/>
    </row>
    <row r="725" spans="12:15" ht="15" hidden="1" x14ac:dyDescent="0.25">
      <c r="L725" s="393"/>
      <c r="M725" s="393"/>
      <c r="N725" s="393"/>
      <c r="O725" s="393"/>
    </row>
    <row r="726" spans="12:15" ht="15" hidden="1" x14ac:dyDescent="0.25">
      <c r="L726" s="393"/>
      <c r="M726" s="393"/>
      <c r="N726" s="393"/>
      <c r="O726" s="393"/>
    </row>
    <row r="727" spans="12:15" ht="15" hidden="1" x14ac:dyDescent="0.25">
      <c r="L727" s="393"/>
      <c r="M727" s="393"/>
      <c r="N727" s="393"/>
      <c r="O727" s="393"/>
    </row>
    <row r="728" spans="12:15" ht="15" hidden="1" x14ac:dyDescent="0.25">
      <c r="L728" s="393"/>
      <c r="M728" s="393"/>
      <c r="N728" s="393"/>
      <c r="O728" s="393"/>
    </row>
    <row r="729" spans="12:15" ht="15" hidden="1" x14ac:dyDescent="0.25">
      <c r="L729" s="393"/>
      <c r="M729" s="393"/>
      <c r="N729" s="393"/>
      <c r="O729" s="393"/>
    </row>
    <row r="730" spans="12:15" ht="15" hidden="1" x14ac:dyDescent="0.25">
      <c r="L730" s="393"/>
      <c r="M730" s="393"/>
      <c r="N730" s="393"/>
      <c r="O730" s="393"/>
    </row>
    <row r="731" spans="12:15" ht="15" hidden="1" x14ac:dyDescent="0.25">
      <c r="L731" s="393"/>
      <c r="M731" s="393"/>
      <c r="N731" s="393"/>
      <c r="O731" s="393"/>
    </row>
    <row r="732" spans="12:15" ht="15" hidden="1" x14ac:dyDescent="0.25">
      <c r="L732" s="393"/>
      <c r="M732" s="393"/>
      <c r="N732" s="393"/>
      <c r="O732" s="393"/>
    </row>
    <row r="733" spans="12:15" ht="15" hidden="1" x14ac:dyDescent="0.25">
      <c r="L733" s="393"/>
      <c r="M733" s="393"/>
      <c r="N733" s="393"/>
      <c r="O733" s="393"/>
    </row>
    <row r="734" spans="12:15" ht="15" hidden="1" x14ac:dyDescent="0.25">
      <c r="L734" s="393"/>
      <c r="M734" s="393"/>
      <c r="N734" s="393"/>
      <c r="O734" s="393"/>
    </row>
    <row r="735" spans="12:15" ht="15" hidden="1" x14ac:dyDescent="0.25">
      <c r="L735" s="393"/>
      <c r="M735" s="393"/>
      <c r="N735" s="393"/>
      <c r="O735" s="393"/>
    </row>
    <row r="736" spans="12:15" ht="15" hidden="1" x14ac:dyDescent="0.25">
      <c r="L736" s="393"/>
      <c r="M736" s="393"/>
      <c r="N736" s="393"/>
      <c r="O736" s="393"/>
    </row>
    <row r="737" spans="12:15" ht="15" hidden="1" x14ac:dyDescent="0.25">
      <c r="L737" s="393"/>
      <c r="M737" s="393"/>
      <c r="N737" s="393"/>
      <c r="O737" s="393"/>
    </row>
    <row r="738" spans="12:15" ht="15" hidden="1" x14ac:dyDescent="0.25">
      <c r="L738" s="393"/>
      <c r="M738" s="393"/>
      <c r="N738" s="393"/>
      <c r="O738" s="393"/>
    </row>
    <row r="739" spans="12:15" ht="15" hidden="1" x14ac:dyDescent="0.25">
      <c r="L739" s="393"/>
      <c r="M739" s="393"/>
      <c r="N739" s="393"/>
      <c r="O739" s="393"/>
    </row>
    <row r="740" spans="12:15" ht="15" hidden="1" x14ac:dyDescent="0.25">
      <c r="L740" s="393"/>
      <c r="M740" s="393"/>
      <c r="N740" s="393"/>
      <c r="O740" s="393"/>
    </row>
    <row r="741" spans="12:15" ht="15" hidden="1" x14ac:dyDescent="0.25">
      <c r="L741" s="393"/>
      <c r="M741" s="393"/>
      <c r="N741" s="393"/>
      <c r="O741" s="393"/>
    </row>
    <row r="742" spans="12:15" ht="15" hidden="1" x14ac:dyDescent="0.25">
      <c r="L742" s="393"/>
      <c r="M742" s="393"/>
      <c r="N742" s="393"/>
      <c r="O742" s="393"/>
    </row>
    <row r="743" spans="12:15" ht="15" hidden="1" x14ac:dyDescent="0.25">
      <c r="L743" s="393"/>
      <c r="M743" s="393"/>
      <c r="N743" s="393"/>
      <c r="O743" s="393"/>
    </row>
    <row r="744" spans="12:15" ht="15" hidden="1" x14ac:dyDescent="0.25">
      <c r="L744" s="393"/>
      <c r="M744" s="393"/>
      <c r="N744" s="393"/>
      <c r="O744" s="393"/>
    </row>
    <row r="745" spans="12:15" ht="15" hidden="1" x14ac:dyDescent="0.25">
      <c r="L745" s="393"/>
      <c r="M745" s="393"/>
      <c r="N745" s="393"/>
      <c r="O745" s="393"/>
    </row>
    <row r="746" spans="12:15" ht="15" hidden="1" x14ac:dyDescent="0.25">
      <c r="L746" s="393"/>
      <c r="M746" s="393"/>
      <c r="N746" s="393"/>
      <c r="O746" s="393"/>
    </row>
    <row r="747" spans="12:15" ht="15" hidden="1" x14ac:dyDescent="0.25">
      <c r="L747" s="393"/>
      <c r="M747" s="393"/>
      <c r="N747" s="393"/>
      <c r="O747" s="393"/>
    </row>
    <row r="748" spans="12:15" ht="15" hidden="1" x14ac:dyDescent="0.25">
      <c r="L748" s="393"/>
      <c r="M748" s="393"/>
      <c r="N748" s="393"/>
      <c r="O748" s="393"/>
    </row>
    <row r="749" spans="12:15" ht="15" hidden="1" x14ac:dyDescent="0.25">
      <c r="L749" s="393"/>
      <c r="M749" s="393"/>
      <c r="N749" s="393"/>
      <c r="O749" s="393"/>
    </row>
    <row r="750" spans="12:15" ht="15" hidden="1" x14ac:dyDescent="0.25">
      <c r="L750" s="393"/>
      <c r="M750" s="393"/>
      <c r="N750" s="393"/>
      <c r="O750" s="393"/>
    </row>
    <row r="751" spans="12:15" ht="15" hidden="1" x14ac:dyDescent="0.25">
      <c r="L751" s="393"/>
      <c r="M751" s="393"/>
      <c r="N751" s="393"/>
      <c r="O751" s="393"/>
    </row>
    <row r="752" spans="12:15" ht="15" hidden="1" x14ac:dyDescent="0.25">
      <c r="L752" s="393"/>
      <c r="M752" s="393"/>
      <c r="N752" s="393"/>
      <c r="O752" s="393"/>
    </row>
    <row r="753" spans="12:15" ht="15" hidden="1" x14ac:dyDescent="0.25">
      <c r="L753" s="393"/>
      <c r="M753" s="393"/>
      <c r="N753" s="393"/>
      <c r="O753" s="393"/>
    </row>
    <row r="754" spans="12:15" ht="15" hidden="1" x14ac:dyDescent="0.25">
      <c r="L754" s="393"/>
      <c r="M754" s="393"/>
      <c r="N754" s="393"/>
      <c r="O754" s="393"/>
    </row>
    <row r="755" spans="12:15" ht="15" hidden="1" x14ac:dyDescent="0.25">
      <c r="L755" s="393"/>
      <c r="M755" s="393"/>
      <c r="N755" s="393"/>
      <c r="O755" s="393"/>
    </row>
    <row r="756" spans="12:15" ht="15" hidden="1" x14ac:dyDescent="0.25">
      <c r="L756" s="393"/>
      <c r="M756" s="393"/>
      <c r="N756" s="393"/>
      <c r="O756" s="393"/>
    </row>
    <row r="757" spans="12:15" ht="15" hidden="1" x14ac:dyDescent="0.25">
      <c r="L757" s="393"/>
      <c r="M757" s="393"/>
      <c r="N757" s="393"/>
      <c r="O757" s="393"/>
    </row>
    <row r="758" spans="12:15" ht="15" hidden="1" x14ac:dyDescent="0.25">
      <c r="L758" s="393"/>
      <c r="M758" s="393"/>
      <c r="N758" s="393"/>
      <c r="O758" s="393"/>
    </row>
    <row r="759" spans="12:15" ht="15" hidden="1" x14ac:dyDescent="0.25">
      <c r="L759" s="393"/>
      <c r="M759" s="393"/>
      <c r="N759" s="393"/>
      <c r="O759" s="393"/>
    </row>
    <row r="760" spans="12:15" ht="15" hidden="1" x14ac:dyDescent="0.25">
      <c r="L760" s="393"/>
      <c r="M760" s="393"/>
      <c r="N760" s="393"/>
      <c r="O760" s="393"/>
    </row>
    <row r="761" spans="12:15" ht="15" hidden="1" x14ac:dyDescent="0.25">
      <c r="L761" s="393"/>
      <c r="M761" s="393"/>
      <c r="N761" s="393"/>
      <c r="O761" s="393"/>
    </row>
    <row r="762" spans="12:15" ht="15" hidden="1" x14ac:dyDescent="0.25">
      <c r="L762" s="393"/>
      <c r="M762" s="393"/>
      <c r="N762" s="393"/>
      <c r="O762" s="393"/>
    </row>
    <row r="763" spans="12:15" ht="15" hidden="1" x14ac:dyDescent="0.25">
      <c r="L763" s="393"/>
      <c r="M763" s="393"/>
      <c r="N763" s="393"/>
      <c r="O763" s="393"/>
    </row>
    <row r="764" spans="12:15" ht="15" hidden="1" x14ac:dyDescent="0.25">
      <c r="L764" s="393"/>
      <c r="M764" s="393"/>
      <c r="N764" s="393"/>
      <c r="O764" s="393"/>
    </row>
    <row r="765" spans="12:15" ht="15" hidden="1" x14ac:dyDescent="0.25">
      <c r="L765" s="393"/>
      <c r="M765" s="393"/>
      <c r="N765" s="393"/>
      <c r="O765" s="393"/>
    </row>
    <row r="766" spans="12:15" ht="15" hidden="1" x14ac:dyDescent="0.25">
      <c r="L766" s="393"/>
      <c r="M766" s="393"/>
      <c r="N766" s="393"/>
      <c r="O766" s="393"/>
    </row>
    <row r="767" spans="12:15" ht="15" hidden="1" x14ac:dyDescent="0.25">
      <c r="L767" s="393"/>
      <c r="M767" s="393"/>
      <c r="N767" s="393"/>
      <c r="O767" s="393"/>
    </row>
    <row r="768" spans="12:15" ht="15" hidden="1" x14ac:dyDescent="0.25">
      <c r="L768" s="393"/>
      <c r="M768" s="393"/>
      <c r="N768" s="393"/>
      <c r="O768" s="393"/>
    </row>
    <row r="769" spans="12:15" ht="15" hidden="1" x14ac:dyDescent="0.25">
      <c r="L769" s="393"/>
      <c r="M769" s="393"/>
      <c r="N769" s="393"/>
      <c r="O769" s="393"/>
    </row>
    <row r="770" spans="12:15" ht="15" hidden="1" x14ac:dyDescent="0.25">
      <c r="L770" s="393"/>
      <c r="M770" s="393"/>
      <c r="N770" s="393"/>
      <c r="O770" s="393"/>
    </row>
    <row r="771" spans="12:15" ht="15" hidden="1" x14ac:dyDescent="0.25">
      <c r="L771" s="393"/>
      <c r="M771" s="393"/>
      <c r="N771" s="393"/>
      <c r="O771" s="393"/>
    </row>
    <row r="772" spans="12:15" ht="15" hidden="1" x14ac:dyDescent="0.25">
      <c r="L772" s="393"/>
      <c r="M772" s="393"/>
      <c r="N772" s="393"/>
      <c r="O772" s="393"/>
    </row>
    <row r="773" spans="12:15" ht="15" hidden="1" x14ac:dyDescent="0.25">
      <c r="L773" s="393"/>
      <c r="M773" s="393"/>
      <c r="N773" s="393"/>
      <c r="O773" s="393"/>
    </row>
    <row r="774" spans="12:15" ht="15" hidden="1" x14ac:dyDescent="0.25">
      <c r="L774" s="393"/>
      <c r="M774" s="393"/>
      <c r="N774" s="393"/>
      <c r="O774" s="393"/>
    </row>
    <row r="775" spans="12:15" ht="15" hidden="1" x14ac:dyDescent="0.25">
      <c r="L775" s="393"/>
      <c r="M775" s="393"/>
      <c r="N775" s="393"/>
      <c r="O775" s="393"/>
    </row>
    <row r="776" spans="12:15" ht="15" hidden="1" x14ac:dyDescent="0.25">
      <c r="L776" s="393"/>
      <c r="M776" s="393"/>
      <c r="N776" s="393"/>
      <c r="O776" s="393"/>
    </row>
    <row r="777" spans="12:15" ht="15" hidden="1" x14ac:dyDescent="0.25">
      <c r="L777" s="393"/>
      <c r="M777" s="393"/>
      <c r="N777" s="393"/>
      <c r="O777" s="393"/>
    </row>
    <row r="778" spans="12:15" ht="15" hidden="1" x14ac:dyDescent="0.25">
      <c r="L778" s="393"/>
      <c r="M778" s="393"/>
      <c r="N778" s="393"/>
      <c r="O778" s="393"/>
    </row>
    <row r="779" spans="12:15" ht="15" hidden="1" x14ac:dyDescent="0.25">
      <c r="L779" s="393"/>
      <c r="M779" s="393"/>
      <c r="N779" s="393"/>
      <c r="O779" s="393"/>
    </row>
    <row r="780" spans="12:15" ht="15" hidden="1" x14ac:dyDescent="0.25">
      <c r="L780" s="393"/>
      <c r="M780" s="393"/>
      <c r="N780" s="393"/>
      <c r="O780" s="393"/>
    </row>
    <row r="781" spans="12:15" ht="15" hidden="1" x14ac:dyDescent="0.25">
      <c r="L781" s="393"/>
      <c r="M781" s="393"/>
      <c r="N781" s="393"/>
      <c r="O781" s="393"/>
    </row>
    <row r="782" spans="12:15" ht="15" hidden="1" x14ac:dyDescent="0.25">
      <c r="L782" s="393"/>
      <c r="M782" s="393"/>
      <c r="N782" s="393"/>
      <c r="O782" s="393"/>
    </row>
    <row r="783" spans="12:15" ht="15" hidden="1" x14ac:dyDescent="0.25">
      <c r="L783" s="393"/>
      <c r="M783" s="393"/>
      <c r="N783" s="393"/>
      <c r="O783" s="393"/>
    </row>
    <row r="784" spans="12:15" ht="15" hidden="1" x14ac:dyDescent="0.25">
      <c r="L784" s="393"/>
      <c r="M784" s="393"/>
      <c r="N784" s="393"/>
      <c r="O784" s="393"/>
    </row>
    <row r="785" spans="12:15" ht="15" hidden="1" x14ac:dyDescent="0.25">
      <c r="L785" s="393"/>
      <c r="M785" s="393"/>
      <c r="N785" s="393"/>
      <c r="O785" s="393"/>
    </row>
    <row r="786" spans="12:15" ht="15" hidden="1" x14ac:dyDescent="0.25">
      <c r="L786" s="393"/>
      <c r="M786" s="393"/>
      <c r="N786" s="393"/>
      <c r="O786" s="393"/>
    </row>
    <row r="787" spans="12:15" ht="15" hidden="1" x14ac:dyDescent="0.25">
      <c r="L787" s="393"/>
      <c r="M787" s="393"/>
      <c r="N787" s="393"/>
      <c r="O787" s="393"/>
    </row>
    <row r="788" spans="12:15" ht="15" hidden="1" x14ac:dyDescent="0.25">
      <c r="L788" s="393"/>
      <c r="M788" s="393"/>
      <c r="N788" s="393"/>
      <c r="O788" s="393"/>
    </row>
    <row r="789" spans="12:15" ht="15" hidden="1" x14ac:dyDescent="0.25">
      <c r="L789" s="393"/>
      <c r="M789" s="393"/>
      <c r="N789" s="393"/>
      <c r="O789" s="393"/>
    </row>
    <row r="790" spans="12:15" ht="15" hidden="1" x14ac:dyDescent="0.25">
      <c r="L790" s="393"/>
      <c r="M790" s="393"/>
      <c r="N790" s="393"/>
      <c r="O790" s="393"/>
    </row>
    <row r="791" spans="12:15" ht="15" hidden="1" x14ac:dyDescent="0.25">
      <c r="L791" s="393"/>
      <c r="M791" s="393"/>
      <c r="N791" s="393"/>
      <c r="O791" s="393"/>
    </row>
    <row r="792" spans="12:15" ht="15" hidden="1" x14ac:dyDescent="0.25">
      <c r="L792" s="393"/>
      <c r="M792" s="393"/>
      <c r="N792" s="393"/>
      <c r="O792" s="393"/>
    </row>
    <row r="793" spans="12:15" ht="15" hidden="1" x14ac:dyDescent="0.25">
      <c r="L793" s="393"/>
      <c r="M793" s="393"/>
      <c r="N793" s="393"/>
      <c r="O793" s="393"/>
    </row>
    <row r="794" spans="12:15" ht="15" hidden="1" x14ac:dyDescent="0.25">
      <c r="L794" s="393"/>
      <c r="M794" s="393"/>
      <c r="N794" s="393"/>
      <c r="O794" s="393"/>
    </row>
    <row r="795" spans="12:15" ht="15" hidden="1" x14ac:dyDescent="0.25">
      <c r="L795" s="393"/>
      <c r="M795" s="393"/>
      <c r="N795" s="393"/>
      <c r="O795" s="393"/>
    </row>
    <row r="796" spans="12:15" ht="15" hidden="1" x14ac:dyDescent="0.25">
      <c r="L796" s="393"/>
      <c r="M796" s="393"/>
      <c r="N796" s="393"/>
      <c r="O796" s="393"/>
    </row>
    <row r="797" spans="12:15" ht="15" hidden="1" x14ac:dyDescent="0.25">
      <c r="L797" s="393"/>
      <c r="M797" s="393"/>
      <c r="N797" s="393"/>
      <c r="O797" s="393"/>
    </row>
    <row r="798" spans="12:15" ht="15" hidden="1" x14ac:dyDescent="0.25">
      <c r="L798" s="393"/>
      <c r="M798" s="393"/>
      <c r="N798" s="393"/>
      <c r="O798" s="393"/>
    </row>
    <row r="799" spans="12:15" ht="15" hidden="1" x14ac:dyDescent="0.25">
      <c r="L799" s="393"/>
      <c r="M799" s="393"/>
      <c r="N799" s="393"/>
      <c r="O799" s="393"/>
    </row>
    <row r="800" spans="12:15" ht="15" hidden="1" x14ac:dyDescent="0.25">
      <c r="L800" s="393"/>
      <c r="M800" s="393"/>
      <c r="N800" s="393"/>
      <c r="O800" s="393"/>
    </row>
    <row r="801" spans="12:15" ht="15" hidden="1" x14ac:dyDescent="0.25">
      <c r="L801" s="393"/>
      <c r="M801" s="393"/>
      <c r="N801" s="393"/>
      <c r="O801" s="393"/>
    </row>
    <row r="802" spans="12:15" ht="15" hidden="1" x14ac:dyDescent="0.25">
      <c r="L802" s="393"/>
      <c r="M802" s="393"/>
      <c r="N802" s="393"/>
      <c r="O802" s="393"/>
    </row>
    <row r="803" spans="12:15" ht="15" hidden="1" x14ac:dyDescent="0.25">
      <c r="L803" s="393"/>
      <c r="M803" s="393"/>
      <c r="N803" s="393"/>
      <c r="O803" s="393"/>
    </row>
    <row r="804" spans="12:15" ht="15" hidden="1" x14ac:dyDescent="0.25">
      <c r="L804" s="393"/>
      <c r="M804" s="393"/>
      <c r="N804" s="393"/>
      <c r="O804" s="393"/>
    </row>
    <row r="805" spans="12:15" ht="15" hidden="1" x14ac:dyDescent="0.25">
      <c r="L805" s="393"/>
      <c r="M805" s="393"/>
      <c r="N805" s="393"/>
      <c r="O805" s="393"/>
    </row>
    <row r="806" spans="12:15" ht="15" hidden="1" x14ac:dyDescent="0.25">
      <c r="L806" s="393"/>
      <c r="M806" s="393"/>
      <c r="N806" s="393"/>
      <c r="O806" s="393"/>
    </row>
    <row r="807" spans="12:15" ht="15" hidden="1" x14ac:dyDescent="0.25">
      <c r="L807" s="393"/>
      <c r="M807" s="393"/>
      <c r="N807" s="393"/>
      <c r="O807" s="393"/>
    </row>
    <row r="808" spans="12:15" ht="15" hidden="1" x14ac:dyDescent="0.25">
      <c r="L808" s="393"/>
      <c r="M808" s="393"/>
      <c r="N808" s="393"/>
      <c r="O808" s="393"/>
    </row>
    <row r="809" spans="12:15" ht="15" hidden="1" x14ac:dyDescent="0.25">
      <c r="L809" s="393"/>
      <c r="M809" s="393"/>
      <c r="N809" s="393"/>
      <c r="O809" s="393"/>
    </row>
    <row r="810" spans="12:15" ht="15" hidden="1" x14ac:dyDescent="0.25">
      <c r="L810" s="393"/>
      <c r="M810" s="393"/>
      <c r="N810" s="393"/>
      <c r="O810" s="393"/>
    </row>
    <row r="811" spans="12:15" ht="15" hidden="1" x14ac:dyDescent="0.25">
      <c r="L811" s="393"/>
      <c r="M811" s="393"/>
      <c r="N811" s="393"/>
      <c r="O811" s="393"/>
    </row>
    <row r="812" spans="12:15" ht="15" hidden="1" x14ac:dyDescent="0.25">
      <c r="L812" s="393"/>
      <c r="M812" s="393"/>
      <c r="N812" s="393"/>
      <c r="O812" s="393"/>
    </row>
    <row r="813" spans="12:15" ht="15" hidden="1" x14ac:dyDescent="0.25">
      <c r="L813" s="393"/>
      <c r="M813" s="393"/>
      <c r="N813" s="393"/>
      <c r="O813" s="393"/>
    </row>
    <row r="814" spans="12:15" ht="15" hidden="1" x14ac:dyDescent="0.25">
      <c r="L814" s="393"/>
      <c r="M814" s="393"/>
      <c r="N814" s="393"/>
      <c r="O814" s="393"/>
    </row>
    <row r="815" spans="12:15" ht="15" hidden="1" x14ac:dyDescent="0.25">
      <c r="L815" s="393"/>
      <c r="M815" s="393"/>
      <c r="N815" s="393"/>
      <c r="O815" s="393"/>
    </row>
    <row r="816" spans="12:15" ht="15" hidden="1" x14ac:dyDescent="0.25">
      <c r="L816" s="393"/>
      <c r="M816" s="393"/>
      <c r="N816" s="393"/>
      <c r="O816" s="393"/>
    </row>
    <row r="817" spans="12:15" ht="15" hidden="1" x14ac:dyDescent="0.25">
      <c r="L817" s="393"/>
      <c r="M817" s="393"/>
      <c r="N817" s="393"/>
      <c r="O817" s="393"/>
    </row>
    <row r="818" spans="12:15" ht="15" hidden="1" x14ac:dyDescent="0.25">
      <c r="L818" s="393"/>
      <c r="M818" s="393"/>
      <c r="N818" s="393"/>
      <c r="O818" s="393"/>
    </row>
    <row r="819" spans="12:15" ht="15" hidden="1" x14ac:dyDescent="0.25">
      <c r="L819" s="393"/>
      <c r="M819" s="393"/>
      <c r="N819" s="393"/>
      <c r="O819" s="393"/>
    </row>
    <row r="820" spans="12:15" ht="15" hidden="1" x14ac:dyDescent="0.25">
      <c r="L820" s="393"/>
      <c r="M820" s="393"/>
      <c r="N820" s="393"/>
      <c r="O820" s="393"/>
    </row>
    <row r="821" spans="12:15" ht="15" hidden="1" x14ac:dyDescent="0.25">
      <c r="L821" s="393"/>
      <c r="M821" s="393"/>
      <c r="N821" s="393"/>
      <c r="O821" s="393"/>
    </row>
    <row r="822" spans="12:15" ht="15" hidden="1" x14ac:dyDescent="0.25">
      <c r="L822" s="393"/>
      <c r="M822" s="393"/>
      <c r="N822" s="393"/>
      <c r="O822" s="393"/>
    </row>
    <row r="823" spans="12:15" ht="15" hidden="1" x14ac:dyDescent="0.25">
      <c r="L823" s="393"/>
      <c r="M823" s="393"/>
      <c r="N823" s="393"/>
      <c r="O823" s="393"/>
    </row>
    <row r="824" spans="12:15" ht="15" hidden="1" x14ac:dyDescent="0.25">
      <c r="L824" s="393"/>
      <c r="M824" s="393"/>
      <c r="N824" s="393"/>
      <c r="O824" s="393"/>
    </row>
    <row r="825" spans="12:15" ht="15" hidden="1" x14ac:dyDescent="0.25">
      <c r="L825" s="393"/>
      <c r="M825" s="393"/>
      <c r="N825" s="393"/>
      <c r="O825" s="393"/>
    </row>
    <row r="826" spans="12:15" ht="15" hidden="1" x14ac:dyDescent="0.25">
      <c r="L826" s="393"/>
      <c r="M826" s="393"/>
      <c r="N826" s="393"/>
      <c r="O826" s="393"/>
    </row>
    <row r="827" spans="12:15" ht="15" hidden="1" x14ac:dyDescent="0.25">
      <c r="L827" s="393"/>
      <c r="M827" s="393"/>
      <c r="N827" s="393"/>
      <c r="O827" s="393"/>
    </row>
    <row r="828" spans="12:15" ht="15" hidden="1" x14ac:dyDescent="0.25">
      <c r="L828" s="393"/>
      <c r="M828" s="393"/>
      <c r="N828" s="393"/>
      <c r="O828" s="393"/>
    </row>
    <row r="829" spans="12:15" ht="15" hidden="1" x14ac:dyDescent="0.25">
      <c r="L829" s="393"/>
      <c r="M829" s="393"/>
      <c r="N829" s="393"/>
      <c r="O829" s="393"/>
    </row>
    <row r="830" spans="12:15" ht="15" hidden="1" x14ac:dyDescent="0.25">
      <c r="L830" s="393"/>
      <c r="M830" s="393"/>
      <c r="N830" s="393"/>
      <c r="O830" s="393"/>
    </row>
    <row r="831" spans="12:15" ht="15" hidden="1" x14ac:dyDescent="0.25">
      <c r="L831" s="393"/>
      <c r="M831" s="393"/>
      <c r="N831" s="393"/>
      <c r="O831" s="393"/>
    </row>
    <row r="832" spans="12:15" ht="15" hidden="1" x14ac:dyDescent="0.25">
      <c r="L832" s="393"/>
      <c r="M832" s="393"/>
      <c r="N832" s="393"/>
      <c r="O832" s="393"/>
    </row>
    <row r="833" spans="12:15" ht="15" hidden="1" x14ac:dyDescent="0.25">
      <c r="L833" s="393"/>
      <c r="M833" s="393"/>
      <c r="N833" s="393"/>
      <c r="O833" s="393"/>
    </row>
    <row r="834" spans="12:15" ht="15" hidden="1" x14ac:dyDescent="0.25">
      <c r="L834" s="393"/>
      <c r="M834" s="393"/>
      <c r="N834" s="393"/>
      <c r="O834" s="393"/>
    </row>
    <row r="835" spans="12:15" ht="15" hidden="1" x14ac:dyDescent="0.25">
      <c r="L835" s="393"/>
      <c r="M835" s="393"/>
      <c r="N835" s="393"/>
      <c r="O835" s="393"/>
    </row>
    <row r="836" spans="12:15" ht="15" hidden="1" x14ac:dyDescent="0.25">
      <c r="L836" s="393"/>
      <c r="M836" s="393"/>
      <c r="N836" s="393"/>
      <c r="O836" s="393"/>
    </row>
    <row r="837" spans="12:15" ht="15" hidden="1" x14ac:dyDescent="0.25">
      <c r="L837" s="393"/>
      <c r="M837" s="393"/>
      <c r="N837" s="393"/>
      <c r="O837" s="393"/>
    </row>
    <row r="838" spans="12:15" ht="15" hidden="1" x14ac:dyDescent="0.25">
      <c r="L838" s="393"/>
      <c r="M838" s="393"/>
      <c r="N838" s="393"/>
      <c r="O838" s="393"/>
    </row>
    <row r="839" spans="12:15" ht="15" hidden="1" x14ac:dyDescent="0.25">
      <c r="L839" s="393"/>
      <c r="M839" s="393"/>
      <c r="N839" s="393"/>
      <c r="O839" s="393"/>
    </row>
    <row r="840" spans="12:15" ht="15" hidden="1" x14ac:dyDescent="0.25">
      <c r="L840" s="393"/>
      <c r="M840" s="393"/>
      <c r="N840" s="393"/>
      <c r="O840" s="393"/>
    </row>
    <row r="841" spans="12:15" ht="15" hidden="1" x14ac:dyDescent="0.25">
      <c r="L841" s="393"/>
      <c r="M841" s="393"/>
      <c r="N841" s="393"/>
      <c r="O841" s="393"/>
    </row>
    <row r="842" spans="12:15" ht="15" hidden="1" x14ac:dyDescent="0.25">
      <c r="L842" s="393"/>
      <c r="M842" s="393"/>
      <c r="N842" s="393"/>
      <c r="O842" s="393"/>
    </row>
    <row r="843" spans="12:15" ht="15" hidden="1" x14ac:dyDescent="0.25">
      <c r="L843" s="393"/>
      <c r="M843" s="393"/>
      <c r="N843" s="393"/>
      <c r="O843" s="393"/>
    </row>
    <row r="844" spans="12:15" ht="15" hidden="1" x14ac:dyDescent="0.25">
      <c r="L844" s="393"/>
      <c r="M844" s="393"/>
      <c r="N844" s="393"/>
      <c r="O844" s="393"/>
    </row>
    <row r="845" spans="12:15" ht="15" hidden="1" x14ac:dyDescent="0.25">
      <c r="L845" s="393"/>
      <c r="M845" s="393"/>
      <c r="N845" s="393"/>
      <c r="O845" s="393"/>
    </row>
    <row r="846" spans="12:15" ht="15" hidden="1" x14ac:dyDescent="0.25">
      <c r="L846" s="393"/>
      <c r="M846" s="393"/>
      <c r="N846" s="393"/>
      <c r="O846" s="393"/>
    </row>
    <row r="847" spans="12:15" ht="15" hidden="1" x14ac:dyDescent="0.25">
      <c r="L847" s="393"/>
      <c r="M847" s="393"/>
      <c r="N847" s="393"/>
      <c r="O847" s="393"/>
    </row>
    <row r="848" spans="12:15" ht="15" hidden="1" x14ac:dyDescent="0.25">
      <c r="L848" s="393"/>
      <c r="M848" s="393"/>
      <c r="N848" s="393"/>
      <c r="O848" s="393"/>
    </row>
    <row r="849" spans="12:15" ht="15" hidden="1" x14ac:dyDescent="0.25">
      <c r="L849" s="393"/>
      <c r="M849" s="393"/>
      <c r="N849" s="393"/>
      <c r="O849" s="393"/>
    </row>
    <row r="850" spans="12:15" ht="15" hidden="1" x14ac:dyDescent="0.25">
      <c r="L850" s="393"/>
      <c r="M850" s="393"/>
      <c r="N850" s="393"/>
      <c r="O850" s="393"/>
    </row>
    <row r="851" spans="12:15" ht="15" hidden="1" x14ac:dyDescent="0.25">
      <c r="L851" s="393"/>
      <c r="M851" s="393"/>
      <c r="N851" s="393"/>
      <c r="O851" s="393"/>
    </row>
    <row r="852" spans="12:15" ht="15" hidden="1" x14ac:dyDescent="0.25">
      <c r="L852" s="393"/>
      <c r="M852" s="393"/>
      <c r="N852" s="393"/>
      <c r="O852" s="393"/>
    </row>
    <row r="853" spans="12:15" ht="15" hidden="1" x14ac:dyDescent="0.25">
      <c r="L853" s="393"/>
      <c r="M853" s="393"/>
      <c r="N853" s="393"/>
      <c r="O853" s="393"/>
    </row>
    <row r="854" spans="12:15" ht="15" hidden="1" x14ac:dyDescent="0.25">
      <c r="L854" s="393"/>
      <c r="M854" s="393"/>
      <c r="N854" s="393"/>
      <c r="O854" s="393"/>
    </row>
    <row r="855" spans="12:15" ht="15" hidden="1" x14ac:dyDescent="0.25">
      <c r="L855" s="393"/>
      <c r="M855" s="393"/>
      <c r="N855" s="393"/>
      <c r="O855" s="393"/>
    </row>
    <row r="856" spans="12:15" ht="15" hidden="1" x14ac:dyDescent="0.25">
      <c r="L856" s="393"/>
      <c r="M856" s="393"/>
      <c r="N856" s="393"/>
      <c r="O856" s="393"/>
    </row>
    <row r="857" spans="12:15" ht="15" hidden="1" x14ac:dyDescent="0.25">
      <c r="L857" s="393"/>
      <c r="M857" s="393"/>
      <c r="N857" s="393"/>
      <c r="O857" s="393"/>
    </row>
    <row r="858" spans="12:15" ht="15" hidden="1" x14ac:dyDescent="0.25">
      <c r="L858" s="393"/>
      <c r="M858" s="393"/>
      <c r="N858" s="393"/>
      <c r="O858" s="393"/>
    </row>
    <row r="859" spans="12:15" ht="15" hidden="1" x14ac:dyDescent="0.25">
      <c r="L859" s="393"/>
      <c r="M859" s="393"/>
      <c r="N859" s="393"/>
      <c r="O859" s="393"/>
    </row>
    <row r="860" spans="12:15" ht="15" hidden="1" x14ac:dyDescent="0.25">
      <c r="L860" s="393"/>
      <c r="M860" s="393"/>
      <c r="N860" s="393"/>
      <c r="O860" s="393"/>
    </row>
    <row r="861" spans="12:15" ht="15" hidden="1" x14ac:dyDescent="0.25">
      <c r="L861" s="393"/>
      <c r="M861" s="393"/>
      <c r="N861" s="393"/>
      <c r="O861" s="393"/>
    </row>
    <row r="862" spans="12:15" ht="15" hidden="1" x14ac:dyDescent="0.25">
      <c r="L862" s="393"/>
      <c r="M862" s="393"/>
      <c r="N862" s="393"/>
      <c r="O862" s="393"/>
    </row>
    <row r="863" spans="12:15" ht="15" hidden="1" x14ac:dyDescent="0.25">
      <c r="L863" s="393"/>
      <c r="M863" s="393"/>
      <c r="N863" s="393"/>
      <c r="O863" s="393"/>
    </row>
    <row r="864" spans="12:15" ht="15" hidden="1" x14ac:dyDescent="0.25">
      <c r="L864" s="393"/>
      <c r="M864" s="393"/>
      <c r="N864" s="393"/>
      <c r="O864" s="393"/>
    </row>
    <row r="865" spans="12:15" ht="15" hidden="1" x14ac:dyDescent="0.25">
      <c r="L865" s="393"/>
      <c r="M865" s="393"/>
      <c r="N865" s="393"/>
      <c r="O865" s="393"/>
    </row>
    <row r="866" spans="12:15" ht="15" hidden="1" x14ac:dyDescent="0.25">
      <c r="L866" s="393"/>
      <c r="M866" s="393"/>
      <c r="N866" s="393"/>
      <c r="O866" s="393"/>
    </row>
    <row r="867" spans="12:15" ht="15" hidden="1" x14ac:dyDescent="0.25">
      <c r="L867" s="393"/>
      <c r="M867" s="393"/>
      <c r="N867" s="393"/>
      <c r="O867" s="393"/>
    </row>
    <row r="868" spans="12:15" ht="15" hidden="1" x14ac:dyDescent="0.25">
      <c r="L868" s="393"/>
      <c r="M868" s="393"/>
      <c r="N868" s="393"/>
      <c r="O868" s="393"/>
    </row>
    <row r="869" spans="12:15" ht="15" hidden="1" x14ac:dyDescent="0.25">
      <c r="L869" s="393"/>
      <c r="M869" s="393"/>
      <c r="N869" s="393"/>
      <c r="O869" s="393"/>
    </row>
    <row r="870" spans="12:15" ht="15" hidden="1" x14ac:dyDescent="0.25">
      <c r="L870" s="393"/>
      <c r="M870" s="393"/>
      <c r="N870" s="393"/>
      <c r="O870" s="393"/>
    </row>
    <row r="871" spans="12:15" ht="15" hidden="1" x14ac:dyDescent="0.25">
      <c r="L871" s="393"/>
      <c r="M871" s="393"/>
      <c r="N871" s="393"/>
      <c r="O871" s="393"/>
    </row>
    <row r="872" spans="12:15" ht="15" hidden="1" x14ac:dyDescent="0.25">
      <c r="L872" s="393"/>
      <c r="M872" s="393"/>
      <c r="N872" s="393"/>
      <c r="O872" s="393"/>
    </row>
    <row r="873" spans="12:15" ht="15" hidden="1" x14ac:dyDescent="0.25">
      <c r="L873" s="393"/>
      <c r="M873" s="393"/>
      <c r="N873" s="393"/>
      <c r="O873" s="393"/>
    </row>
    <row r="874" spans="12:15" ht="15" hidden="1" x14ac:dyDescent="0.25">
      <c r="L874" s="393"/>
      <c r="M874" s="393"/>
      <c r="N874" s="393"/>
      <c r="O874" s="393"/>
    </row>
    <row r="875" spans="12:15" ht="15" hidden="1" x14ac:dyDescent="0.25">
      <c r="L875" s="393"/>
      <c r="M875" s="393"/>
      <c r="N875" s="393"/>
      <c r="O875" s="393"/>
    </row>
    <row r="876" spans="12:15" ht="15" hidden="1" x14ac:dyDescent="0.25">
      <c r="L876" s="393"/>
      <c r="M876" s="393"/>
      <c r="N876" s="393"/>
      <c r="O876" s="393"/>
    </row>
    <row r="877" spans="12:15" ht="15" hidden="1" x14ac:dyDescent="0.25">
      <c r="L877" s="393"/>
      <c r="M877" s="393"/>
      <c r="N877" s="393"/>
      <c r="O877" s="393"/>
    </row>
    <row r="878" spans="12:15" ht="15" hidden="1" x14ac:dyDescent="0.25">
      <c r="L878" s="393"/>
      <c r="M878" s="393"/>
      <c r="N878" s="393"/>
      <c r="O878" s="393"/>
    </row>
    <row r="879" spans="12:15" ht="15" hidden="1" x14ac:dyDescent="0.25">
      <c r="L879" s="393"/>
      <c r="M879" s="393"/>
      <c r="N879" s="393"/>
      <c r="O879" s="393"/>
    </row>
    <row r="880" spans="12:15" ht="15" hidden="1" x14ac:dyDescent="0.25">
      <c r="L880" s="393"/>
      <c r="M880" s="393"/>
      <c r="N880" s="393"/>
      <c r="O880" s="393"/>
    </row>
    <row r="881" spans="12:15" ht="15" hidden="1" x14ac:dyDescent="0.25">
      <c r="L881" s="393"/>
      <c r="M881" s="393"/>
      <c r="N881" s="393"/>
      <c r="O881" s="393"/>
    </row>
    <row r="882" spans="12:15" ht="15" hidden="1" x14ac:dyDescent="0.25">
      <c r="L882" s="393"/>
      <c r="M882" s="393"/>
      <c r="N882" s="393"/>
      <c r="O882" s="393"/>
    </row>
    <row r="883" spans="12:15" ht="15" hidden="1" x14ac:dyDescent="0.25">
      <c r="L883" s="393"/>
      <c r="M883" s="393"/>
      <c r="N883" s="393"/>
      <c r="O883" s="393"/>
    </row>
    <row r="884" spans="12:15" ht="15" hidden="1" x14ac:dyDescent="0.25">
      <c r="L884" s="393"/>
      <c r="M884" s="393"/>
      <c r="N884" s="393"/>
      <c r="O884" s="393"/>
    </row>
    <row r="885" spans="12:15" ht="15" hidden="1" x14ac:dyDescent="0.25">
      <c r="L885" s="393"/>
      <c r="M885" s="393"/>
      <c r="N885" s="393"/>
      <c r="O885" s="393"/>
    </row>
    <row r="886" spans="12:15" ht="15" hidden="1" x14ac:dyDescent="0.25">
      <c r="L886" s="393"/>
      <c r="M886" s="393"/>
      <c r="N886" s="393"/>
      <c r="O886" s="393"/>
    </row>
    <row r="887" spans="12:15" ht="15" hidden="1" x14ac:dyDescent="0.25">
      <c r="L887" s="393"/>
      <c r="M887" s="393"/>
      <c r="N887" s="393"/>
      <c r="O887" s="393"/>
    </row>
    <row r="888" spans="12:15" ht="15" hidden="1" x14ac:dyDescent="0.25">
      <c r="L888" s="393"/>
      <c r="M888" s="393"/>
      <c r="N888" s="393"/>
      <c r="O888" s="393"/>
    </row>
    <row r="889" spans="12:15" ht="15" hidden="1" x14ac:dyDescent="0.25">
      <c r="L889" s="393"/>
      <c r="M889" s="393"/>
      <c r="N889" s="393"/>
      <c r="O889" s="393"/>
    </row>
    <row r="890" spans="12:15" ht="15" hidden="1" x14ac:dyDescent="0.25">
      <c r="L890" s="393"/>
      <c r="M890" s="393"/>
      <c r="N890" s="393"/>
      <c r="O890" s="393"/>
    </row>
    <row r="891" spans="12:15" ht="15" hidden="1" x14ac:dyDescent="0.25">
      <c r="L891" s="393"/>
      <c r="M891" s="393"/>
      <c r="N891" s="393"/>
      <c r="O891" s="393"/>
    </row>
    <row r="892" spans="12:15" ht="15" hidden="1" x14ac:dyDescent="0.25">
      <c r="L892" s="393"/>
      <c r="M892" s="393"/>
      <c r="N892" s="393"/>
      <c r="O892" s="393"/>
    </row>
    <row r="893" spans="12:15" ht="15" hidden="1" x14ac:dyDescent="0.25">
      <c r="L893" s="393"/>
      <c r="M893" s="393"/>
      <c r="N893" s="393"/>
      <c r="O893" s="393"/>
    </row>
    <row r="894" spans="12:15" ht="15" hidden="1" x14ac:dyDescent="0.25">
      <c r="L894" s="393"/>
      <c r="M894" s="393"/>
      <c r="N894" s="393"/>
      <c r="O894" s="393"/>
    </row>
    <row r="895" spans="12:15" ht="15" hidden="1" x14ac:dyDescent="0.25">
      <c r="L895" s="393"/>
      <c r="M895" s="393"/>
      <c r="N895" s="393"/>
      <c r="O895" s="393"/>
    </row>
    <row r="896" spans="12:15" ht="15" hidden="1" x14ac:dyDescent="0.25">
      <c r="L896" s="393"/>
      <c r="M896" s="393"/>
      <c r="N896" s="393"/>
      <c r="O896" s="393"/>
    </row>
    <row r="897" spans="12:15" ht="15" hidden="1" x14ac:dyDescent="0.25">
      <c r="L897" s="393"/>
      <c r="M897" s="393"/>
      <c r="N897" s="393"/>
      <c r="O897" s="393"/>
    </row>
    <row r="898" spans="12:15" ht="15" hidden="1" x14ac:dyDescent="0.25">
      <c r="L898" s="393"/>
      <c r="M898" s="393"/>
      <c r="N898" s="393"/>
      <c r="O898" s="393"/>
    </row>
    <row r="899" spans="12:15" ht="15" hidden="1" x14ac:dyDescent="0.25">
      <c r="L899" s="393"/>
      <c r="M899" s="393"/>
      <c r="N899" s="393"/>
      <c r="O899" s="393"/>
    </row>
    <row r="900" spans="12:15" ht="15" hidden="1" x14ac:dyDescent="0.25">
      <c r="L900" s="393"/>
      <c r="M900" s="393"/>
      <c r="N900" s="393"/>
      <c r="O900" s="393"/>
    </row>
    <row r="901" spans="12:15" ht="15" hidden="1" x14ac:dyDescent="0.25">
      <c r="L901" s="393"/>
      <c r="M901" s="393"/>
      <c r="N901" s="393"/>
      <c r="O901" s="393"/>
    </row>
    <row r="902" spans="12:15" ht="15" hidden="1" x14ac:dyDescent="0.25">
      <c r="L902" s="393"/>
      <c r="M902" s="393"/>
      <c r="N902" s="393"/>
      <c r="O902" s="393"/>
    </row>
    <row r="903" spans="12:15" ht="15" hidden="1" x14ac:dyDescent="0.25">
      <c r="L903" s="393"/>
      <c r="M903" s="393"/>
      <c r="N903" s="393"/>
      <c r="O903" s="393"/>
    </row>
    <row r="904" spans="12:15" ht="15" hidden="1" x14ac:dyDescent="0.25">
      <c r="L904" s="393"/>
      <c r="M904" s="393"/>
      <c r="N904" s="393"/>
      <c r="O904" s="393"/>
    </row>
    <row r="905" spans="12:15" ht="15" hidden="1" x14ac:dyDescent="0.25">
      <c r="L905" s="393"/>
      <c r="M905" s="393"/>
      <c r="N905" s="393"/>
      <c r="O905" s="393"/>
    </row>
    <row r="906" spans="12:15" ht="15" hidden="1" x14ac:dyDescent="0.25">
      <c r="L906" s="393"/>
      <c r="M906" s="393"/>
      <c r="N906" s="393"/>
      <c r="O906" s="393"/>
    </row>
    <row r="907" spans="12:15" ht="15" hidden="1" x14ac:dyDescent="0.25">
      <c r="L907" s="393"/>
      <c r="M907" s="393"/>
      <c r="N907" s="393"/>
      <c r="O907" s="393"/>
    </row>
    <row r="908" spans="12:15" ht="15" hidden="1" x14ac:dyDescent="0.25">
      <c r="L908" s="393"/>
      <c r="M908" s="393"/>
      <c r="N908" s="393"/>
      <c r="O908" s="393"/>
    </row>
    <row r="909" spans="12:15" ht="15" hidden="1" x14ac:dyDescent="0.25">
      <c r="L909" s="393"/>
      <c r="M909" s="393"/>
      <c r="N909" s="393"/>
      <c r="O909" s="393"/>
    </row>
    <row r="910" spans="12:15" ht="15" hidden="1" x14ac:dyDescent="0.25">
      <c r="L910" s="393"/>
      <c r="M910" s="393"/>
      <c r="N910" s="393"/>
      <c r="O910" s="393"/>
    </row>
    <row r="911" spans="12:15" ht="15" hidden="1" x14ac:dyDescent="0.25">
      <c r="L911" s="393"/>
      <c r="M911" s="393"/>
      <c r="N911" s="393"/>
      <c r="O911" s="393"/>
    </row>
    <row r="912" spans="12:15" ht="15" hidden="1" x14ac:dyDescent="0.25">
      <c r="L912" s="393"/>
      <c r="M912" s="393"/>
      <c r="N912" s="393"/>
      <c r="O912" s="393"/>
    </row>
    <row r="913" spans="12:15" ht="15" hidden="1" x14ac:dyDescent="0.25">
      <c r="L913" s="393"/>
      <c r="M913" s="393"/>
      <c r="N913" s="393"/>
      <c r="O913" s="393"/>
    </row>
    <row r="914" spans="12:15" ht="15" hidden="1" x14ac:dyDescent="0.25">
      <c r="L914" s="393"/>
      <c r="M914" s="393"/>
      <c r="N914" s="393"/>
      <c r="O914" s="393"/>
    </row>
    <row r="915" spans="12:15" ht="15" hidden="1" x14ac:dyDescent="0.25">
      <c r="L915" s="393"/>
      <c r="M915" s="393"/>
      <c r="N915" s="393"/>
      <c r="O915" s="393"/>
    </row>
    <row r="916" spans="12:15" ht="15" hidden="1" x14ac:dyDescent="0.25">
      <c r="L916" s="393"/>
      <c r="M916" s="393"/>
      <c r="N916" s="393"/>
      <c r="O916" s="393"/>
    </row>
    <row r="917" spans="12:15" ht="15" hidden="1" x14ac:dyDescent="0.25">
      <c r="L917" s="393"/>
      <c r="M917" s="393"/>
      <c r="N917" s="393"/>
      <c r="O917" s="393"/>
    </row>
    <row r="918" spans="12:15" ht="15" hidden="1" x14ac:dyDescent="0.25">
      <c r="L918" s="393"/>
      <c r="M918" s="393"/>
      <c r="N918" s="393"/>
      <c r="O918" s="393"/>
    </row>
    <row r="919" spans="12:15" ht="15" hidden="1" x14ac:dyDescent="0.25">
      <c r="L919" s="393"/>
      <c r="M919" s="393"/>
      <c r="N919" s="393"/>
      <c r="O919" s="393"/>
    </row>
    <row r="920" spans="12:15" ht="15" hidden="1" x14ac:dyDescent="0.25">
      <c r="L920" s="393"/>
      <c r="M920" s="393"/>
      <c r="N920" s="393"/>
      <c r="O920" s="393"/>
    </row>
    <row r="921" spans="12:15" ht="15" hidden="1" x14ac:dyDescent="0.25">
      <c r="L921" s="393"/>
      <c r="M921" s="393"/>
      <c r="N921" s="393"/>
      <c r="O921" s="393"/>
    </row>
    <row r="922" spans="12:15" ht="15" hidden="1" x14ac:dyDescent="0.25">
      <c r="L922" s="393"/>
      <c r="M922" s="393"/>
      <c r="N922" s="393"/>
      <c r="O922" s="393"/>
    </row>
    <row r="923" spans="12:15" ht="15" hidden="1" x14ac:dyDescent="0.25">
      <c r="L923" s="393"/>
      <c r="M923" s="393"/>
      <c r="N923" s="393"/>
      <c r="O923" s="393"/>
    </row>
    <row r="924" spans="12:15" ht="15" hidden="1" x14ac:dyDescent="0.25">
      <c r="L924" s="393"/>
      <c r="M924" s="393"/>
      <c r="N924" s="393"/>
      <c r="O924" s="393"/>
    </row>
    <row r="925" spans="12:15" ht="15" hidden="1" x14ac:dyDescent="0.25">
      <c r="L925" s="393"/>
      <c r="M925" s="393"/>
      <c r="N925" s="393"/>
      <c r="O925" s="393"/>
    </row>
    <row r="926" spans="12:15" ht="15" hidden="1" x14ac:dyDescent="0.25">
      <c r="L926" s="393"/>
      <c r="M926" s="393"/>
      <c r="N926" s="393"/>
      <c r="O926" s="393"/>
    </row>
    <row r="927" spans="12:15" ht="15" hidden="1" x14ac:dyDescent="0.25">
      <c r="L927" s="393"/>
      <c r="M927" s="393"/>
      <c r="N927" s="393"/>
      <c r="O927" s="393"/>
    </row>
    <row r="928" spans="12:15" ht="15" hidden="1" x14ac:dyDescent="0.25">
      <c r="L928" s="393"/>
      <c r="M928" s="393"/>
      <c r="N928" s="393"/>
      <c r="O928" s="393"/>
    </row>
    <row r="929" spans="12:15" ht="15" hidden="1" x14ac:dyDescent="0.25">
      <c r="L929" s="393"/>
      <c r="M929" s="393"/>
      <c r="N929" s="393"/>
      <c r="O929" s="393"/>
    </row>
    <row r="930" spans="12:15" ht="15" hidden="1" x14ac:dyDescent="0.25">
      <c r="L930" s="393"/>
      <c r="M930" s="393"/>
      <c r="N930" s="393"/>
      <c r="O930" s="393"/>
    </row>
    <row r="931" spans="12:15" ht="15" hidden="1" x14ac:dyDescent="0.25">
      <c r="L931" s="393"/>
      <c r="M931" s="393"/>
      <c r="N931" s="393"/>
      <c r="O931" s="393"/>
    </row>
    <row r="932" spans="12:15" ht="15" hidden="1" x14ac:dyDescent="0.25">
      <c r="L932" s="393"/>
      <c r="M932" s="393"/>
      <c r="N932" s="393"/>
      <c r="O932" s="393"/>
    </row>
    <row r="933" spans="12:15" ht="15" hidden="1" x14ac:dyDescent="0.25">
      <c r="L933" s="393"/>
      <c r="M933" s="393"/>
      <c r="N933" s="393"/>
      <c r="O933" s="393"/>
    </row>
    <row r="934" spans="12:15" ht="15" hidden="1" x14ac:dyDescent="0.25">
      <c r="L934" s="393"/>
      <c r="M934" s="393"/>
      <c r="N934" s="393"/>
      <c r="O934" s="393"/>
    </row>
    <row r="935" spans="12:15" ht="15" hidden="1" x14ac:dyDescent="0.25">
      <c r="L935" s="393"/>
      <c r="M935" s="393"/>
      <c r="N935" s="393"/>
      <c r="O935" s="393"/>
    </row>
    <row r="936" spans="12:15" ht="15" hidden="1" x14ac:dyDescent="0.25">
      <c r="L936" s="393"/>
      <c r="M936" s="393"/>
      <c r="N936" s="393"/>
      <c r="O936" s="393"/>
    </row>
    <row r="937" spans="12:15" ht="15" hidden="1" x14ac:dyDescent="0.25">
      <c r="L937" s="393"/>
      <c r="M937" s="393"/>
      <c r="N937" s="393"/>
      <c r="O937" s="393"/>
    </row>
    <row r="938" spans="12:15" ht="15" hidden="1" x14ac:dyDescent="0.25">
      <c r="L938" s="393"/>
      <c r="M938" s="393"/>
      <c r="N938" s="393"/>
      <c r="O938" s="393"/>
    </row>
    <row r="939" spans="12:15" ht="15" hidden="1" x14ac:dyDescent="0.25">
      <c r="L939" s="393"/>
      <c r="M939" s="393"/>
      <c r="N939" s="393"/>
      <c r="O939" s="393"/>
    </row>
    <row r="940" spans="12:15" ht="15" hidden="1" x14ac:dyDescent="0.25">
      <c r="L940" s="393"/>
      <c r="M940" s="393"/>
      <c r="N940" s="393"/>
      <c r="O940" s="393"/>
    </row>
    <row r="941" spans="12:15" ht="15" hidden="1" x14ac:dyDescent="0.25">
      <c r="L941" s="393"/>
      <c r="M941" s="393"/>
      <c r="N941" s="393"/>
      <c r="O941" s="393"/>
    </row>
    <row r="942" spans="12:15" ht="15" hidden="1" x14ac:dyDescent="0.25">
      <c r="L942" s="393"/>
      <c r="M942" s="393"/>
      <c r="N942" s="393"/>
      <c r="O942" s="393"/>
    </row>
    <row r="943" spans="12:15" ht="15" hidden="1" x14ac:dyDescent="0.25">
      <c r="L943" s="393"/>
      <c r="M943" s="393"/>
      <c r="N943" s="393"/>
      <c r="O943" s="393"/>
    </row>
    <row r="944" spans="12:15" ht="15" hidden="1" x14ac:dyDescent="0.25">
      <c r="L944" s="393"/>
      <c r="M944" s="393"/>
      <c r="N944" s="393"/>
      <c r="O944" s="393"/>
    </row>
    <row r="945" spans="12:15" ht="15" hidden="1" x14ac:dyDescent="0.25">
      <c r="L945" s="393"/>
      <c r="M945" s="393"/>
      <c r="N945" s="393"/>
      <c r="O945" s="393"/>
    </row>
    <row r="946" spans="12:15" ht="15" hidden="1" x14ac:dyDescent="0.25">
      <c r="L946" s="393"/>
      <c r="M946" s="393"/>
      <c r="N946" s="393"/>
      <c r="O946" s="393"/>
    </row>
    <row r="947" spans="12:15" ht="15" hidden="1" x14ac:dyDescent="0.25">
      <c r="L947" s="393"/>
      <c r="M947" s="393"/>
      <c r="N947" s="393"/>
      <c r="O947" s="393"/>
    </row>
    <row r="948" spans="12:15" ht="15" hidden="1" x14ac:dyDescent="0.25">
      <c r="L948" s="393"/>
      <c r="M948" s="393"/>
      <c r="N948" s="393"/>
      <c r="O948" s="393"/>
    </row>
    <row r="949" spans="12:15" ht="15" hidden="1" x14ac:dyDescent="0.25">
      <c r="L949" s="393"/>
      <c r="M949" s="393"/>
      <c r="N949" s="393"/>
      <c r="O949" s="393"/>
    </row>
    <row r="950" spans="12:15" ht="15" hidden="1" x14ac:dyDescent="0.25">
      <c r="L950" s="393"/>
      <c r="M950" s="393"/>
      <c r="N950" s="393"/>
      <c r="O950" s="393"/>
    </row>
    <row r="951" spans="12:15" ht="15" hidden="1" x14ac:dyDescent="0.25">
      <c r="L951" s="393"/>
      <c r="M951" s="393"/>
      <c r="N951" s="393"/>
      <c r="O951" s="393"/>
    </row>
    <row r="952" spans="12:15" ht="15" hidden="1" x14ac:dyDescent="0.25">
      <c r="L952" s="393"/>
      <c r="M952" s="393"/>
      <c r="N952" s="393"/>
      <c r="O952" s="393"/>
    </row>
    <row r="953" spans="12:15" ht="15" hidden="1" x14ac:dyDescent="0.25">
      <c r="L953" s="393"/>
      <c r="M953" s="393"/>
      <c r="N953" s="393"/>
      <c r="O953" s="393"/>
    </row>
    <row r="954" spans="12:15" ht="15" hidden="1" x14ac:dyDescent="0.25">
      <c r="L954" s="393"/>
      <c r="M954" s="393"/>
      <c r="N954" s="393"/>
      <c r="O954" s="393"/>
    </row>
    <row r="955" spans="12:15" ht="15" hidden="1" x14ac:dyDescent="0.25">
      <c r="L955" s="393"/>
      <c r="M955" s="393"/>
      <c r="N955" s="393"/>
      <c r="O955" s="393"/>
    </row>
    <row r="956" spans="12:15" ht="15" hidden="1" x14ac:dyDescent="0.25">
      <c r="L956" s="393"/>
      <c r="M956" s="393"/>
      <c r="N956" s="393"/>
      <c r="O956" s="393"/>
    </row>
    <row r="957" spans="12:15" ht="15" hidden="1" x14ac:dyDescent="0.25">
      <c r="L957" s="393"/>
      <c r="M957" s="393"/>
      <c r="N957" s="393"/>
      <c r="O957" s="393"/>
    </row>
    <row r="958" spans="12:15" ht="15" hidden="1" x14ac:dyDescent="0.25">
      <c r="L958" s="393"/>
      <c r="M958" s="393"/>
      <c r="N958" s="393"/>
      <c r="O958" s="393"/>
    </row>
    <row r="959" spans="12:15" ht="15" hidden="1" x14ac:dyDescent="0.25">
      <c r="L959" s="393"/>
      <c r="M959" s="393"/>
      <c r="N959" s="393"/>
      <c r="O959" s="393"/>
    </row>
    <row r="960" spans="12:15" ht="15" hidden="1" x14ac:dyDescent="0.25">
      <c r="L960" s="393"/>
      <c r="M960" s="393"/>
      <c r="N960" s="393"/>
      <c r="O960" s="393"/>
    </row>
    <row r="961" spans="12:15" ht="15" hidden="1" x14ac:dyDescent="0.25">
      <c r="L961" s="393"/>
      <c r="M961" s="393"/>
      <c r="N961" s="393"/>
      <c r="O961" s="393"/>
    </row>
    <row r="962" spans="12:15" ht="15" hidden="1" x14ac:dyDescent="0.25">
      <c r="L962" s="393"/>
      <c r="M962" s="393"/>
      <c r="N962" s="393"/>
      <c r="O962" s="393"/>
    </row>
    <row r="963" spans="12:15" ht="15" hidden="1" x14ac:dyDescent="0.25">
      <c r="L963" s="393"/>
      <c r="M963" s="393"/>
      <c r="N963" s="393"/>
      <c r="O963" s="393"/>
    </row>
    <row r="964" spans="12:15" ht="15" hidden="1" x14ac:dyDescent="0.25">
      <c r="L964" s="393"/>
      <c r="M964" s="393"/>
      <c r="N964" s="393"/>
      <c r="O964" s="393"/>
    </row>
    <row r="965" spans="12:15" ht="15" hidden="1" x14ac:dyDescent="0.25">
      <c r="L965" s="393"/>
      <c r="M965" s="393"/>
      <c r="N965" s="393"/>
      <c r="O965" s="393"/>
    </row>
    <row r="966" spans="12:15" ht="15" hidden="1" x14ac:dyDescent="0.25">
      <c r="L966" s="393"/>
      <c r="M966" s="393"/>
      <c r="N966" s="393"/>
      <c r="O966" s="393"/>
    </row>
    <row r="967" spans="12:15" ht="15" hidden="1" x14ac:dyDescent="0.25">
      <c r="L967" s="393"/>
      <c r="M967" s="393"/>
      <c r="N967" s="393"/>
      <c r="O967" s="393"/>
    </row>
    <row r="968" spans="12:15" ht="15" hidden="1" x14ac:dyDescent="0.25">
      <c r="L968" s="393"/>
      <c r="M968" s="393"/>
      <c r="N968" s="393"/>
      <c r="O968" s="393"/>
    </row>
    <row r="969" spans="12:15" ht="15" hidden="1" x14ac:dyDescent="0.25">
      <c r="L969" s="393"/>
      <c r="M969" s="393"/>
      <c r="N969" s="393"/>
      <c r="O969" s="393"/>
    </row>
    <row r="970" spans="12:15" ht="15" hidden="1" x14ac:dyDescent="0.25">
      <c r="L970" s="393"/>
      <c r="M970" s="393"/>
      <c r="N970" s="393"/>
      <c r="O970" s="393"/>
    </row>
    <row r="971" spans="12:15" ht="15" hidden="1" x14ac:dyDescent="0.25">
      <c r="L971" s="393"/>
      <c r="M971" s="393"/>
      <c r="N971" s="393"/>
      <c r="O971" s="393"/>
    </row>
    <row r="972" spans="12:15" ht="15" hidden="1" x14ac:dyDescent="0.25">
      <c r="L972" s="393"/>
      <c r="M972" s="393"/>
      <c r="N972" s="393"/>
      <c r="O972" s="393"/>
    </row>
    <row r="973" spans="12:15" ht="15" hidden="1" x14ac:dyDescent="0.25">
      <c r="L973" s="393"/>
      <c r="M973" s="393"/>
      <c r="N973" s="393"/>
      <c r="O973" s="393"/>
    </row>
    <row r="974" spans="12:15" ht="15" hidden="1" x14ac:dyDescent="0.25">
      <c r="L974" s="393"/>
      <c r="M974" s="393"/>
      <c r="N974" s="393"/>
      <c r="O974" s="393"/>
    </row>
    <row r="975" spans="12:15" ht="15" hidden="1" x14ac:dyDescent="0.25">
      <c r="L975" s="393"/>
      <c r="M975" s="393"/>
      <c r="N975" s="393"/>
      <c r="O975" s="393"/>
    </row>
    <row r="976" spans="12:15" ht="15" hidden="1" x14ac:dyDescent="0.25">
      <c r="L976" s="393"/>
      <c r="M976" s="393"/>
      <c r="N976" s="393"/>
      <c r="O976" s="393"/>
    </row>
    <row r="977" spans="12:15" ht="15" hidden="1" x14ac:dyDescent="0.25">
      <c r="L977" s="393"/>
      <c r="M977" s="393"/>
      <c r="N977" s="393"/>
      <c r="O977" s="393"/>
    </row>
    <row r="978" spans="12:15" ht="15" hidden="1" x14ac:dyDescent="0.25">
      <c r="L978" s="393"/>
      <c r="M978" s="393"/>
      <c r="N978" s="393"/>
      <c r="O978" s="393"/>
    </row>
    <row r="979" spans="12:15" ht="15" hidden="1" x14ac:dyDescent="0.25">
      <c r="L979" s="393"/>
      <c r="M979" s="393"/>
      <c r="N979" s="393"/>
      <c r="O979" s="393"/>
    </row>
    <row r="980" spans="12:15" ht="12.75" customHeight="1" x14ac:dyDescent="0.2"/>
  </sheetData>
  <mergeCells count="5">
    <mergeCell ref="B2:C2"/>
    <mergeCell ref="B6:C6"/>
    <mergeCell ref="B15:C15"/>
    <mergeCell ref="B44:C44"/>
    <mergeCell ref="B1:C1"/>
  </mergeCells>
  <conditionalFormatting sqref="C19">
    <cfRule type="expression" dxfId="4" priority="5">
      <formula>$C$9="No"</formula>
    </cfRule>
  </conditionalFormatting>
  <conditionalFormatting sqref="C20">
    <cfRule type="expression" dxfId="3" priority="4">
      <formula>$C$9="No"</formula>
    </cfRule>
  </conditionalFormatting>
  <conditionalFormatting sqref="C21">
    <cfRule type="expression" dxfId="2" priority="3">
      <formula>$C$9="No"</formula>
    </cfRule>
  </conditionalFormatting>
  <conditionalFormatting sqref="C22">
    <cfRule type="expression" dxfId="1" priority="2">
      <formula>$C$9="No"</formula>
    </cfRule>
  </conditionalFormatting>
  <conditionalFormatting sqref="C19:C22">
    <cfRule type="expression" dxfId="0" priority="1">
      <formula>$C$9="No"</formula>
    </cfRule>
  </conditionalFormatting>
  <dataValidations count="6">
    <dataValidation type="list" allowBlank="1" showInputMessage="1" showErrorMessage="1" sqref="C20" xr:uid="{00000000-0002-0000-4300-000000000000}">
      <formula1>$H$23:$H$66</formula1>
    </dataValidation>
    <dataValidation type="list" allowBlank="1" showInputMessage="1" showErrorMessage="1" sqref="C9:C11" xr:uid="{00000000-0002-0000-4300-000001000000}">
      <formula1>"Yes,No"</formula1>
    </dataValidation>
    <dataValidation type="list" allowBlank="1" showInputMessage="1" showErrorMessage="1" sqref="C7" xr:uid="{00000000-0002-0000-4300-000002000000}">
      <formula1>$M$11:$M$14</formula1>
    </dataValidation>
    <dataValidation type="list" allowBlank="1" showInputMessage="1" showErrorMessage="1" sqref="C48" xr:uid="{00000000-0002-0000-4300-000003000000}">
      <formula1>"Personal Discussion,Perusal of Property Documents,Perusal of Financial Documents"</formula1>
    </dataValidation>
    <dataValidation type="list" allowBlank="1" showInputMessage="1" showErrorMessage="1" sqref="C12 C45" xr:uid="{00000000-0002-0000-4300-000004000000}">
      <formula1>"PERSONAL NEEDS,PURCHASE OF PROPERTY,BUSINESS EXPANSION,CAPITAL EXPENDITURE,WORKING CAPITAL (TERM LOAN),OTHERS"</formula1>
    </dataValidation>
    <dataValidation type="list" allowBlank="1" showInputMessage="1" showErrorMessage="1" sqref="B26:B30 B35:B39" xr:uid="{00000000-0002-0000-4300-000005000000}">
      <formula1>$M$22:$M$30</formula1>
    </dataValidation>
  </dataValidations>
  <pageMargins left="0.7" right="0.7" top="0.75" bottom="0.75" header="0.3" footer="0.3"/>
  <pageSetup paperSize="9" scale="83" orientation="portrait" r:id="rId1"/>
  <legacy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2">
    <pageSetUpPr fitToPage="1"/>
  </sheetPr>
  <dimension ref="A1:C32"/>
  <sheetViews>
    <sheetView showGridLines="0" workbookViewId="0">
      <selection sqref="A1:F2"/>
    </sheetView>
  </sheetViews>
  <sheetFormatPr defaultColWidth="9.140625" defaultRowHeight="12.75" x14ac:dyDescent="0.2"/>
  <cols>
    <col min="1" max="1" width="66" style="622" customWidth="1"/>
    <col min="2" max="2" width="54.140625" style="622" customWidth="1"/>
    <col min="3" max="16384" width="9.140625" style="622"/>
  </cols>
  <sheetData>
    <row r="1" spans="1:3" ht="15" customHeight="1" x14ac:dyDescent="0.2">
      <c r="A1" s="3157" t="str">
        <f>'Borrower Details'!A2</f>
        <v>Mortgage-Magnus-Unsecured</v>
      </c>
      <c r="B1" s="3159" t="s">
        <v>3</v>
      </c>
    </row>
    <row r="2" spans="1:3" ht="15" customHeight="1" x14ac:dyDescent="0.2">
      <c r="A2" s="3158"/>
      <c r="B2" s="3160"/>
    </row>
    <row r="3" spans="1:3" x14ac:dyDescent="0.2">
      <c r="A3" s="623" t="s">
        <v>2475</v>
      </c>
      <c r="B3" s="624"/>
      <c r="C3" s="625" t="s">
        <v>2476</v>
      </c>
    </row>
    <row r="4" spans="1:3" x14ac:dyDescent="0.2">
      <c r="A4" s="623"/>
      <c r="B4" s="624"/>
    </row>
    <row r="5" spans="1:3" x14ac:dyDescent="0.2">
      <c r="A5" s="3153" t="s">
        <v>2477</v>
      </c>
      <c r="B5" s="3154"/>
      <c r="C5" s="432"/>
    </row>
    <row r="6" spans="1:3" x14ac:dyDescent="0.2">
      <c r="A6" s="626" t="s">
        <v>2478</v>
      </c>
      <c r="B6" s="500" t="str">
        <f>'Borrower Details'!B8</f>
        <v>AARBUR</v>
      </c>
      <c r="C6" s="432"/>
    </row>
    <row r="7" spans="1:3" x14ac:dyDescent="0.2">
      <c r="A7" s="626" t="s">
        <v>2479</v>
      </c>
      <c r="B7" s="500">
        <f>'Borrower Details'!J12</f>
        <v>1227516</v>
      </c>
      <c r="C7" s="432"/>
    </row>
    <row r="8" spans="1:3" x14ac:dyDescent="0.2">
      <c r="A8" s="626" t="s">
        <v>2480</v>
      </c>
      <c r="B8" s="500"/>
      <c r="C8" s="432"/>
    </row>
    <row r="9" spans="1:3" x14ac:dyDescent="0.2">
      <c r="A9" s="626" t="s">
        <v>2481</v>
      </c>
      <c r="B9" s="627"/>
      <c r="C9" s="432"/>
    </row>
    <row r="10" spans="1:3" x14ac:dyDescent="0.2">
      <c r="A10" s="626" t="s">
        <v>2482</v>
      </c>
      <c r="B10" s="627"/>
      <c r="C10" s="432"/>
    </row>
    <row r="11" spans="1:3" x14ac:dyDescent="0.2">
      <c r="A11" s="626" t="s">
        <v>2483</v>
      </c>
      <c r="B11" s="627"/>
      <c r="C11" s="432"/>
    </row>
    <row r="12" spans="1:3" x14ac:dyDescent="0.2">
      <c r="A12" s="626" t="s">
        <v>2484</v>
      </c>
      <c r="B12" s="627"/>
      <c r="C12" s="432"/>
    </row>
    <row r="13" spans="1:3" x14ac:dyDescent="0.2">
      <c r="A13" s="3155" t="s">
        <v>2485</v>
      </c>
      <c r="B13" s="3156"/>
      <c r="C13" s="432"/>
    </row>
    <row r="14" spans="1:3" x14ac:dyDescent="0.2">
      <c r="A14" s="628" t="s">
        <v>2486</v>
      </c>
      <c r="B14" s="629" t="s">
        <v>2487</v>
      </c>
      <c r="C14" s="432"/>
    </row>
    <row r="15" spans="1:3" x14ac:dyDescent="0.2">
      <c r="A15" s="626" t="s">
        <v>2488</v>
      </c>
      <c r="B15" s="627" t="s">
        <v>2487</v>
      </c>
      <c r="C15" s="432"/>
    </row>
    <row r="16" spans="1:3" x14ac:dyDescent="0.2">
      <c r="A16" s="626" t="s">
        <v>2489</v>
      </c>
      <c r="B16" s="627"/>
      <c r="C16" s="432"/>
    </row>
    <row r="17" spans="1:3" x14ac:dyDescent="0.2">
      <c r="A17" s="626" t="s">
        <v>2490</v>
      </c>
      <c r="B17" s="627"/>
      <c r="C17" s="432"/>
    </row>
    <row r="18" spans="1:3" x14ac:dyDescent="0.2">
      <c r="A18" s="626" t="s">
        <v>2491</v>
      </c>
      <c r="B18" s="3152"/>
      <c r="C18" s="3161"/>
    </row>
    <row r="19" spans="1:3" x14ac:dyDescent="0.2">
      <c r="A19" s="626" t="s">
        <v>2492</v>
      </c>
      <c r="B19" s="3152"/>
      <c r="C19" s="3161"/>
    </row>
    <row r="20" spans="1:3" x14ac:dyDescent="0.2">
      <c r="A20" s="626" t="s">
        <v>2493</v>
      </c>
      <c r="B20" s="627" t="s">
        <v>2487</v>
      </c>
      <c r="C20" s="432"/>
    </row>
    <row r="21" spans="1:3" x14ac:dyDescent="0.2">
      <c r="A21" s="626" t="s">
        <v>2489</v>
      </c>
      <c r="B21" s="627"/>
      <c r="C21" s="432"/>
    </row>
    <row r="22" spans="1:3" x14ac:dyDescent="0.2">
      <c r="A22" s="626" t="s">
        <v>2490</v>
      </c>
      <c r="B22" s="627"/>
      <c r="C22" s="432"/>
    </row>
    <row r="23" spans="1:3" x14ac:dyDescent="0.2">
      <c r="A23" s="626" t="s">
        <v>2491</v>
      </c>
      <c r="B23" s="3152"/>
      <c r="C23" s="3161"/>
    </row>
    <row r="24" spans="1:3" x14ac:dyDescent="0.2">
      <c r="A24" s="626" t="s">
        <v>2492</v>
      </c>
      <c r="B24" s="3152"/>
      <c r="C24" s="3161"/>
    </row>
    <row r="25" spans="1:3" x14ac:dyDescent="0.2">
      <c r="A25" s="3151"/>
      <c r="B25" s="3152"/>
      <c r="C25" s="432"/>
    </row>
    <row r="26" spans="1:3" x14ac:dyDescent="0.2">
      <c r="A26" s="3153" t="s">
        <v>2494</v>
      </c>
      <c r="B26" s="3154"/>
      <c r="C26" s="432"/>
    </row>
    <row r="27" spans="1:3" x14ac:dyDescent="0.2">
      <c r="A27" s="3151"/>
      <c r="B27" s="3152"/>
      <c r="C27" s="432"/>
    </row>
    <row r="28" spans="1:3" x14ac:dyDescent="0.2">
      <c r="A28" s="3151"/>
      <c r="B28" s="3152"/>
      <c r="C28" s="432"/>
    </row>
    <row r="29" spans="1:3" x14ac:dyDescent="0.2">
      <c r="A29" s="3151"/>
      <c r="B29" s="3152"/>
      <c r="C29" s="432"/>
    </row>
    <row r="30" spans="1:3" x14ac:dyDescent="0.2">
      <c r="A30" s="3151"/>
      <c r="B30" s="3152"/>
      <c r="C30" s="432"/>
    </row>
    <row r="31" spans="1:3" ht="13.5" thickBot="1" x14ac:dyDescent="0.25">
      <c r="A31" s="630" t="s">
        <v>484</v>
      </c>
      <c r="B31" s="631"/>
      <c r="C31" s="432"/>
    </row>
    <row r="32" spans="1:3" x14ac:dyDescent="0.2">
      <c r="A32" s="625"/>
    </row>
  </sheetData>
  <mergeCells count="11">
    <mergeCell ref="C18:C19"/>
    <mergeCell ref="B23:B24"/>
    <mergeCell ref="C23:C24"/>
    <mergeCell ref="A25:B25"/>
    <mergeCell ref="A26:B26"/>
    <mergeCell ref="A27:B30"/>
    <mergeCell ref="A5:B5"/>
    <mergeCell ref="A13:B13"/>
    <mergeCell ref="B18:B19"/>
    <mergeCell ref="A1:A2"/>
    <mergeCell ref="B1:B2"/>
  </mergeCells>
  <pageMargins left="0.7" right="0.7" top="0.75" bottom="0.75" header="0.3" footer="0.3"/>
  <pageSetup paperSize="9" scale="74"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9"/>
  <dimension ref="A2:U21"/>
  <sheetViews>
    <sheetView workbookViewId="0">
      <selection sqref="A1:F2"/>
    </sheetView>
  </sheetViews>
  <sheetFormatPr defaultColWidth="9.140625" defaultRowHeight="12.75" x14ac:dyDescent="0.2"/>
  <cols>
    <col min="1" max="1" width="11.140625" style="181" bestFit="1" customWidth="1"/>
    <col min="2" max="2" width="46" style="181" bestFit="1" customWidth="1"/>
    <col min="3" max="3" width="12.7109375" style="181" bestFit="1" customWidth="1"/>
    <col min="4" max="6" width="9.140625" style="181"/>
    <col min="7" max="7" width="20" style="181" customWidth="1"/>
    <col min="8" max="16384" width="9.140625" style="181"/>
  </cols>
  <sheetData>
    <row r="2" spans="1:7" ht="15" x14ac:dyDescent="0.2">
      <c r="A2" s="900" t="s">
        <v>3129</v>
      </c>
      <c r="B2" s="901" t="s">
        <v>3130</v>
      </c>
      <c r="C2" s="20"/>
      <c r="G2" s="181" t="s">
        <v>3131</v>
      </c>
    </row>
    <row r="3" spans="1:7" ht="15" x14ac:dyDescent="0.2">
      <c r="A3" s="900" t="s">
        <v>3132</v>
      </c>
      <c r="B3" s="901" t="s">
        <v>3133</v>
      </c>
      <c r="C3" s="20"/>
      <c r="G3" s="181" t="s">
        <v>3131</v>
      </c>
    </row>
    <row r="4" spans="1:7" ht="15" x14ac:dyDescent="0.2">
      <c r="A4" s="900" t="s">
        <v>3134</v>
      </c>
      <c r="B4" s="901" t="s">
        <v>3135</v>
      </c>
      <c r="C4" s="20"/>
      <c r="G4" s="181" t="s">
        <v>3131</v>
      </c>
    </row>
    <row r="5" spans="1:7" ht="15" x14ac:dyDescent="0.2">
      <c r="A5" s="900" t="s">
        <v>3136</v>
      </c>
      <c r="B5" s="901" t="s">
        <v>3137</v>
      </c>
      <c r="C5" s="20"/>
    </row>
    <row r="6" spans="1:7" ht="15" x14ac:dyDescent="0.2">
      <c r="A6" s="900" t="s">
        <v>3138</v>
      </c>
      <c r="B6" s="901" t="s">
        <v>3139</v>
      </c>
      <c r="C6" s="20"/>
    </row>
    <row r="7" spans="1:7" ht="15" x14ac:dyDescent="0.2">
      <c r="A7" s="900" t="s">
        <v>3140</v>
      </c>
      <c r="B7" s="901" t="s">
        <v>3141</v>
      </c>
      <c r="C7" s="20"/>
    </row>
    <row r="8" spans="1:7" ht="15" x14ac:dyDescent="0.2">
      <c r="A8" s="900" t="s">
        <v>3142</v>
      </c>
      <c r="B8" s="901" t="s">
        <v>3143</v>
      </c>
      <c r="C8" s="902"/>
      <c r="G8" s="181" t="s">
        <v>3144</v>
      </c>
    </row>
    <row r="9" spans="1:7" ht="15" x14ac:dyDescent="0.2">
      <c r="A9" s="900" t="s">
        <v>3145</v>
      </c>
      <c r="B9" s="901" t="s">
        <v>3146</v>
      </c>
      <c r="C9" s="902" t="e">
        <f>#REF!</f>
        <v>#REF!</v>
      </c>
      <c r="G9" s="181" t="s">
        <v>3147</v>
      </c>
    </row>
    <row r="10" spans="1:7" ht="15" x14ac:dyDescent="0.2">
      <c r="A10" s="900" t="s">
        <v>3148</v>
      </c>
      <c r="B10" s="901" t="s">
        <v>3149</v>
      </c>
      <c r="C10" s="534" t="str">
        <f>Rating_NonIndividuals!I34</f>
        <v>C3</v>
      </c>
      <c r="G10" s="181" t="s">
        <v>3150</v>
      </c>
    </row>
    <row r="11" spans="1:7" ht="15" x14ac:dyDescent="0.2">
      <c r="A11" s="900" t="s">
        <v>3151</v>
      </c>
      <c r="B11" s="901" t="s">
        <v>3152</v>
      </c>
      <c r="C11" s="903"/>
      <c r="G11" s="181" t="s">
        <v>3131</v>
      </c>
    </row>
    <row r="12" spans="1:7" ht="30" x14ac:dyDescent="0.2">
      <c r="A12" s="900" t="s">
        <v>3153</v>
      </c>
      <c r="B12" s="904" t="s">
        <v>3154</v>
      </c>
      <c r="C12" s="20"/>
      <c r="G12" s="181" t="s">
        <v>3155</v>
      </c>
    </row>
    <row r="13" spans="1:7" ht="15" x14ac:dyDescent="0.2">
      <c r="A13" s="900" t="s">
        <v>3156</v>
      </c>
      <c r="B13" s="901" t="s">
        <v>3157</v>
      </c>
      <c r="C13" s="20"/>
      <c r="G13" s="181" t="s">
        <v>3131</v>
      </c>
    </row>
    <row r="14" spans="1:7" ht="15" x14ac:dyDescent="0.2">
      <c r="A14" s="900" t="s">
        <v>3158</v>
      </c>
      <c r="B14" s="901" t="s">
        <v>3159</v>
      </c>
      <c r="C14" s="20"/>
      <c r="G14" s="181" t="s">
        <v>3160</v>
      </c>
    </row>
    <row r="15" spans="1:7" ht="15" x14ac:dyDescent="0.2">
      <c r="A15" s="900" t="s">
        <v>3161</v>
      </c>
      <c r="B15" s="901" t="s">
        <v>3162</v>
      </c>
      <c r="C15" s="20"/>
      <c r="G15" s="181" t="s">
        <v>3131</v>
      </c>
    </row>
    <row r="16" spans="1:7" ht="15" x14ac:dyDescent="0.2">
      <c r="A16" s="900" t="s">
        <v>3163</v>
      </c>
      <c r="B16" s="901" t="s">
        <v>609</v>
      </c>
      <c r="C16" s="20"/>
    </row>
    <row r="17" spans="1:21" ht="15" x14ac:dyDescent="0.2">
      <c r="A17" s="900" t="s">
        <v>3164</v>
      </c>
      <c r="B17" s="901" t="s">
        <v>3165</v>
      </c>
      <c r="C17" s="20"/>
      <c r="G17" s="181" t="s">
        <v>3131</v>
      </c>
    </row>
    <row r="18" spans="1:21" ht="15" x14ac:dyDescent="0.2">
      <c r="A18" s="900" t="s">
        <v>3166</v>
      </c>
      <c r="B18" s="901" t="s">
        <v>609</v>
      </c>
      <c r="C18" s="20"/>
    </row>
    <row r="19" spans="1:21" ht="15" x14ac:dyDescent="0.2">
      <c r="A19" s="900" t="s">
        <v>3167</v>
      </c>
      <c r="B19" s="901" t="s">
        <v>3168</v>
      </c>
      <c r="C19" s="20"/>
      <c r="G19" s="181" t="s">
        <v>3131</v>
      </c>
      <c r="H19" s="181" t="s">
        <v>3169</v>
      </c>
      <c r="I19" s="181" t="s">
        <v>3170</v>
      </c>
      <c r="J19" s="181" t="s">
        <v>3171</v>
      </c>
      <c r="K19" s="181" t="s">
        <v>3172</v>
      </c>
      <c r="L19" s="181" t="s">
        <v>3173</v>
      </c>
      <c r="M19" s="181" t="s">
        <v>3174</v>
      </c>
      <c r="N19" s="181" t="s">
        <v>3175</v>
      </c>
      <c r="O19" s="181" t="s">
        <v>3176</v>
      </c>
      <c r="P19" s="181" t="s">
        <v>355</v>
      </c>
      <c r="Q19" s="181" t="s">
        <v>2067</v>
      </c>
      <c r="R19" s="181" t="s">
        <v>461</v>
      </c>
      <c r="S19" s="181" t="s">
        <v>3177</v>
      </c>
      <c r="T19" s="181" t="s">
        <v>3178</v>
      </c>
      <c r="U19" s="181" t="s">
        <v>3179</v>
      </c>
    </row>
    <row r="20" spans="1:21" ht="15" x14ac:dyDescent="0.2">
      <c r="A20" s="900" t="s">
        <v>3180</v>
      </c>
      <c r="B20" s="901" t="s">
        <v>3181</v>
      </c>
      <c r="C20" s="905"/>
      <c r="G20" s="181" t="s">
        <v>3182</v>
      </c>
    </row>
    <row r="21" spans="1:21" ht="15" x14ac:dyDescent="0.2">
      <c r="A21" s="900" t="s">
        <v>3183</v>
      </c>
      <c r="B21" s="901" t="s">
        <v>3184</v>
      </c>
      <c r="C21" s="20"/>
      <c r="G21" s="181" t="s">
        <v>3131</v>
      </c>
    </row>
  </sheetData>
  <dataValidations count="6">
    <dataValidation type="list" allowBlank="1" showInputMessage="1" showErrorMessage="1" sqref="C21" xr:uid="{00000000-0002-0000-4500-000000000000}">
      <formula1>"A,B"</formula1>
    </dataValidation>
    <dataValidation type="list" allowBlank="1" showInputMessage="1" showErrorMessage="1" sqref="C19" xr:uid="{00000000-0002-0000-4500-000001000000}">
      <formula1>$H$19:$U$19</formula1>
    </dataValidation>
    <dataValidation type="list" allowBlank="1" showInputMessage="1" showErrorMessage="1" sqref="C17" xr:uid="{00000000-0002-0000-4500-000002000000}">
      <formula1>"Applicable, Non applicable"</formula1>
    </dataValidation>
    <dataValidation type="list" allowBlank="1" showInputMessage="1" showErrorMessage="1" sqref="C15" xr:uid="{00000000-0002-0000-4500-000003000000}">
      <formula1>"Combo, NA"</formula1>
    </dataValidation>
    <dataValidation type="list" allowBlank="1" showInputMessage="1" showErrorMessage="1" sqref="C11" xr:uid="{00000000-0002-0000-4500-000004000000}">
      <formula1>"6,7,8,9,10,11,12,13,35,36,37,38,39,40,41,42,43,44,45"</formula1>
    </dataValidation>
    <dataValidation type="list" allowBlank="1" showInputMessage="1" showErrorMessage="1" sqref="C2:C4 C12:C13" xr:uid="{00000000-0002-0000-4500-000005000000}">
      <formula1>"Yes, No"</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E30ACB-10EA-4C80-B779-27243C9A01C7}">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76</vt:i4>
      </vt:variant>
      <vt:variant>
        <vt:lpstr>Named Ranges</vt:lpstr>
      </vt:variant>
      <vt:variant>
        <vt:i4>53</vt:i4>
      </vt:variant>
    </vt:vector>
  </HeadingPairs>
  <TitlesOfParts>
    <vt:vector size="129" baseType="lpstr">
      <vt:lpstr>Data</vt:lpstr>
      <vt:lpstr>Home</vt:lpstr>
      <vt:lpstr>Disbursement_Checklist</vt:lpstr>
      <vt:lpstr>Product Details</vt:lpstr>
      <vt:lpstr>EWS</vt:lpstr>
      <vt:lpstr>Business Profile</vt:lpstr>
      <vt:lpstr>Associated Companies</vt:lpstr>
      <vt:lpstr>ROC</vt:lpstr>
      <vt:lpstr>CA</vt:lpstr>
      <vt:lpstr>GST</vt:lpstr>
      <vt:lpstr>KYC</vt:lpstr>
      <vt:lpstr>Crime</vt:lpstr>
      <vt:lpstr>EPFO</vt:lpstr>
      <vt:lpstr>ESIC</vt:lpstr>
      <vt:lpstr>Google</vt:lpstr>
      <vt:lpstr>Truecaller</vt:lpstr>
      <vt:lpstr>LEI</vt:lpstr>
      <vt:lpstr>Observations</vt:lpstr>
      <vt:lpstr>Drop Table</vt:lpstr>
      <vt:lpstr>Borrower Details</vt:lpstr>
      <vt:lpstr>Facility &amp; Collateral Details</vt:lpstr>
      <vt:lpstr>Multiple Banking</vt:lpstr>
      <vt:lpstr>Financials1</vt:lpstr>
      <vt:lpstr>LOSPnL1</vt:lpstr>
      <vt:lpstr>LOSBS1</vt:lpstr>
      <vt:lpstr>Financials2</vt:lpstr>
      <vt:lpstr>LOSPnL2</vt:lpstr>
      <vt:lpstr>LOSBS2</vt:lpstr>
      <vt:lpstr>LOSPnL3</vt:lpstr>
      <vt:lpstr>LOSBS3</vt:lpstr>
      <vt:lpstr>Financials3</vt:lpstr>
      <vt:lpstr>Financials_Consolidated</vt:lpstr>
      <vt:lpstr>LOSPnL_Consolidated</vt:lpstr>
      <vt:lpstr>LOSBS_Consolidated</vt:lpstr>
      <vt:lpstr>Fin Observation</vt:lpstr>
      <vt:lpstr>TeleVRs</vt:lpstr>
      <vt:lpstr>Professional Receipts</vt:lpstr>
      <vt:lpstr>Industry Margins</vt:lpstr>
      <vt:lpstr>Gross Profit</vt:lpstr>
      <vt:lpstr>LRD</vt:lpstr>
      <vt:lpstr>Eligibility_EBIDTA</vt:lpstr>
      <vt:lpstr>Eligibility_Margin</vt:lpstr>
      <vt:lpstr>Cash Profit</vt:lpstr>
      <vt:lpstr>Salaried</vt:lpstr>
      <vt:lpstr>EMI Chart</vt:lpstr>
      <vt:lpstr>PD_Non_Individual</vt:lpstr>
      <vt:lpstr>PD_Salaried</vt:lpstr>
      <vt:lpstr>EMI Sheet1</vt:lpstr>
      <vt:lpstr>Banking</vt:lpstr>
      <vt:lpstr>NC Banking Score</vt:lpstr>
      <vt:lpstr>Daily-Balance</vt:lpstr>
      <vt:lpstr>Transaction-Analysis</vt:lpstr>
      <vt:lpstr>NC-RTR</vt:lpstr>
      <vt:lpstr>Credit analysis</vt:lpstr>
      <vt:lpstr>Legal_Compliance_Certificate</vt:lpstr>
      <vt:lpstr>Rating_Individual</vt:lpstr>
      <vt:lpstr>Rating_NonIndividuals</vt:lpstr>
      <vt:lpstr>Covenants</vt:lpstr>
      <vt:lpstr>CRM approval</vt:lpstr>
      <vt:lpstr>HTN-LAP</vt:lpstr>
      <vt:lpstr>CRM Rating</vt:lpstr>
      <vt:lpstr>LC Eligibility</vt:lpstr>
      <vt:lpstr>BG Eligibilty</vt:lpstr>
      <vt:lpstr>High ticket norms and DBR</vt:lpstr>
      <vt:lpstr>Step down</vt:lpstr>
      <vt:lpstr>CGTMSE Input</vt:lpstr>
      <vt:lpstr>CGTMSE OUtput Sheet</vt:lpstr>
      <vt:lpstr>App Calc</vt:lpstr>
      <vt:lpstr>HL PSL Calculator</vt:lpstr>
      <vt:lpstr>MSE PSL Calculator</vt:lpstr>
      <vt:lpstr>Control Checklist</vt:lpstr>
      <vt:lpstr>PD - MSME</vt:lpstr>
      <vt:lpstr>PD - Others</vt:lpstr>
      <vt:lpstr>End Use Calc</vt:lpstr>
      <vt:lpstr>Site Visit</vt:lpstr>
      <vt:lpstr>UD Fields</vt:lpstr>
      <vt:lpstr>ChartData</vt:lpstr>
      <vt:lpstr>cibil_score</vt:lpstr>
      <vt:lpstr>Constitution</vt:lpstr>
      <vt:lpstr>DailyBal</vt:lpstr>
      <vt:lpstr>emi_oblig</vt:lpstr>
      <vt:lpstr>FE_17</vt:lpstr>
      <vt:lpstr>'App Calc'!Print_Area</vt:lpstr>
      <vt:lpstr>'Associated Companies'!Print_Area</vt:lpstr>
      <vt:lpstr>'Borrower Details'!Print_Area</vt:lpstr>
      <vt:lpstr>'Business Profile'!Print_Area</vt:lpstr>
      <vt:lpstr>CA!Print_Area</vt:lpstr>
      <vt:lpstr>'Cash Profit'!Print_Area</vt:lpstr>
      <vt:lpstr>Covenants!Print_Area</vt:lpstr>
      <vt:lpstr>'Credit analysis'!Print_Area</vt:lpstr>
      <vt:lpstr>Crime!Print_Area</vt:lpstr>
      <vt:lpstr>'CRM approval'!Print_Area</vt:lpstr>
      <vt:lpstr>Disbursement_Checklist!Print_Area</vt:lpstr>
      <vt:lpstr>Eligibility_EBIDTA!Print_Area</vt:lpstr>
      <vt:lpstr>Eligibility_Margin!Print_Area</vt:lpstr>
      <vt:lpstr>'EMI Chart'!Print_Area</vt:lpstr>
      <vt:lpstr>'End Use Calc'!Print_Area</vt:lpstr>
      <vt:lpstr>EPFO!Print_Area</vt:lpstr>
      <vt:lpstr>ESIC!Print_Area</vt:lpstr>
      <vt:lpstr>'Facility &amp; Collateral Details'!Print_Area</vt:lpstr>
      <vt:lpstr>'Fin Observation'!Print_Area</vt:lpstr>
      <vt:lpstr>Financials_Consolidated!Print_Area</vt:lpstr>
      <vt:lpstr>Financials1!Print_Area</vt:lpstr>
      <vt:lpstr>Financials2!Print_Area</vt:lpstr>
      <vt:lpstr>Google!Print_Area</vt:lpstr>
      <vt:lpstr>'Gross Profit'!Print_Area</vt:lpstr>
      <vt:lpstr>GST!Print_Area</vt:lpstr>
      <vt:lpstr>'High ticket norms and DBR'!Print_Area</vt:lpstr>
      <vt:lpstr>'HTN-LAP'!Print_Area</vt:lpstr>
      <vt:lpstr>'Industry Margins'!Print_Area</vt:lpstr>
      <vt:lpstr>KYC!Print_Area</vt:lpstr>
      <vt:lpstr>Legal_Compliance_Certificate!Print_Area</vt:lpstr>
      <vt:lpstr>LEI!Print_Area</vt:lpstr>
      <vt:lpstr>LRD!Print_Area</vt:lpstr>
      <vt:lpstr>'MSE PSL Calculator'!Print_Area</vt:lpstr>
      <vt:lpstr>'Multiple Banking'!Print_Area</vt:lpstr>
      <vt:lpstr>'NC-RTR'!Print_Area</vt:lpstr>
      <vt:lpstr>Observations!Print_Area</vt:lpstr>
      <vt:lpstr>'Professional Receipts'!Print_Area</vt:lpstr>
      <vt:lpstr>Rating_Individual!Print_Area</vt:lpstr>
      <vt:lpstr>Rating_NonIndividuals!Print_Area</vt:lpstr>
      <vt:lpstr>ROC!Print_Area</vt:lpstr>
      <vt:lpstr>'Site Visit'!Print_Area</vt:lpstr>
      <vt:lpstr>'Step down'!Print_Area</vt:lpstr>
      <vt:lpstr>TeleVRs!Print_Area</vt:lpstr>
      <vt:lpstr>Truecaller!Print_Area</vt:lpstr>
      <vt:lpstr>'EMI Sheet1'!Print_Titles</vt:lpstr>
      <vt:lpstr>Product_Type</vt:lpstr>
      <vt:lpstr>Sector</vt:lpstr>
    </vt:vector>
  </TitlesOfParts>
  <Company>Deutsche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Preeti Parameshwaran</dc:creator>
  <cp:keywords>For internal use only</cp:keywords>
  <cp:lastModifiedBy>NAMASTECREDIT-TECH</cp:lastModifiedBy>
  <cp:lastPrinted>2021-01-21T17:08:56Z</cp:lastPrinted>
  <dcterms:created xsi:type="dcterms:W3CDTF">2006-03-09T05:32:01Z</dcterms:created>
  <dcterms:modified xsi:type="dcterms:W3CDTF">2021-11-16T11:32:09Z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58e1934c-36eb-4719-aef1-1cdc11b480ff</vt:lpwstr>
  </property>
  <property fmtid="{D5CDD505-2E9C-101B-9397-08002B2CF9AE}" pid="3" name="aliashDocumentMarking">
    <vt:lpwstr>For internal use only//For internal use only//For internal use only</vt:lpwstr>
  </property>
  <property fmtid="{D5CDD505-2E9C-101B-9397-08002B2CF9AE}" pid="4" name="MSIP_Label_af1741f6-9e47-426e-a683-937c37d4ebc5_Enabled">
    <vt:lpwstr>True</vt:lpwstr>
  </property>
  <property fmtid="{D5CDD505-2E9C-101B-9397-08002B2CF9AE}" pid="5" name="MSIP_Label_af1741f6-9e47-426e-a683-937c37d4ebc5_SiteId">
    <vt:lpwstr>1e9b61e8-e590-4abc-b1af-24125e330d2a</vt:lpwstr>
  </property>
  <property fmtid="{D5CDD505-2E9C-101B-9397-08002B2CF9AE}" pid="6" name="MSIP_Label_af1741f6-9e47-426e-a683-937c37d4ebc5_Owner">
    <vt:lpwstr>kaushik.debnath@db.com</vt:lpwstr>
  </property>
  <property fmtid="{D5CDD505-2E9C-101B-9397-08002B2CF9AE}" pid="7" name="MSIP_Label_af1741f6-9e47-426e-a683-937c37d4ebc5_SetDate">
    <vt:lpwstr>2021-01-23T07:09:58.7266801Z</vt:lpwstr>
  </property>
  <property fmtid="{D5CDD505-2E9C-101B-9397-08002B2CF9AE}" pid="8" name="MSIP_Label_af1741f6-9e47-426e-a683-937c37d4ebc5_Name">
    <vt:lpwstr>For internal use only</vt:lpwstr>
  </property>
  <property fmtid="{D5CDD505-2E9C-101B-9397-08002B2CF9AE}" pid="9" name="MSIP_Label_af1741f6-9e47-426e-a683-937c37d4ebc5_Application">
    <vt:lpwstr>Microsoft Azure Information Protection</vt:lpwstr>
  </property>
  <property fmtid="{D5CDD505-2E9C-101B-9397-08002B2CF9AE}" pid="10" name="MSIP_Label_af1741f6-9e47-426e-a683-937c37d4ebc5_ActionId">
    <vt:lpwstr>3e77cb58-07ef-418a-bf15-2ba116f19e01</vt:lpwstr>
  </property>
  <property fmtid="{D5CDD505-2E9C-101B-9397-08002B2CF9AE}" pid="11" name="MSIP_Label_af1741f6-9e47-426e-a683-937c37d4ebc5_Extended_MSFT_Method">
    <vt:lpwstr>Manual</vt:lpwstr>
  </property>
  <property fmtid="{D5CDD505-2E9C-101B-9397-08002B2CF9AE}" pid="12" name="db.comClassification">
    <vt:lpwstr>For internal use only</vt:lpwstr>
  </property>
</Properties>
</file>