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W:\My Documents\Macros\Formats\Financials\ADBFS\"/>
    </mc:Choice>
  </mc:AlternateContent>
  <xr:revisionPtr revIDLastSave="0" documentId="13_ncr:1_{95F66683-2257-420E-8E4B-147244BF9750}" xr6:coauthVersionLast="46" xr6:coauthVersionMax="46" xr10:uidLastSave="{00000000-0000-0000-0000-000000000000}"/>
  <bookViews>
    <workbookView xWindow="-120" yWindow="-120" windowWidth="20730" windowHeight="11160" tabRatio="894" firstSheet="1" activeTab="1" xr2:uid="{00000000-000D-0000-FFFF-FFFF00000000}"/>
  </bookViews>
  <sheets>
    <sheet name="Customer Details" sheetId="31" state="hidden" r:id="rId1"/>
    <sheet name="Loan Details" sheetId="17" r:id="rId2"/>
    <sheet name="MSME_Detail" sheetId="30" r:id="rId3"/>
    <sheet name="MSME Detail" sheetId="29" state="hidden" r:id="rId4"/>
    <sheet name="Average Banking" sheetId="14" r:id="rId5"/>
    <sheet name="Banking" sheetId="19" r:id="rId6"/>
    <sheet name="ROC" sheetId="35" r:id="rId7"/>
    <sheet name="DSCR Method" sheetId="8" state="hidden" r:id="rId8"/>
    <sheet name="Existing Borrower Top-up" sheetId="28" state="hidden" r:id="rId9"/>
    <sheet name="ITR Program" sheetId="6" state="hidden" r:id="rId10"/>
    <sheet name="Gross Receipts" sheetId="3" state="hidden" r:id="rId11"/>
    <sheet name="Income Multiplier" sheetId="5" state="hidden" r:id="rId12"/>
    <sheet name="Details" sheetId="16" r:id="rId13"/>
    <sheet name="Financial" sheetId="32" r:id="rId14"/>
    <sheet name="Banking Cashflow" sheetId="27" r:id="rId15"/>
    <sheet name="Banking Trend" sheetId="26" state="hidden" r:id="rId16"/>
    <sheet name="Repayment" sheetId="21" r:id="rId17"/>
    <sheet name="NC-RTR" sheetId="36" r:id="rId18"/>
    <sheet name="Observation Sheet" sheetId="23" r:id="rId19"/>
    <sheet name="SHP" sheetId="24" r:id="rId20"/>
    <sheet name="Sale-Purchase Plotting" sheetId="25" state="hidden" r:id="rId21"/>
    <sheet name="Gross Margin" sheetId="2" state="hidden" r:id="rId22"/>
    <sheet name="Gross Profit" sheetId="9" state="hidden" r:id="rId23"/>
    <sheet name="Projected Turnover" sheetId="11" state="hidden" r:id="rId24"/>
    <sheet name="Turnover Multiplier" sheetId="12" state="hidden" r:id="rId25"/>
    <sheet name="GST TO Surrogate" sheetId="13" state="hidden" r:id="rId26"/>
    <sheet name="Repayment Surrogate" sheetId="15" state="hidden" r:id="rId27"/>
    <sheet name="GSTR CY" sheetId="33" r:id="rId28"/>
    <sheet name="GSTR PY" sheetId="34" r:id="rId29"/>
  </sheets>
  <externalReferences>
    <externalReference r:id="rId30"/>
  </externalReferences>
  <definedNames>
    <definedName name="_xlnm._FilterDatabase" localSheetId="13" hidden="1">Financial!$A$3:$L$140</definedName>
    <definedName name="_xlnm._FilterDatabase" localSheetId="1" hidden="1">'Loan Details'!$A$2:$E$65</definedName>
    <definedName name="_xlnm._FilterDatabase" localSheetId="16" hidden="1">Repayment!$A$1:$V$52</definedName>
    <definedName name="Amount">'[1]ROC-Check'!$I$32:$I$33</definedName>
    <definedName name="AuthCap">'[1]ROC-Check'!$E$10</definedName>
    <definedName name="CIN">'[1]ROC-Check'!$E$3</definedName>
    <definedName name="CINStatus">'[1]ROC-Check'!$E$22</definedName>
    <definedName name="_xlnm.Criteria">'[1]ROC-Check'!$H$32:$H$33</definedName>
    <definedName name="GSTIN">'[1]GST-Check'!$E$3</definedName>
    <definedName name="GSTINStatus">'[1]GST-Check'!$E$10</definedName>
    <definedName name="PaidUp">'[1]ROC-Check'!$E$11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22" i="19" l="1"/>
  <c r="A223" i="19" s="1"/>
  <c r="A224" i="19" s="1"/>
  <c r="A225" i="19" s="1"/>
  <c r="A226" i="19" s="1"/>
  <c r="A209" i="19"/>
  <c r="A210" i="19" s="1"/>
  <c r="A211" i="19" s="1"/>
  <c r="A212" i="19" s="1"/>
  <c r="A213" i="19" s="1"/>
  <c r="A196" i="19"/>
  <c r="A197" i="19" s="1"/>
  <c r="A198" i="19" s="1"/>
  <c r="A199" i="19" s="1"/>
  <c r="A200" i="19" s="1"/>
  <c r="A183" i="19"/>
  <c r="A184" i="19" s="1"/>
  <c r="A185" i="19" s="1"/>
  <c r="A186" i="19" s="1"/>
  <c r="A187" i="19" s="1"/>
  <c r="A170" i="19"/>
  <c r="A171" i="19" s="1"/>
  <c r="A172" i="19" s="1"/>
  <c r="A173" i="19" s="1"/>
  <c r="A174" i="19" s="1"/>
  <c r="A157" i="19"/>
  <c r="A158" i="19" s="1"/>
  <c r="A159" i="19" s="1"/>
  <c r="A160" i="19" s="1"/>
  <c r="A161" i="19" s="1"/>
  <c r="A144" i="19"/>
  <c r="A145" i="19" s="1"/>
  <c r="A146" i="19" s="1"/>
  <c r="A147" i="19" s="1"/>
  <c r="A148" i="19" s="1"/>
  <c r="A131" i="19"/>
  <c r="A132" i="19" s="1"/>
  <c r="A133" i="19" s="1"/>
  <c r="A134" i="19" s="1"/>
  <c r="A135" i="19" s="1"/>
  <c r="A118" i="19"/>
  <c r="A119" i="19" s="1"/>
  <c r="A120" i="19" s="1"/>
  <c r="A121" i="19" s="1"/>
  <c r="A122" i="19" s="1"/>
  <c r="A105" i="19"/>
  <c r="A106" i="19" s="1"/>
  <c r="A107" i="19" s="1"/>
  <c r="A108" i="19" s="1"/>
  <c r="A109" i="19" s="1"/>
  <c r="A92" i="19"/>
  <c r="A93" i="19" s="1"/>
  <c r="A94" i="19" s="1"/>
  <c r="A95" i="19" s="1"/>
  <c r="A96" i="19" s="1"/>
  <c r="A79" i="19"/>
  <c r="A80" i="19" s="1"/>
  <c r="A81" i="19" s="1"/>
  <c r="A82" i="19" s="1"/>
  <c r="A83" i="19" s="1"/>
  <c r="A66" i="19"/>
  <c r="A67" i="19" s="1"/>
  <c r="A68" i="19" s="1"/>
  <c r="A69" i="19" s="1"/>
  <c r="A70" i="19" s="1"/>
  <c r="A53" i="19"/>
  <c r="A54" i="19" s="1"/>
  <c r="A55" i="19" s="1"/>
  <c r="A56" i="19" s="1"/>
  <c r="A57" i="19" s="1"/>
  <c r="A40" i="19"/>
  <c r="A41" i="19" s="1"/>
  <c r="A42" i="19" s="1"/>
  <c r="A43" i="19" s="1"/>
  <c r="A44" i="19" s="1"/>
  <c r="A27" i="19"/>
  <c r="A28" i="19" s="1"/>
  <c r="A29" i="19" s="1"/>
  <c r="A30" i="19" s="1"/>
  <c r="A31" i="19" s="1"/>
  <c r="A75" i="14"/>
  <c r="A76" i="14" s="1"/>
  <c r="A77" i="14" s="1"/>
  <c r="A78" i="14" s="1"/>
  <c r="A79" i="14" s="1"/>
  <c r="A62" i="14"/>
  <c r="A63" i="14" s="1"/>
  <c r="A64" i="14" s="1"/>
  <c r="A65" i="14" s="1"/>
  <c r="A66" i="14" s="1"/>
  <c r="A49" i="14"/>
  <c r="A50" i="14" s="1"/>
  <c r="A51" i="14" s="1"/>
  <c r="A52" i="14" s="1"/>
  <c r="A53" i="14" s="1"/>
  <c r="A36" i="14"/>
  <c r="A37" i="14" s="1"/>
  <c r="A38" i="14" s="1"/>
  <c r="A39" i="14" s="1"/>
  <c r="A40" i="14" s="1"/>
  <c r="I3" i="21"/>
  <c r="I4" i="21"/>
  <c r="I5" i="21"/>
  <c r="I6" i="21"/>
  <c r="I7" i="21"/>
  <c r="I8" i="21"/>
  <c r="I9" i="21"/>
  <c r="I10" i="21"/>
  <c r="I11" i="21"/>
  <c r="I12" i="21"/>
  <c r="I13" i="21"/>
  <c r="I14" i="21"/>
  <c r="I15" i="21"/>
  <c r="I16" i="21"/>
  <c r="I17" i="21"/>
  <c r="I18" i="21"/>
  <c r="I19" i="21"/>
  <c r="I20" i="21"/>
  <c r="I21" i="21"/>
  <c r="I22" i="21"/>
  <c r="I23" i="21"/>
  <c r="I24" i="21"/>
  <c r="I25" i="21"/>
  <c r="I26" i="21"/>
  <c r="I27" i="21"/>
  <c r="I28" i="21"/>
  <c r="I29" i="21"/>
  <c r="I30" i="21"/>
  <c r="I31" i="21"/>
  <c r="I32" i="21"/>
  <c r="I33" i="21"/>
  <c r="I34" i="21"/>
  <c r="I35" i="21"/>
  <c r="I36" i="21"/>
  <c r="I37" i="21"/>
  <c r="I38" i="21"/>
  <c r="I39" i="21"/>
  <c r="I40" i="21"/>
  <c r="I41" i="21"/>
  <c r="I42" i="21"/>
  <c r="I43" i="21"/>
  <c r="I44" i="21"/>
  <c r="I45" i="21"/>
  <c r="I46" i="21"/>
  <c r="I47" i="21"/>
  <c r="I48" i="21"/>
  <c r="I49" i="21"/>
  <c r="I50" i="21"/>
  <c r="I51" i="21"/>
  <c r="I2" i="21"/>
  <c r="B4" i="6"/>
  <c r="L2" i="21"/>
  <c r="M2" i="21"/>
  <c r="N51" i="21"/>
  <c r="M51" i="21"/>
  <c r="L51" i="21"/>
  <c r="N50" i="21"/>
  <c r="M50" i="21"/>
  <c r="L50" i="21"/>
  <c r="N49" i="21"/>
  <c r="M49" i="21"/>
  <c r="L49" i="21"/>
  <c r="N48" i="21"/>
  <c r="M48" i="21"/>
  <c r="L48" i="21"/>
  <c r="N47" i="21"/>
  <c r="M47" i="21"/>
  <c r="L47" i="21"/>
  <c r="N46" i="21"/>
  <c r="M46" i="21"/>
  <c r="L46" i="21"/>
  <c r="N45" i="21"/>
  <c r="M45" i="21"/>
  <c r="L45" i="21"/>
  <c r="N44" i="21"/>
  <c r="M44" i="21"/>
  <c r="L44" i="21"/>
  <c r="N43" i="21"/>
  <c r="M43" i="21"/>
  <c r="L43" i="21"/>
  <c r="N42" i="21"/>
  <c r="M42" i="21"/>
  <c r="L42" i="21"/>
  <c r="N41" i="21"/>
  <c r="M41" i="21"/>
  <c r="L41" i="21"/>
  <c r="N40" i="21"/>
  <c r="M40" i="21"/>
  <c r="L40" i="21"/>
  <c r="N39" i="21"/>
  <c r="M39" i="21"/>
  <c r="L39" i="21"/>
  <c r="N38" i="21"/>
  <c r="M38" i="21"/>
  <c r="L38" i="21"/>
  <c r="N37" i="21"/>
  <c r="M37" i="21"/>
  <c r="L37" i="21"/>
  <c r="N36" i="21"/>
  <c r="M36" i="21"/>
  <c r="L36" i="21"/>
  <c r="N35" i="21"/>
  <c r="M35" i="21"/>
  <c r="L35" i="21"/>
  <c r="N34" i="21"/>
  <c r="M34" i="21"/>
  <c r="L34" i="21"/>
  <c r="N33" i="21"/>
  <c r="M33" i="21"/>
  <c r="L33" i="21"/>
  <c r="N32" i="21"/>
  <c r="M32" i="21"/>
  <c r="L32" i="21"/>
  <c r="N31" i="21"/>
  <c r="M31" i="21"/>
  <c r="L31" i="21"/>
  <c r="N30" i="21"/>
  <c r="M30" i="21"/>
  <c r="L30" i="21"/>
  <c r="N29" i="21"/>
  <c r="M29" i="21"/>
  <c r="L29" i="21"/>
  <c r="N28" i="21"/>
  <c r="M28" i="21"/>
  <c r="L28" i="21"/>
  <c r="N27" i="21"/>
  <c r="M27" i="21"/>
  <c r="L27" i="21"/>
  <c r="N26" i="21"/>
  <c r="M26" i="21"/>
  <c r="L26" i="21"/>
  <c r="N25" i="21"/>
  <c r="M25" i="21"/>
  <c r="L25" i="21"/>
  <c r="N24" i="21"/>
  <c r="M24" i="21"/>
  <c r="L24" i="21"/>
  <c r="N23" i="21"/>
  <c r="M23" i="21"/>
  <c r="L23" i="21"/>
  <c r="N22" i="21"/>
  <c r="M22" i="21"/>
  <c r="L22" i="21"/>
  <c r="N21" i="21"/>
  <c r="M21" i="21"/>
  <c r="L21" i="21"/>
  <c r="N20" i="21"/>
  <c r="M20" i="21"/>
  <c r="L20" i="21"/>
  <c r="N19" i="21"/>
  <c r="M19" i="21"/>
  <c r="L19" i="21"/>
  <c r="N18" i="21"/>
  <c r="M18" i="21"/>
  <c r="L18" i="21"/>
  <c r="N17" i="21"/>
  <c r="M17" i="21"/>
  <c r="L17" i="21"/>
  <c r="N16" i="21"/>
  <c r="M16" i="21"/>
  <c r="L16" i="21"/>
  <c r="N15" i="21"/>
  <c r="M15" i="21"/>
  <c r="L15" i="21"/>
  <c r="N14" i="21"/>
  <c r="M14" i="21"/>
  <c r="L14" i="21"/>
  <c r="N13" i="21"/>
  <c r="M13" i="21"/>
  <c r="L13" i="21"/>
  <c r="N12" i="21"/>
  <c r="M12" i="21"/>
  <c r="L12" i="21"/>
  <c r="N11" i="21"/>
  <c r="M11" i="21"/>
  <c r="L11" i="21"/>
  <c r="N10" i="21"/>
  <c r="M10" i="21"/>
  <c r="L10" i="21"/>
  <c r="N9" i="21"/>
  <c r="M9" i="21"/>
  <c r="L9" i="21"/>
  <c r="N8" i="21"/>
  <c r="M8" i="21"/>
  <c r="L8" i="21"/>
  <c r="N7" i="21"/>
  <c r="M7" i="21"/>
  <c r="L7" i="21"/>
  <c r="O6" i="21"/>
  <c r="N6" i="21"/>
  <c r="M6" i="21"/>
  <c r="L6" i="21"/>
  <c r="O5" i="21"/>
  <c r="N5" i="21"/>
  <c r="M5" i="21"/>
  <c r="L5" i="21"/>
  <c r="O4" i="21"/>
  <c r="N4" i="21"/>
  <c r="M4" i="21"/>
  <c r="L4" i="21"/>
  <c r="O3" i="21"/>
  <c r="N3" i="21"/>
  <c r="M3" i="21"/>
  <c r="L3" i="21"/>
  <c r="N2" i="21"/>
  <c r="D7" i="30"/>
  <c r="BC30" i="36"/>
  <c r="BB30" i="36"/>
  <c r="BA30" i="36"/>
  <c r="AZ30" i="36"/>
  <c r="AY30" i="36"/>
  <c r="AX30" i="36"/>
  <c r="AW30" i="36"/>
  <c r="AV30" i="36"/>
  <c r="AU30" i="36"/>
  <c r="AT30" i="36"/>
  <c r="AS30" i="36"/>
  <c r="AR30" i="36"/>
  <c r="AQ30" i="36"/>
  <c r="AP30" i="36"/>
  <c r="AO30" i="36"/>
  <c r="AN30" i="36"/>
  <c r="AM30" i="36"/>
  <c r="AL30" i="36"/>
  <c r="AK30" i="36"/>
  <c r="AJ30" i="36"/>
  <c r="AI30" i="36"/>
  <c r="AH30" i="36"/>
  <c r="AG30" i="36"/>
  <c r="AF30" i="36"/>
  <c r="AE30" i="36"/>
  <c r="AD30" i="36"/>
  <c r="AC30" i="36"/>
  <c r="AB30" i="36"/>
  <c r="AA30" i="36"/>
  <c r="Z30" i="36"/>
  <c r="Y30" i="36"/>
  <c r="X30" i="36"/>
  <c r="W30" i="36"/>
  <c r="V30" i="36"/>
  <c r="U30" i="36"/>
  <c r="T30" i="36"/>
  <c r="S30" i="36"/>
  <c r="N30" i="36"/>
  <c r="L30" i="36"/>
  <c r="I30" i="36"/>
  <c r="G30" i="36"/>
  <c r="F30" i="36"/>
  <c r="E30" i="36"/>
  <c r="D30" i="36"/>
  <c r="R29" i="36"/>
  <c r="Q29" i="36"/>
  <c r="O29" i="36"/>
  <c r="K29" i="36"/>
  <c r="M29" i="36" s="1"/>
  <c r="R28" i="36"/>
  <c r="Q28" i="36"/>
  <c r="O28" i="36"/>
  <c r="O30" i="36" s="1"/>
  <c r="K28" i="36"/>
  <c r="M28" i="36" s="1"/>
  <c r="R27" i="36"/>
  <c r="Q27" i="36"/>
  <c r="O27" i="36"/>
  <c r="K27" i="36"/>
  <c r="M27" i="36" s="1"/>
  <c r="R26" i="36"/>
  <c r="R30" i="36" s="1"/>
  <c r="Q26" i="36"/>
  <c r="Q30" i="36" s="1"/>
  <c r="O26" i="36"/>
  <c r="K26" i="36"/>
  <c r="M26" i="36" s="1"/>
  <c r="Y24" i="36"/>
  <c r="AB24" i="36" s="1"/>
  <c r="AE24" i="36" s="1"/>
  <c r="AH24" i="36" s="1"/>
  <c r="AK24" i="36" s="1"/>
  <c r="AN24" i="36" s="1"/>
  <c r="AQ24" i="36" s="1"/>
  <c r="AT24" i="36" s="1"/>
  <c r="AW24" i="36" s="1"/>
  <c r="AZ24" i="36" s="1"/>
  <c r="V24" i="36"/>
  <c r="W13" i="36"/>
  <c r="S13" i="36"/>
  <c r="O13" i="36"/>
  <c r="K13" i="36"/>
  <c r="H13" i="36"/>
  <c r="G13" i="36"/>
  <c r="F13" i="36"/>
  <c r="E13" i="36"/>
  <c r="E27" i="35"/>
  <c r="D27" i="35"/>
  <c r="E26" i="35"/>
  <c r="E28" i="35" s="1"/>
  <c r="D26" i="35"/>
  <c r="D28" i="35" s="1"/>
  <c r="G13" i="35"/>
  <c r="J255" i="34"/>
  <c r="B255" i="34"/>
  <c r="D252" i="34"/>
  <c r="D249" i="34"/>
  <c r="F249" i="34" s="1"/>
  <c r="D246" i="34"/>
  <c r="F243" i="34" s="1"/>
  <c r="F255" i="34" s="1"/>
  <c r="D243" i="34"/>
  <c r="D255" i="34" s="1"/>
  <c r="J239" i="34"/>
  <c r="B239" i="34"/>
  <c r="D236" i="34"/>
  <c r="F233" i="34" s="1"/>
  <c r="D233" i="34"/>
  <c r="D230" i="34"/>
  <c r="D227" i="34"/>
  <c r="F227" i="34" s="1"/>
  <c r="J223" i="34"/>
  <c r="B223" i="34"/>
  <c r="D220" i="34"/>
  <c r="F217" i="34" s="1"/>
  <c r="D217" i="34"/>
  <c r="D214" i="34"/>
  <c r="F211" i="34" s="1"/>
  <c r="F223" i="34" s="1"/>
  <c r="D211" i="34"/>
  <c r="D223" i="34" s="1"/>
  <c r="J207" i="34"/>
  <c r="B207" i="34"/>
  <c r="D204" i="34"/>
  <c r="F201" i="34"/>
  <c r="D201" i="34"/>
  <c r="D198" i="34"/>
  <c r="F195" i="34"/>
  <c r="F207" i="34" s="1"/>
  <c r="D195" i="34"/>
  <c r="D207" i="34" s="1"/>
  <c r="J191" i="34"/>
  <c r="B191" i="34"/>
  <c r="D188" i="34"/>
  <c r="D185" i="34"/>
  <c r="F185" i="34" s="1"/>
  <c r="D182" i="34"/>
  <c r="F179" i="34" s="1"/>
  <c r="D179" i="34"/>
  <c r="D191" i="34" s="1"/>
  <c r="J175" i="34"/>
  <c r="B175" i="34"/>
  <c r="D172" i="34"/>
  <c r="F169" i="34" s="1"/>
  <c r="D169" i="34"/>
  <c r="D166" i="34"/>
  <c r="D163" i="34"/>
  <c r="F163" i="34" s="1"/>
  <c r="F175" i="34" s="1"/>
  <c r="J159" i="34"/>
  <c r="B159" i="34"/>
  <c r="D156" i="34"/>
  <c r="D153" i="34"/>
  <c r="F153" i="34" s="1"/>
  <c r="D150" i="34"/>
  <c r="F147" i="34" s="1"/>
  <c r="F159" i="34" s="1"/>
  <c r="D147" i="34"/>
  <c r="J143" i="34"/>
  <c r="B143" i="34"/>
  <c r="D140" i="34"/>
  <c r="F137" i="34"/>
  <c r="D137" i="34"/>
  <c r="D134" i="34"/>
  <c r="F131" i="34"/>
  <c r="F143" i="34" s="1"/>
  <c r="D131" i="34"/>
  <c r="D143" i="34" s="1"/>
  <c r="J127" i="34"/>
  <c r="B127" i="34"/>
  <c r="D124" i="34"/>
  <c r="D121" i="34"/>
  <c r="F121" i="34" s="1"/>
  <c r="D118" i="34"/>
  <c r="F115" i="34" s="1"/>
  <c r="F127" i="34" s="1"/>
  <c r="D115" i="34"/>
  <c r="D127" i="34" s="1"/>
  <c r="J111" i="34"/>
  <c r="B111" i="34"/>
  <c r="D108" i="34"/>
  <c r="F105" i="34" s="1"/>
  <c r="D105" i="34"/>
  <c r="D102" i="34"/>
  <c r="D99" i="34"/>
  <c r="F99" i="34" s="1"/>
  <c r="F111" i="34" s="1"/>
  <c r="J95" i="34"/>
  <c r="B95" i="34"/>
  <c r="D92" i="34"/>
  <c r="D89" i="34"/>
  <c r="F89" i="34" s="1"/>
  <c r="D86" i="34"/>
  <c r="F83" i="34" s="1"/>
  <c r="F95" i="34" s="1"/>
  <c r="D83" i="34"/>
  <c r="J79" i="34"/>
  <c r="B79" i="34"/>
  <c r="D76" i="34"/>
  <c r="F73" i="34"/>
  <c r="D73" i="34"/>
  <c r="D70" i="34"/>
  <c r="F67" i="34"/>
  <c r="F79" i="34" s="1"/>
  <c r="D67" i="34"/>
  <c r="D79" i="34" s="1"/>
  <c r="J63" i="34"/>
  <c r="B63" i="34"/>
  <c r="D60" i="34"/>
  <c r="D57" i="34"/>
  <c r="F57" i="34" s="1"/>
  <c r="D54" i="34"/>
  <c r="F51" i="34" s="1"/>
  <c r="F63" i="34" s="1"/>
  <c r="D51" i="34"/>
  <c r="D63" i="34" s="1"/>
  <c r="J47" i="34"/>
  <c r="B47" i="34"/>
  <c r="D44" i="34"/>
  <c r="F41" i="34" s="1"/>
  <c r="D41" i="34"/>
  <c r="D9" i="34" s="1"/>
  <c r="D38" i="34"/>
  <c r="D35" i="34"/>
  <c r="F35" i="34" s="1"/>
  <c r="J31" i="34"/>
  <c r="B31" i="34"/>
  <c r="D28" i="34"/>
  <c r="D25" i="34"/>
  <c r="F25" i="34" s="1"/>
  <c r="F9" i="34" s="1"/>
  <c r="D22" i="34"/>
  <c r="D6" i="34" s="1"/>
  <c r="F19" i="34"/>
  <c r="D19" i="34"/>
  <c r="D3" i="34" s="1"/>
  <c r="J14" i="34"/>
  <c r="B14" i="34"/>
  <c r="J13" i="34"/>
  <c r="B13" i="34"/>
  <c r="J12" i="34"/>
  <c r="B12" i="34"/>
  <c r="J11" i="34"/>
  <c r="B11" i="34"/>
  <c r="J10" i="34"/>
  <c r="B10" i="34"/>
  <c r="J9" i="34"/>
  <c r="B9" i="34"/>
  <c r="J8" i="34"/>
  <c r="B8" i="34"/>
  <c r="J7" i="34"/>
  <c r="B7" i="34"/>
  <c r="J6" i="34"/>
  <c r="B6" i="34"/>
  <c r="J5" i="34"/>
  <c r="B5" i="34"/>
  <c r="O4" i="34"/>
  <c r="J4" i="34"/>
  <c r="J15" i="34" s="1"/>
  <c r="M10" i="34" s="1"/>
  <c r="B4" i="34"/>
  <c r="O3" i="34"/>
  <c r="J3" i="34"/>
  <c r="B3" i="34"/>
  <c r="B15" i="34" s="1"/>
  <c r="M9" i="34" s="1"/>
  <c r="J255" i="33"/>
  <c r="B255" i="33"/>
  <c r="D252" i="33"/>
  <c r="D249" i="33"/>
  <c r="F249" i="33" s="1"/>
  <c r="D246" i="33"/>
  <c r="D255" i="33" s="1"/>
  <c r="F243" i="33"/>
  <c r="F255" i="33" s="1"/>
  <c r="D243" i="33"/>
  <c r="J239" i="33"/>
  <c r="B239" i="33"/>
  <c r="D236" i="33"/>
  <c r="D233" i="33"/>
  <c r="F233" i="33" s="1"/>
  <c r="D230" i="33"/>
  <c r="F227" i="33"/>
  <c r="F239" i="33" s="1"/>
  <c r="D227" i="33"/>
  <c r="D239" i="33" s="1"/>
  <c r="J223" i="33"/>
  <c r="B223" i="33"/>
  <c r="D220" i="33"/>
  <c r="D217" i="33"/>
  <c r="F217" i="33" s="1"/>
  <c r="D214" i="33"/>
  <c r="F211" i="33" s="1"/>
  <c r="F223" i="33" s="1"/>
  <c r="D211" i="33"/>
  <c r="D223" i="33" s="1"/>
  <c r="J207" i="33"/>
  <c r="D207" i="33"/>
  <c r="B207" i="33"/>
  <c r="D204" i="33"/>
  <c r="F201" i="33" s="1"/>
  <c r="D201" i="33"/>
  <c r="D198" i="33"/>
  <c r="D195" i="33"/>
  <c r="F195" i="33" s="1"/>
  <c r="F207" i="33" s="1"/>
  <c r="J191" i="33"/>
  <c r="B191" i="33"/>
  <c r="D188" i="33"/>
  <c r="D185" i="33"/>
  <c r="F185" i="33" s="1"/>
  <c r="D182" i="33"/>
  <c r="D191" i="33" s="1"/>
  <c r="F179" i="33"/>
  <c r="D179" i="33"/>
  <c r="J175" i="33"/>
  <c r="B175" i="33"/>
  <c r="D172" i="33"/>
  <c r="D169" i="33"/>
  <c r="F169" i="33" s="1"/>
  <c r="D166" i="33"/>
  <c r="F163" i="33"/>
  <c r="D163" i="33"/>
  <c r="D175" i="33" s="1"/>
  <c r="J159" i="33"/>
  <c r="B159" i="33"/>
  <c r="D156" i="33"/>
  <c r="D153" i="33"/>
  <c r="F153" i="33" s="1"/>
  <c r="D150" i="33"/>
  <c r="F147" i="33" s="1"/>
  <c r="F159" i="33" s="1"/>
  <c r="D147" i="33"/>
  <c r="D159" i="33" s="1"/>
  <c r="J143" i="33"/>
  <c r="D143" i="33"/>
  <c r="B143" i="33"/>
  <c r="D140" i="33"/>
  <c r="F137" i="33" s="1"/>
  <c r="D137" i="33"/>
  <c r="D134" i="33"/>
  <c r="D131" i="33"/>
  <c r="F131" i="33" s="1"/>
  <c r="F143" i="33" s="1"/>
  <c r="J127" i="33"/>
  <c r="B127" i="33"/>
  <c r="D124" i="33"/>
  <c r="D121" i="33"/>
  <c r="F121" i="33" s="1"/>
  <c r="D118" i="33"/>
  <c r="D127" i="33" s="1"/>
  <c r="F115" i="33"/>
  <c r="D115" i="33"/>
  <c r="J111" i="33"/>
  <c r="B111" i="33"/>
  <c r="D108" i="33"/>
  <c r="D105" i="33"/>
  <c r="F105" i="33" s="1"/>
  <c r="D102" i="33"/>
  <c r="F99" i="33"/>
  <c r="F111" i="33" s="1"/>
  <c r="D99" i="33"/>
  <c r="D111" i="33" s="1"/>
  <c r="J95" i="33"/>
  <c r="B95" i="33"/>
  <c r="D92" i="33"/>
  <c r="D89" i="33"/>
  <c r="F89" i="33" s="1"/>
  <c r="D86" i="33"/>
  <c r="F83" i="33" s="1"/>
  <c r="D83" i="33"/>
  <c r="D95" i="33" s="1"/>
  <c r="J79" i="33"/>
  <c r="D79" i="33"/>
  <c r="B79" i="33"/>
  <c r="D76" i="33"/>
  <c r="F73" i="33" s="1"/>
  <c r="D73" i="33"/>
  <c r="D70" i="33"/>
  <c r="D67" i="33"/>
  <c r="F67" i="33" s="1"/>
  <c r="J63" i="33"/>
  <c r="D63" i="33"/>
  <c r="B63" i="33"/>
  <c r="D60" i="33"/>
  <c r="D57" i="33"/>
  <c r="F57" i="33" s="1"/>
  <c r="D54" i="33"/>
  <c r="F51" i="33"/>
  <c r="D51" i="33"/>
  <c r="J47" i="33"/>
  <c r="B47" i="33"/>
  <c r="D44" i="33"/>
  <c r="D41" i="33"/>
  <c r="F41" i="33" s="1"/>
  <c r="D38" i="33"/>
  <c r="F35" i="33"/>
  <c r="D35" i="33"/>
  <c r="D47" i="33" s="1"/>
  <c r="J31" i="33"/>
  <c r="B31" i="33"/>
  <c r="D28" i="33"/>
  <c r="D12" i="33" s="1"/>
  <c r="D25" i="33"/>
  <c r="F25" i="33" s="1"/>
  <c r="D22" i="33"/>
  <c r="D19" i="33"/>
  <c r="D31" i="33" s="1"/>
  <c r="J14" i="33"/>
  <c r="B14" i="33"/>
  <c r="J13" i="33"/>
  <c r="B13" i="33"/>
  <c r="J12" i="33"/>
  <c r="B12" i="33"/>
  <c r="J11" i="33"/>
  <c r="B11" i="33"/>
  <c r="J10" i="33"/>
  <c r="B10" i="33"/>
  <c r="J9" i="33"/>
  <c r="B9" i="33"/>
  <c r="J8" i="33"/>
  <c r="B8" i="33"/>
  <c r="J7" i="33"/>
  <c r="B7" i="33"/>
  <c r="J6" i="33"/>
  <c r="D6" i="33"/>
  <c r="B6" i="33"/>
  <c r="J5" i="33"/>
  <c r="B5" i="33"/>
  <c r="O4" i="33"/>
  <c r="J4" i="33"/>
  <c r="B4" i="33"/>
  <c r="O3" i="33"/>
  <c r="J3" i="33"/>
  <c r="J15" i="33" s="1"/>
  <c r="M10" i="33" s="1"/>
  <c r="B3" i="33"/>
  <c r="D3" i="33" l="1"/>
  <c r="F19" i="33"/>
  <c r="F31" i="33" s="1"/>
  <c r="B15" i="33"/>
  <c r="M9" i="33" s="1"/>
  <c r="M30" i="36"/>
  <c r="F3" i="34"/>
  <c r="F15" i="34" s="1"/>
  <c r="F9" i="33"/>
  <c r="F127" i="33"/>
  <c r="F191" i="34"/>
  <c r="D15" i="33"/>
  <c r="F79" i="33"/>
  <c r="F95" i="33"/>
  <c r="F191" i="33"/>
  <c r="F239" i="34"/>
  <c r="D15" i="34"/>
  <c r="F63" i="33"/>
  <c r="F175" i="33"/>
  <c r="F47" i="33"/>
  <c r="F47" i="34"/>
  <c r="D12" i="34"/>
  <c r="D31" i="34"/>
  <c r="D95" i="34"/>
  <c r="D159" i="34"/>
  <c r="D9" i="33"/>
  <c r="F31" i="34"/>
  <c r="D47" i="34"/>
  <c r="D111" i="34"/>
  <c r="D175" i="34"/>
  <c r="D239" i="34"/>
  <c r="A14" i="19"/>
  <c r="A15" i="19" s="1"/>
  <c r="A16" i="19" s="1"/>
  <c r="A17" i="19" s="1"/>
  <c r="A18" i="19" s="1"/>
  <c r="A24" i="14"/>
  <c r="A25" i="14"/>
  <c r="A26" i="14" s="1"/>
  <c r="A27" i="14" s="1"/>
  <c r="A23" i="14"/>
  <c r="H4" i="32"/>
  <c r="I4" i="32"/>
  <c r="J4" i="32"/>
  <c r="G4" i="32"/>
  <c r="D4" i="32"/>
  <c r="E4" i="32" s="1"/>
  <c r="F4" i="32" s="1"/>
  <c r="C4" i="32"/>
  <c r="C22" i="17" a="1"/>
  <c r="C22" i="17" s="1"/>
  <c r="E22" i="17" a="1"/>
  <c r="E22" i="17" s="1"/>
  <c r="E21" i="17" a="1"/>
  <c r="E21" i="17" s="1"/>
  <c r="C21" i="17" a="1"/>
  <c r="C21" i="17" s="1"/>
  <c r="C20" i="17" a="1"/>
  <c r="C20" i="17" s="1"/>
  <c r="E20" i="17" a="1"/>
  <c r="E20" i="17" s="1"/>
  <c r="C15" i="17" a="1"/>
  <c r="C15" i="17" s="1"/>
  <c r="E15" i="17" a="1"/>
  <c r="E15" i="17" s="1"/>
  <c r="F3" i="33" l="1"/>
  <c r="F15" i="33" s="1"/>
  <c r="F25" i="11"/>
  <c r="F22" i="8" l="1"/>
  <c r="F24" i="2"/>
  <c r="F12" i="9"/>
  <c r="F23" i="8" l="1"/>
  <c r="L91" i="16" l="1"/>
  <c r="L82" i="16"/>
  <c r="L73" i="16"/>
  <c r="L64" i="16"/>
  <c r="L55" i="16"/>
  <c r="L46" i="16"/>
  <c r="L37" i="16"/>
  <c r="L28" i="16"/>
  <c r="L19" i="16"/>
  <c r="I4" i="16"/>
  <c r="I3" i="16"/>
  <c r="D2" i="14" l="1"/>
  <c r="B4" i="5" l="1"/>
  <c r="G38" i="32" l="1"/>
  <c r="J69" i="32"/>
  <c r="I69" i="32"/>
  <c r="H69" i="32"/>
  <c r="G69" i="32"/>
  <c r="J38" i="32"/>
  <c r="I38" i="32"/>
  <c r="H38" i="32"/>
  <c r="B42" i="32"/>
  <c r="C42" i="32"/>
  <c r="D42" i="32"/>
  <c r="E42" i="32"/>
  <c r="F42" i="32"/>
  <c r="A1" i="32"/>
  <c r="L89" i="16" l="1"/>
  <c r="L80" i="16"/>
  <c r="L71" i="16"/>
  <c r="L62" i="16"/>
  <c r="L44" i="16"/>
  <c r="L35" i="16"/>
  <c r="L26" i="16"/>
  <c r="L17" i="16"/>
  <c r="P81" i="14"/>
  <c r="O81" i="14"/>
  <c r="N81" i="14"/>
  <c r="M81" i="14"/>
  <c r="K81" i="14"/>
  <c r="J81" i="14"/>
  <c r="I81" i="14"/>
  <c r="G81" i="14"/>
  <c r="F81" i="14"/>
  <c r="E81" i="14"/>
  <c r="D81" i="14"/>
  <c r="C81" i="14"/>
  <c r="B81" i="14"/>
  <c r="P80" i="14"/>
  <c r="O80" i="14"/>
  <c r="N80" i="14"/>
  <c r="M80" i="14"/>
  <c r="K80" i="14"/>
  <c r="J80" i="14"/>
  <c r="I80" i="14"/>
  <c r="G80" i="14"/>
  <c r="F80" i="14"/>
  <c r="E80" i="14"/>
  <c r="D80" i="14"/>
  <c r="C80" i="14"/>
  <c r="B80" i="14"/>
  <c r="P68" i="14"/>
  <c r="O68" i="14"/>
  <c r="N68" i="14"/>
  <c r="M68" i="14"/>
  <c r="K68" i="14"/>
  <c r="J68" i="14"/>
  <c r="I68" i="14"/>
  <c r="G68" i="14"/>
  <c r="F68" i="14"/>
  <c r="E68" i="14"/>
  <c r="D68" i="14"/>
  <c r="C68" i="14"/>
  <c r="B68" i="14"/>
  <c r="P67" i="14"/>
  <c r="O67" i="14"/>
  <c r="N67" i="14"/>
  <c r="M67" i="14"/>
  <c r="K67" i="14"/>
  <c r="J67" i="14"/>
  <c r="I67" i="14"/>
  <c r="G67" i="14"/>
  <c r="F67" i="14"/>
  <c r="E67" i="14"/>
  <c r="D67" i="14"/>
  <c r="C67" i="14"/>
  <c r="B67" i="14"/>
  <c r="P55" i="14"/>
  <c r="O55" i="14"/>
  <c r="N55" i="14"/>
  <c r="M55" i="14"/>
  <c r="K55" i="14"/>
  <c r="J55" i="14"/>
  <c r="I55" i="14"/>
  <c r="G55" i="14"/>
  <c r="F55" i="14"/>
  <c r="E55" i="14"/>
  <c r="D55" i="14"/>
  <c r="C55" i="14"/>
  <c r="B55" i="14"/>
  <c r="P54" i="14"/>
  <c r="O54" i="14"/>
  <c r="N54" i="14"/>
  <c r="M54" i="14"/>
  <c r="K54" i="14"/>
  <c r="J54" i="14"/>
  <c r="I54" i="14"/>
  <c r="G54" i="14"/>
  <c r="F54" i="14"/>
  <c r="E54" i="14"/>
  <c r="D54" i="14"/>
  <c r="C54" i="14"/>
  <c r="B54" i="14"/>
  <c r="P42" i="14"/>
  <c r="O42" i="14"/>
  <c r="N42" i="14"/>
  <c r="M42" i="14"/>
  <c r="K42" i="14"/>
  <c r="J42" i="14"/>
  <c r="I42" i="14"/>
  <c r="G42" i="14"/>
  <c r="F42" i="14"/>
  <c r="E42" i="14"/>
  <c r="D42" i="14"/>
  <c r="C42" i="14"/>
  <c r="B42" i="14"/>
  <c r="P41" i="14"/>
  <c r="O41" i="14"/>
  <c r="N41" i="14"/>
  <c r="M41" i="14"/>
  <c r="K41" i="14"/>
  <c r="J41" i="14"/>
  <c r="I41" i="14"/>
  <c r="G41" i="14"/>
  <c r="F41" i="14"/>
  <c r="E41" i="14"/>
  <c r="D41" i="14"/>
  <c r="C41" i="14"/>
  <c r="B41" i="14"/>
  <c r="P29" i="14"/>
  <c r="P28" i="14"/>
  <c r="O29" i="14"/>
  <c r="O28" i="14"/>
  <c r="N29" i="14"/>
  <c r="N28" i="14"/>
  <c r="M29" i="14"/>
  <c r="M28" i="14"/>
  <c r="K29" i="14"/>
  <c r="J29" i="14"/>
  <c r="K28" i="14"/>
  <c r="J28" i="14"/>
  <c r="I29" i="14"/>
  <c r="I28" i="14"/>
  <c r="G29" i="14"/>
  <c r="F29" i="14"/>
  <c r="E29" i="14"/>
  <c r="D29" i="14"/>
  <c r="C29" i="14"/>
  <c r="B29" i="14"/>
  <c r="G28" i="14"/>
  <c r="F28" i="14"/>
  <c r="E28" i="14"/>
  <c r="D28" i="14"/>
  <c r="C28" i="14"/>
  <c r="B28" i="14"/>
  <c r="F121" i="32" l="1"/>
  <c r="E121" i="32"/>
  <c r="D121" i="32"/>
  <c r="C121" i="32"/>
  <c r="B121" i="32"/>
  <c r="F96" i="32"/>
  <c r="E96" i="32"/>
  <c r="D96" i="32"/>
  <c r="C96" i="32"/>
  <c r="B96" i="32"/>
  <c r="F69" i="32"/>
  <c r="E69" i="32"/>
  <c r="D69" i="32"/>
  <c r="C69" i="32"/>
  <c r="B69" i="32"/>
  <c r="F38" i="32"/>
  <c r="E38" i="32"/>
  <c r="D38" i="32"/>
  <c r="C38" i="32"/>
  <c r="B38" i="32"/>
  <c r="F120" i="32"/>
  <c r="E120" i="32"/>
  <c r="D120" i="32"/>
  <c r="C120" i="32"/>
  <c r="B120" i="32"/>
  <c r="F95" i="32"/>
  <c r="E95" i="32"/>
  <c r="D95" i="32"/>
  <c r="C95" i="32"/>
  <c r="B95" i="32"/>
  <c r="F68" i="32"/>
  <c r="E68" i="32"/>
  <c r="D68" i="32"/>
  <c r="C68" i="32"/>
  <c r="B68" i="32"/>
  <c r="F37" i="32"/>
  <c r="E37" i="32"/>
  <c r="D37" i="32"/>
  <c r="C37" i="32"/>
  <c r="B37" i="32"/>
  <c r="F139" i="32" l="1"/>
  <c r="E139" i="32"/>
  <c r="D139" i="32"/>
  <c r="I139" i="32" s="1"/>
  <c r="C139" i="32"/>
  <c r="B139" i="32"/>
  <c r="E135" i="32"/>
  <c r="D135" i="32"/>
  <c r="C135" i="32"/>
  <c r="B135" i="32"/>
  <c r="E134" i="32"/>
  <c r="D134" i="32"/>
  <c r="C134" i="32"/>
  <c r="B134" i="32"/>
  <c r="E133" i="32"/>
  <c r="D133" i="32"/>
  <c r="C133" i="32"/>
  <c r="B133" i="32"/>
  <c r="G133" i="32" s="1"/>
  <c r="F131" i="32"/>
  <c r="E131" i="32"/>
  <c r="D131" i="32"/>
  <c r="C131" i="32"/>
  <c r="B131" i="32"/>
  <c r="F129" i="32"/>
  <c r="E129" i="32"/>
  <c r="D129" i="32"/>
  <c r="C129" i="32"/>
  <c r="B129" i="32"/>
  <c r="F128" i="32"/>
  <c r="E128" i="32"/>
  <c r="D128" i="32"/>
  <c r="C128" i="32"/>
  <c r="B128" i="32"/>
  <c r="F127" i="32"/>
  <c r="E127" i="32"/>
  <c r="D127" i="32"/>
  <c r="C127" i="32"/>
  <c r="B127" i="32"/>
  <c r="F126" i="32"/>
  <c r="E126" i="32"/>
  <c r="D126" i="32"/>
  <c r="C126" i="32"/>
  <c r="B126" i="32"/>
  <c r="F125" i="32"/>
  <c r="E125" i="32"/>
  <c r="D125" i="32"/>
  <c r="C125" i="32"/>
  <c r="B125" i="32"/>
  <c r="F124" i="32"/>
  <c r="E124" i="32"/>
  <c r="D124" i="32"/>
  <c r="C124" i="32"/>
  <c r="B124" i="32"/>
  <c r="F105" i="32"/>
  <c r="E105" i="32"/>
  <c r="D105" i="32"/>
  <c r="C105" i="32"/>
  <c r="B105" i="32"/>
  <c r="F104" i="32"/>
  <c r="E104" i="32"/>
  <c r="D104" i="32"/>
  <c r="C104" i="32"/>
  <c r="H104" i="32" s="1"/>
  <c r="B104" i="32"/>
  <c r="F102" i="32"/>
  <c r="E102" i="32"/>
  <c r="D102" i="32"/>
  <c r="I102" i="32" s="1"/>
  <c r="C102" i="32"/>
  <c r="B102" i="32"/>
  <c r="J91" i="32"/>
  <c r="I91" i="32"/>
  <c r="H91" i="32"/>
  <c r="G91" i="32"/>
  <c r="J90" i="32"/>
  <c r="I90" i="32"/>
  <c r="H90" i="32"/>
  <c r="G90" i="32"/>
  <c r="J89" i="32"/>
  <c r="I89" i="32"/>
  <c r="H89" i="32"/>
  <c r="G89" i="32"/>
  <c r="J88" i="32"/>
  <c r="I88" i="32"/>
  <c r="H88" i="32"/>
  <c r="G88" i="32"/>
  <c r="F87" i="32"/>
  <c r="F82" i="32" s="1"/>
  <c r="E87" i="32"/>
  <c r="J87" i="32" s="1"/>
  <c r="D87" i="32"/>
  <c r="D82" i="32" s="1"/>
  <c r="C87" i="32"/>
  <c r="C82" i="32" s="1"/>
  <c r="B87" i="32"/>
  <c r="B82" i="32" s="1"/>
  <c r="J86" i="32"/>
  <c r="I86" i="32"/>
  <c r="H86" i="32"/>
  <c r="G86" i="32"/>
  <c r="J85" i="32"/>
  <c r="I85" i="32"/>
  <c r="H85" i="32"/>
  <c r="G85" i="32"/>
  <c r="F84" i="32"/>
  <c r="E84" i="32"/>
  <c r="D84" i="32"/>
  <c r="C84" i="32"/>
  <c r="B84" i="32"/>
  <c r="G84" i="32" s="1"/>
  <c r="J83" i="32"/>
  <c r="I83" i="32"/>
  <c r="H83" i="32"/>
  <c r="F134" i="32" s="1"/>
  <c r="G83" i="32"/>
  <c r="J81" i="32"/>
  <c r="I81" i="32"/>
  <c r="H81" i="32"/>
  <c r="G81" i="32"/>
  <c r="J80" i="32"/>
  <c r="I80" i="32"/>
  <c r="H80" i="32"/>
  <c r="G80" i="32"/>
  <c r="J79" i="32"/>
  <c r="I79" i="32"/>
  <c r="H79" i="32"/>
  <c r="G79" i="32"/>
  <c r="J78" i="32"/>
  <c r="I78" i="32"/>
  <c r="H78" i="32"/>
  <c r="G78" i="32"/>
  <c r="J77" i="32"/>
  <c r="I77" i="32"/>
  <c r="H77" i="32"/>
  <c r="G77" i="32"/>
  <c r="F76" i="32"/>
  <c r="E76" i="32"/>
  <c r="D76" i="32"/>
  <c r="C76" i="32"/>
  <c r="B76" i="32"/>
  <c r="J75" i="32"/>
  <c r="I75" i="32"/>
  <c r="H75" i="32"/>
  <c r="G75" i="32"/>
  <c r="J74" i="32"/>
  <c r="I74" i="32"/>
  <c r="H74" i="32"/>
  <c r="G74" i="32"/>
  <c r="J73" i="32"/>
  <c r="I73" i="32"/>
  <c r="H73" i="32"/>
  <c r="G73" i="32"/>
  <c r="F72" i="32"/>
  <c r="E72" i="32"/>
  <c r="D72" i="32"/>
  <c r="C72" i="32"/>
  <c r="B72" i="32"/>
  <c r="J71" i="32"/>
  <c r="I71" i="32"/>
  <c r="H71" i="32"/>
  <c r="G71" i="32"/>
  <c r="J70" i="32"/>
  <c r="I70" i="32"/>
  <c r="H70" i="32"/>
  <c r="G70" i="32"/>
  <c r="F65" i="32"/>
  <c r="E65" i="32"/>
  <c r="D65" i="32"/>
  <c r="C65" i="32"/>
  <c r="B65" i="32"/>
  <c r="J64" i="32"/>
  <c r="I64" i="32"/>
  <c r="H64" i="32"/>
  <c r="G64" i="32"/>
  <c r="J63" i="32"/>
  <c r="I63" i="32"/>
  <c r="H63" i="32"/>
  <c r="G63" i="32"/>
  <c r="J62" i="32"/>
  <c r="I62" i="32"/>
  <c r="H62" i="32"/>
  <c r="G62" i="32"/>
  <c r="J61" i="32"/>
  <c r="I61" i="32"/>
  <c r="H61" i="32"/>
  <c r="G61" i="32"/>
  <c r="J60" i="32"/>
  <c r="I60" i="32"/>
  <c r="H60" i="32"/>
  <c r="G60" i="32"/>
  <c r="J59" i="32"/>
  <c r="I59" i="32"/>
  <c r="H59" i="32"/>
  <c r="G59" i="32"/>
  <c r="J58" i="32"/>
  <c r="I58" i="32"/>
  <c r="H58" i="32"/>
  <c r="G58" i="32"/>
  <c r="J57" i="32"/>
  <c r="I57" i="32"/>
  <c r="H57" i="32"/>
  <c r="G57" i="32"/>
  <c r="J56" i="32"/>
  <c r="I56" i="32"/>
  <c r="H56" i="32"/>
  <c r="G56" i="32"/>
  <c r="F54" i="32"/>
  <c r="F66" i="32" s="1"/>
  <c r="E54" i="32"/>
  <c r="D54" i="32"/>
  <c r="C54" i="32"/>
  <c r="B54" i="32"/>
  <c r="J53" i="32"/>
  <c r="I53" i="32"/>
  <c r="H53" i="32"/>
  <c r="G53" i="32"/>
  <c r="J52" i="32"/>
  <c r="I52" i="32"/>
  <c r="H52" i="32"/>
  <c r="G52" i="32"/>
  <c r="J51" i="32"/>
  <c r="I51" i="32"/>
  <c r="H51" i="32"/>
  <c r="G51" i="32"/>
  <c r="J50" i="32"/>
  <c r="I50" i="32"/>
  <c r="H50" i="32"/>
  <c r="G50" i="32"/>
  <c r="J49" i="32"/>
  <c r="I49" i="32"/>
  <c r="H49" i="32"/>
  <c r="G49" i="32"/>
  <c r="J48" i="32"/>
  <c r="I48" i="32"/>
  <c r="H48" i="32"/>
  <c r="G48" i="32"/>
  <c r="J45" i="32"/>
  <c r="I45" i="32"/>
  <c r="H45" i="32"/>
  <c r="G45" i="32"/>
  <c r="J44" i="32"/>
  <c r="I44" i="32"/>
  <c r="H44" i="32"/>
  <c r="G44" i="32"/>
  <c r="J43" i="32"/>
  <c r="I43" i="32"/>
  <c r="H43" i="32"/>
  <c r="G43" i="32"/>
  <c r="F46" i="32"/>
  <c r="D46" i="32"/>
  <c r="C46" i="32"/>
  <c r="J41" i="32"/>
  <c r="I41" i="32"/>
  <c r="H41" i="32"/>
  <c r="G41" i="32"/>
  <c r="J40" i="32"/>
  <c r="I40" i="32"/>
  <c r="H40" i="32"/>
  <c r="G40" i="32"/>
  <c r="J34" i="32"/>
  <c r="I34" i="32"/>
  <c r="H34" i="32"/>
  <c r="G34" i="32"/>
  <c r="J33" i="32"/>
  <c r="I33" i="32"/>
  <c r="H33" i="32"/>
  <c r="G33" i="32"/>
  <c r="J32" i="32"/>
  <c r="I32" i="32"/>
  <c r="H32" i="32"/>
  <c r="G32" i="32"/>
  <c r="J31" i="32"/>
  <c r="I31" i="32"/>
  <c r="H31" i="32"/>
  <c r="G31" i="32"/>
  <c r="J28" i="32"/>
  <c r="I28" i="32"/>
  <c r="H28" i="32"/>
  <c r="G28" i="32"/>
  <c r="J26" i="32"/>
  <c r="I26" i="32"/>
  <c r="H26" i="32"/>
  <c r="G26" i="32"/>
  <c r="J25" i="32"/>
  <c r="I25" i="32"/>
  <c r="H25" i="32"/>
  <c r="G25" i="32"/>
  <c r="J23" i="32"/>
  <c r="I23" i="32"/>
  <c r="H23" i="32"/>
  <c r="G23" i="32"/>
  <c r="F20" i="32"/>
  <c r="E20" i="32"/>
  <c r="D20" i="32"/>
  <c r="C20" i="32"/>
  <c r="B20" i="32"/>
  <c r="J19" i="32"/>
  <c r="I19" i="32"/>
  <c r="H19" i="32"/>
  <c r="G19" i="32"/>
  <c r="J18" i="32"/>
  <c r="I18" i="32"/>
  <c r="H18" i="32"/>
  <c r="G18" i="32"/>
  <c r="F15" i="32"/>
  <c r="F106" i="32" s="1"/>
  <c r="E15" i="32"/>
  <c r="E106" i="32" s="1"/>
  <c r="D15" i="32"/>
  <c r="D106" i="32" s="1"/>
  <c r="C15" i="32"/>
  <c r="C106" i="32" s="1"/>
  <c r="B15" i="32"/>
  <c r="B106" i="32" s="1"/>
  <c r="J14" i="32"/>
  <c r="I14" i="32"/>
  <c r="H14" i="32"/>
  <c r="G14" i="32"/>
  <c r="J13" i="32"/>
  <c r="I13" i="32"/>
  <c r="H13" i="32"/>
  <c r="G13" i="32"/>
  <c r="J12" i="32"/>
  <c r="I12" i="32"/>
  <c r="H12" i="32"/>
  <c r="G12" i="32"/>
  <c r="J9" i="32"/>
  <c r="I9" i="32"/>
  <c r="H9" i="32"/>
  <c r="G9" i="32"/>
  <c r="F8" i="32"/>
  <c r="F10" i="32" s="1"/>
  <c r="E8" i="32"/>
  <c r="D8" i="32"/>
  <c r="D10" i="32" s="1"/>
  <c r="C8" i="32"/>
  <c r="C10" i="32" s="1"/>
  <c r="B8" i="32"/>
  <c r="J7" i="32"/>
  <c r="I7" i="32"/>
  <c r="H7" i="32"/>
  <c r="G7" i="32"/>
  <c r="J6" i="32"/>
  <c r="I6" i="32"/>
  <c r="H6" i="32"/>
  <c r="G6" i="32"/>
  <c r="C136" i="32" l="1"/>
  <c r="H82" i="32"/>
  <c r="H106" i="32"/>
  <c r="G135" i="32"/>
  <c r="G139" i="32"/>
  <c r="G105" i="32"/>
  <c r="J139" i="32"/>
  <c r="H72" i="32"/>
  <c r="J105" i="32"/>
  <c r="B116" i="32"/>
  <c r="J106" i="32"/>
  <c r="E136" i="32"/>
  <c r="E137" i="32" s="1"/>
  <c r="D103" i="32"/>
  <c r="I76" i="32"/>
  <c r="D101" i="32"/>
  <c r="J65" i="32"/>
  <c r="F135" i="32"/>
  <c r="J135" i="32" s="1"/>
  <c r="G102" i="32"/>
  <c r="I134" i="32"/>
  <c r="E116" i="32"/>
  <c r="E66" i="32"/>
  <c r="J66" i="32" s="1"/>
  <c r="J76" i="32"/>
  <c r="J102" i="32"/>
  <c r="G124" i="32"/>
  <c r="J125" i="32"/>
  <c r="I126" i="32"/>
  <c r="H127" i="32"/>
  <c r="G128" i="32"/>
  <c r="J129" i="32"/>
  <c r="H134" i="32"/>
  <c r="B92" i="32"/>
  <c r="C101" i="32"/>
  <c r="I104" i="32"/>
  <c r="H105" i="32"/>
  <c r="H124" i="32"/>
  <c r="G125" i="32"/>
  <c r="J131" i="32"/>
  <c r="I133" i="32"/>
  <c r="H135" i="32"/>
  <c r="H20" i="32"/>
  <c r="I129" i="32"/>
  <c r="I84" i="32"/>
  <c r="F133" i="32"/>
  <c r="J133" i="32" s="1"/>
  <c r="H87" i="32"/>
  <c r="I124" i="32"/>
  <c r="H125" i="32"/>
  <c r="H46" i="32"/>
  <c r="H129" i="32"/>
  <c r="I42" i="32"/>
  <c r="I20" i="32"/>
  <c r="J104" i="32"/>
  <c r="J124" i="32"/>
  <c r="G126" i="32"/>
  <c r="J127" i="32"/>
  <c r="I128" i="32"/>
  <c r="F92" i="32"/>
  <c r="E82" i="32"/>
  <c r="I82" i="32" s="1"/>
  <c r="J128" i="32"/>
  <c r="G131" i="32"/>
  <c r="J134" i="32"/>
  <c r="I106" i="32"/>
  <c r="G20" i="32"/>
  <c r="F109" i="32"/>
  <c r="D92" i="32"/>
  <c r="H76" i="32"/>
  <c r="J84" i="32"/>
  <c r="I105" i="32"/>
  <c r="I125" i="32"/>
  <c r="J126" i="32"/>
  <c r="I127" i="32"/>
  <c r="H128" i="32"/>
  <c r="G129" i="32"/>
  <c r="I131" i="32"/>
  <c r="H133" i="32"/>
  <c r="G134" i="32"/>
  <c r="I135" i="32"/>
  <c r="F21" i="32"/>
  <c r="F16" i="32"/>
  <c r="F113" i="32" s="1"/>
  <c r="F101" i="32"/>
  <c r="F97" i="32"/>
  <c r="C110" i="32"/>
  <c r="C109" i="32"/>
  <c r="G65" i="32"/>
  <c r="J72" i="32"/>
  <c r="I72" i="32"/>
  <c r="G104" i="32"/>
  <c r="J8" i="32"/>
  <c r="E10" i="32"/>
  <c r="I10" i="32" s="1"/>
  <c r="H15" i="32"/>
  <c r="C16" i="32"/>
  <c r="C16" i="17" s="1" a="1"/>
  <c r="C16" i="17" s="1"/>
  <c r="J20" i="32"/>
  <c r="J42" i="32"/>
  <c r="E46" i="32"/>
  <c r="E97" i="32" s="1"/>
  <c r="D109" i="32"/>
  <c r="D66" i="32"/>
  <c r="D67" i="32" s="1"/>
  <c r="H54" i="32"/>
  <c r="I65" i="32"/>
  <c r="D136" i="32"/>
  <c r="D137" i="32" s="1"/>
  <c r="H65" i="32"/>
  <c r="F136" i="32" s="1"/>
  <c r="F67" i="32"/>
  <c r="B107" i="32"/>
  <c r="B103" i="32"/>
  <c r="G82" i="32"/>
  <c r="H84" i="32"/>
  <c r="G87" i="32"/>
  <c r="C92" i="32"/>
  <c r="H102" i="32"/>
  <c r="C107" i="32"/>
  <c r="B108" i="32"/>
  <c r="H126" i="32"/>
  <c r="H131" i="32"/>
  <c r="H139" i="32"/>
  <c r="I8" i="32"/>
  <c r="H10" i="32"/>
  <c r="G15" i="32"/>
  <c r="G54" i="32"/>
  <c r="E67" i="32"/>
  <c r="C116" i="32"/>
  <c r="G8" i="32"/>
  <c r="B10" i="32"/>
  <c r="I15" i="32"/>
  <c r="D16" i="32"/>
  <c r="G42" i="32"/>
  <c r="B46" i="32"/>
  <c r="G46" i="32" s="1"/>
  <c r="J54" i="32"/>
  <c r="I54" i="32"/>
  <c r="G72" i="32"/>
  <c r="G76" i="32"/>
  <c r="D108" i="32"/>
  <c r="D107" i="32"/>
  <c r="C108" i="32"/>
  <c r="D21" i="32"/>
  <c r="C66" i="32"/>
  <c r="F107" i="32"/>
  <c r="F103" i="32"/>
  <c r="D116" i="32"/>
  <c r="I116" i="32" s="1"/>
  <c r="H8" i="32"/>
  <c r="F116" i="32" s="1"/>
  <c r="G106" i="32"/>
  <c r="J15" i="32"/>
  <c r="C21" i="32"/>
  <c r="H42" i="32"/>
  <c r="F110" i="32"/>
  <c r="B136" i="32"/>
  <c r="G136" i="32" s="1"/>
  <c r="B66" i="32"/>
  <c r="E103" i="32"/>
  <c r="I87" i="32"/>
  <c r="C103" i="32"/>
  <c r="F108" i="32"/>
  <c r="D110" i="32"/>
  <c r="G127" i="32"/>
  <c r="C137" i="32"/>
  <c r="F93" i="32" l="1"/>
  <c r="H101" i="32"/>
  <c r="H103" i="32"/>
  <c r="J136" i="32"/>
  <c r="I136" i="32"/>
  <c r="G92" i="32"/>
  <c r="J116" i="32"/>
  <c r="J67" i="32"/>
  <c r="J97" i="32"/>
  <c r="E109" i="32"/>
  <c r="J109" i="32" s="1"/>
  <c r="E107" i="32"/>
  <c r="J107" i="32" s="1"/>
  <c r="B110" i="32"/>
  <c r="G110" i="32" s="1"/>
  <c r="G107" i="32"/>
  <c r="I46" i="32"/>
  <c r="F137" i="32"/>
  <c r="J137" i="32" s="1"/>
  <c r="I137" i="32"/>
  <c r="H137" i="32"/>
  <c r="H136" i="32"/>
  <c r="B137" i="32"/>
  <c r="G137" i="32" s="1"/>
  <c r="E108" i="32"/>
  <c r="J108" i="32" s="1"/>
  <c r="E92" i="32"/>
  <c r="J92" i="32" s="1"/>
  <c r="J82" i="32"/>
  <c r="H108" i="32"/>
  <c r="I67" i="32"/>
  <c r="D93" i="32"/>
  <c r="G66" i="32"/>
  <c r="B97" i="32"/>
  <c r="G108" i="32"/>
  <c r="J103" i="32"/>
  <c r="B101" i="32"/>
  <c r="G101" i="32" s="1"/>
  <c r="G10" i="32"/>
  <c r="B16" i="32"/>
  <c r="E16" i="17" s="1" a="1"/>
  <c r="E16" i="17" s="1"/>
  <c r="B21" i="32"/>
  <c r="H107" i="32"/>
  <c r="J46" i="32"/>
  <c r="E110" i="32"/>
  <c r="J110" i="32" s="1"/>
  <c r="H109" i="32"/>
  <c r="C113" i="32"/>
  <c r="H16" i="32"/>
  <c r="C111" i="32"/>
  <c r="C100" i="32"/>
  <c r="C99" i="32"/>
  <c r="C22" i="32"/>
  <c r="H21" i="32"/>
  <c r="C112" i="32"/>
  <c r="C97" i="32"/>
  <c r="H66" i="32"/>
  <c r="C67" i="32"/>
  <c r="H67" i="32" s="1"/>
  <c r="D97" i="32"/>
  <c r="I97" i="32" s="1"/>
  <c r="I66" i="32"/>
  <c r="H110" i="32"/>
  <c r="B109" i="32"/>
  <c r="G109" i="32" s="1"/>
  <c r="B67" i="32"/>
  <c r="D112" i="32"/>
  <c r="D100" i="32"/>
  <c r="D99" i="32"/>
  <c r="D111" i="32"/>
  <c r="D22" i="32"/>
  <c r="D113" i="32"/>
  <c r="H116" i="32"/>
  <c r="H92" i="32"/>
  <c r="G103" i="32"/>
  <c r="E16" i="32"/>
  <c r="J10" i="32"/>
  <c r="E21" i="32"/>
  <c r="I21" i="32" s="1"/>
  <c r="E101" i="32"/>
  <c r="I103" i="32"/>
  <c r="F111" i="32"/>
  <c r="F99" i="32"/>
  <c r="F22" i="32"/>
  <c r="F24" i="32" s="1"/>
  <c r="F27" i="32" s="1"/>
  <c r="F112" i="32"/>
  <c r="F100" i="32"/>
  <c r="G116" i="32"/>
  <c r="I107" i="32" l="1"/>
  <c r="I109" i="32"/>
  <c r="I108" i="32"/>
  <c r="E93" i="32"/>
  <c r="C93" i="32"/>
  <c r="I92" i="32"/>
  <c r="G97" i="32"/>
  <c r="I110" i="32"/>
  <c r="J16" i="32"/>
  <c r="E113" i="32"/>
  <c r="J113" i="32" s="1"/>
  <c r="H112" i="32"/>
  <c r="H100" i="32"/>
  <c r="B111" i="32"/>
  <c r="G111" i="32" s="1"/>
  <c r="B99" i="32"/>
  <c r="G99" i="32" s="1"/>
  <c r="B112" i="32"/>
  <c r="G112" i="32" s="1"/>
  <c r="B22" i="32"/>
  <c r="G21" i="32"/>
  <c r="B100" i="32"/>
  <c r="G100" i="32" s="1"/>
  <c r="G67" i="32"/>
  <c r="B93" i="32"/>
  <c r="H97" i="32"/>
  <c r="H113" i="32"/>
  <c r="J101" i="32"/>
  <c r="I101" i="32"/>
  <c r="D24" i="32"/>
  <c r="H111" i="32"/>
  <c r="B113" i="32"/>
  <c r="G113" i="32" s="1"/>
  <c r="G16" i="32"/>
  <c r="H99" i="32"/>
  <c r="F98" i="32"/>
  <c r="F29" i="32"/>
  <c r="E112" i="32"/>
  <c r="J112" i="32" s="1"/>
  <c r="E100" i="32"/>
  <c r="J100" i="32" s="1"/>
  <c r="E111" i="32"/>
  <c r="J111" i="32" s="1"/>
  <c r="E99" i="32"/>
  <c r="J99" i="32" s="1"/>
  <c r="E22" i="32"/>
  <c r="J21" i="32"/>
  <c r="I16" i="32"/>
  <c r="C24" i="32"/>
  <c r="H22" i="32"/>
  <c r="I113" i="32" l="1"/>
  <c r="I112" i="32"/>
  <c r="I100" i="32"/>
  <c r="I111" i="32"/>
  <c r="F122" i="32"/>
  <c r="F132" i="32" s="1"/>
  <c r="F138" i="32" s="1"/>
  <c r="F140" i="32" s="1"/>
  <c r="F118" i="32"/>
  <c r="F114" i="32"/>
  <c r="F30" i="32"/>
  <c r="D27" i="32"/>
  <c r="C27" i="32"/>
  <c r="C17" i="17" s="1" a="1"/>
  <c r="C17" i="17" s="1"/>
  <c r="H24" i="32"/>
  <c r="E24" i="32"/>
  <c r="I24" i="32" s="1"/>
  <c r="J22" i="32"/>
  <c r="I22" i="32"/>
  <c r="I99" i="32"/>
  <c r="B24" i="32"/>
  <c r="G22" i="32"/>
  <c r="C98" i="32" l="1"/>
  <c r="C29" i="32"/>
  <c r="C18" i="17" s="1" a="1"/>
  <c r="C18" i="17" s="1"/>
  <c r="D15" i="8" s="1"/>
  <c r="H27" i="32"/>
  <c r="B27" i="32"/>
  <c r="E17" i="17" s="1" a="1"/>
  <c r="E17" i="17" s="1"/>
  <c r="G24" i="32"/>
  <c r="E27" i="32"/>
  <c r="I27" i="32" s="1"/>
  <c r="J24" i="32"/>
  <c r="D29" i="32"/>
  <c r="D98" i="32"/>
  <c r="F115" i="32"/>
  <c r="F35" i="32"/>
  <c r="D122" i="32" l="1"/>
  <c r="D114" i="32"/>
  <c r="D118" i="32"/>
  <c r="D30" i="32"/>
  <c r="B98" i="32"/>
  <c r="G98" i="32" s="1"/>
  <c r="B29" i="32"/>
  <c r="E18" i="17" s="1" a="1"/>
  <c r="E18" i="17" s="1"/>
  <c r="E15" i="8" s="1"/>
  <c r="G27" i="32"/>
  <c r="E98" i="32"/>
  <c r="J98" i="32" s="1"/>
  <c r="E29" i="32"/>
  <c r="J27" i="32"/>
  <c r="C118" i="32"/>
  <c r="C114" i="32"/>
  <c r="C117" i="32"/>
  <c r="C122" i="32"/>
  <c r="C30" i="32"/>
  <c r="C19" i="17" s="1" a="1"/>
  <c r="C19" i="17" s="1"/>
  <c r="H29" i="32"/>
  <c r="F117" i="32" s="1"/>
  <c r="H98" i="32"/>
  <c r="I98" i="32" l="1"/>
  <c r="H122" i="32"/>
  <c r="C132" i="32"/>
  <c r="B122" i="32"/>
  <c r="B118" i="32"/>
  <c r="G118" i="32" s="1"/>
  <c r="B114" i="32"/>
  <c r="G114" i="32" s="1"/>
  <c r="B117" i="32"/>
  <c r="G117" i="32" s="1"/>
  <c r="B30" i="32"/>
  <c r="E19" i="17" s="1" a="1"/>
  <c r="E19" i="17" s="1"/>
  <c r="G29" i="32"/>
  <c r="E122" i="32"/>
  <c r="E118" i="32"/>
  <c r="J118" i="32" s="1"/>
  <c r="E114" i="32"/>
  <c r="J114" i="32" s="1"/>
  <c r="E117" i="32"/>
  <c r="J117" i="32" s="1"/>
  <c r="E30" i="32"/>
  <c r="I30" i="32" s="1"/>
  <c r="J29" i="32"/>
  <c r="H114" i="32"/>
  <c r="I29" i="32"/>
  <c r="I122" i="32"/>
  <c r="D132" i="32"/>
  <c r="C115" i="32"/>
  <c r="C35" i="32"/>
  <c r="H30" i="32"/>
  <c r="H118" i="32"/>
  <c r="D115" i="32"/>
  <c r="D35" i="32"/>
  <c r="D117" i="32"/>
  <c r="H117" i="32" s="1"/>
  <c r="I114" i="32" l="1"/>
  <c r="H35" i="32"/>
  <c r="E115" i="32"/>
  <c r="J115" i="32" s="1"/>
  <c r="E35" i="32"/>
  <c r="J35" i="32" s="1"/>
  <c r="J30" i="32"/>
  <c r="J122" i="32"/>
  <c r="E132" i="32"/>
  <c r="I132" i="32" s="1"/>
  <c r="B115" i="32"/>
  <c r="G115" i="32" s="1"/>
  <c r="G30" i="32"/>
  <c r="B35" i="32"/>
  <c r="G35" i="32" s="1"/>
  <c r="B132" i="32"/>
  <c r="G122" i="32"/>
  <c r="H115" i="32"/>
  <c r="C138" i="32"/>
  <c r="H132" i="32"/>
  <c r="I117" i="32"/>
  <c r="D138" i="32"/>
  <c r="I118" i="32"/>
  <c r="H138" i="32" l="1"/>
  <c r="C140" i="32"/>
  <c r="B138" i="32"/>
  <c r="G132" i="32"/>
  <c r="J132" i="32"/>
  <c r="E138" i="32"/>
  <c r="I138" i="32" s="1"/>
  <c r="D140" i="32"/>
  <c r="I115" i="32"/>
  <c r="I35" i="32"/>
  <c r="B140" i="32" l="1"/>
  <c r="G140" i="32" s="1"/>
  <c r="G138" i="32"/>
  <c r="E140" i="32"/>
  <c r="J140" i="32" s="1"/>
  <c r="J138" i="32"/>
  <c r="H140" i="32"/>
  <c r="I140" i="32" l="1"/>
  <c r="B2" i="8" l="1"/>
  <c r="B6" i="8"/>
  <c r="B4" i="8"/>
  <c r="B3" i="8"/>
  <c r="B5" i="8" l="1"/>
  <c r="E17" i="8"/>
  <c r="D17" i="8"/>
  <c r="E18" i="8"/>
  <c r="D18" i="8"/>
  <c r="E16" i="8"/>
  <c r="D16" i="8"/>
  <c r="E12" i="8"/>
  <c r="D12" i="8"/>
  <c r="F12" i="8" l="1"/>
  <c r="C22" i="31"/>
  <c r="D22" i="31" s="1"/>
  <c r="E22" i="31" s="1"/>
  <c r="F22" i="31" s="1"/>
  <c r="G22" i="31" s="1"/>
  <c r="C21" i="31"/>
  <c r="D21" i="31" s="1"/>
  <c r="E21" i="31" s="1"/>
  <c r="F21" i="31" s="1"/>
  <c r="G21" i="31" s="1"/>
  <c r="C2" i="31"/>
  <c r="D2" i="31" s="1"/>
  <c r="E2" i="31" s="1"/>
  <c r="F2" i="31" s="1"/>
  <c r="G2" i="31" s="1"/>
  <c r="J19" i="19" l="1"/>
  <c r="R8" i="27"/>
  <c r="R7" i="27"/>
  <c r="R6" i="27"/>
  <c r="R5" i="27"/>
  <c r="R4" i="27"/>
  <c r="Q8" i="27"/>
  <c r="Q7" i="27"/>
  <c r="Q6" i="27"/>
  <c r="Q5" i="27"/>
  <c r="Q4" i="27"/>
  <c r="P8" i="27"/>
  <c r="P7" i="27"/>
  <c r="P6" i="27"/>
  <c r="P5" i="27"/>
  <c r="P4" i="27"/>
  <c r="O8" i="27"/>
  <c r="O7" i="27"/>
  <c r="O6" i="27"/>
  <c r="O5" i="27"/>
  <c r="O4" i="27"/>
  <c r="N8" i="27"/>
  <c r="N7" i="27"/>
  <c r="N6" i="27"/>
  <c r="N5" i="27"/>
  <c r="N4" i="27"/>
  <c r="M8" i="27"/>
  <c r="M7" i="27"/>
  <c r="M6" i="27"/>
  <c r="M5" i="27"/>
  <c r="M4" i="27"/>
  <c r="L8" i="27"/>
  <c r="L7" i="27"/>
  <c r="L6" i="27"/>
  <c r="L5" i="27"/>
  <c r="L4" i="27"/>
  <c r="K8" i="27"/>
  <c r="K7" i="27"/>
  <c r="K6" i="27"/>
  <c r="K5" i="27"/>
  <c r="K4" i="27"/>
  <c r="J8" i="27"/>
  <c r="J7" i="27"/>
  <c r="J6" i="27"/>
  <c r="J5" i="27"/>
  <c r="J4" i="27"/>
  <c r="I8" i="27"/>
  <c r="I7" i="27"/>
  <c r="I6" i="27"/>
  <c r="I5" i="27"/>
  <c r="I4" i="27"/>
  <c r="H8" i="27"/>
  <c r="H7" i="27"/>
  <c r="H6" i="27"/>
  <c r="H5" i="27"/>
  <c r="H4" i="27"/>
  <c r="G8" i="27"/>
  <c r="G7" i="27"/>
  <c r="G6" i="27"/>
  <c r="G5" i="27"/>
  <c r="G4" i="27"/>
  <c r="F8" i="27"/>
  <c r="F7" i="27"/>
  <c r="F6" i="27"/>
  <c r="F5" i="27"/>
  <c r="F4" i="27"/>
  <c r="E8" i="27"/>
  <c r="E7" i="27"/>
  <c r="E6" i="27"/>
  <c r="E5" i="27"/>
  <c r="E4" i="27"/>
  <c r="D8" i="27"/>
  <c r="D7" i="27"/>
  <c r="D6" i="27"/>
  <c r="D5" i="27"/>
  <c r="D4" i="27"/>
  <c r="C8" i="27"/>
  <c r="C7" i="27"/>
  <c r="C6" i="27"/>
  <c r="C5" i="27"/>
  <c r="C4" i="27"/>
  <c r="B8" i="27"/>
  <c r="B7" i="27"/>
  <c r="B6" i="27"/>
  <c r="B5" i="27"/>
  <c r="B4" i="27"/>
  <c r="B3" i="27"/>
  <c r="A8" i="27"/>
  <c r="S8" i="27" l="1"/>
  <c r="S7" i="27"/>
  <c r="G7" i="30" l="1"/>
  <c r="L226" i="19" l="1"/>
  <c r="H226" i="19"/>
  <c r="L225" i="19"/>
  <c r="H225" i="19"/>
  <c r="L224" i="19"/>
  <c r="H224" i="19"/>
  <c r="L213" i="19"/>
  <c r="H213" i="19"/>
  <c r="L212" i="19"/>
  <c r="H212" i="19"/>
  <c r="L211" i="19"/>
  <c r="H211" i="19"/>
  <c r="L200" i="19"/>
  <c r="H200" i="19"/>
  <c r="L199" i="19"/>
  <c r="H199" i="19"/>
  <c r="L198" i="19"/>
  <c r="H198" i="19"/>
  <c r="L187" i="19"/>
  <c r="H187" i="19"/>
  <c r="L186" i="19"/>
  <c r="H186" i="19"/>
  <c r="L185" i="19"/>
  <c r="H185" i="19"/>
  <c r="L174" i="19"/>
  <c r="H174" i="19"/>
  <c r="L173" i="19"/>
  <c r="H173" i="19"/>
  <c r="L172" i="19"/>
  <c r="H172" i="19"/>
  <c r="L161" i="19"/>
  <c r="H161" i="19"/>
  <c r="L160" i="19"/>
  <c r="H160" i="19"/>
  <c r="L159" i="19"/>
  <c r="H159" i="19"/>
  <c r="L148" i="19"/>
  <c r="H148" i="19"/>
  <c r="L147" i="19"/>
  <c r="H147" i="19"/>
  <c r="L146" i="19"/>
  <c r="H146" i="19"/>
  <c r="L135" i="19"/>
  <c r="H135" i="19"/>
  <c r="L134" i="19"/>
  <c r="H134" i="19"/>
  <c r="L133" i="19"/>
  <c r="H133" i="19"/>
  <c r="L122" i="19"/>
  <c r="H122" i="19"/>
  <c r="L121" i="19"/>
  <c r="H121" i="19"/>
  <c r="L120" i="19"/>
  <c r="H120" i="19"/>
  <c r="L107" i="19"/>
  <c r="H107" i="19"/>
  <c r="L106" i="19"/>
  <c r="H106" i="19"/>
  <c r="L105" i="19"/>
  <c r="H105" i="19"/>
  <c r="L94" i="19"/>
  <c r="H94" i="19"/>
  <c r="L93" i="19"/>
  <c r="H93" i="19"/>
  <c r="L92" i="19"/>
  <c r="H92" i="19"/>
  <c r="L81" i="19"/>
  <c r="H81" i="19"/>
  <c r="L80" i="19"/>
  <c r="H80" i="19"/>
  <c r="L79" i="19"/>
  <c r="H79" i="19"/>
  <c r="L68" i="19"/>
  <c r="H68" i="19"/>
  <c r="L67" i="19"/>
  <c r="H67" i="19"/>
  <c r="L66" i="19"/>
  <c r="H66" i="19"/>
  <c r="L55" i="19"/>
  <c r="H55" i="19"/>
  <c r="L54" i="19"/>
  <c r="H54" i="19"/>
  <c r="L53" i="19"/>
  <c r="H53" i="19"/>
  <c r="L43" i="19"/>
  <c r="H43" i="19"/>
  <c r="L42" i="19"/>
  <c r="H42" i="19"/>
  <c r="L41" i="19"/>
  <c r="H41" i="19"/>
  <c r="L53" i="16"/>
  <c r="H22" i="8" l="1"/>
  <c r="K22" i="8"/>
  <c r="L31" i="19"/>
  <c r="H31" i="19"/>
  <c r="L30" i="19"/>
  <c r="H30" i="19"/>
  <c r="L29" i="19"/>
  <c r="H29" i="19"/>
  <c r="B19" i="19"/>
  <c r="D19" i="19"/>
  <c r="F19" i="19"/>
  <c r="L18" i="19"/>
  <c r="H18" i="19"/>
  <c r="L17" i="19"/>
  <c r="H17" i="19"/>
  <c r="B10" i="6" l="1"/>
  <c r="B11" i="6" s="1"/>
  <c r="D22" i="17" l="1"/>
  <c r="D21" i="17"/>
  <c r="D20" i="17"/>
  <c r="D19" i="17"/>
  <c r="D18" i="17"/>
  <c r="D17" i="17"/>
  <c r="D16" i="17"/>
  <c r="D15" i="17"/>
  <c r="B6" i="17"/>
  <c r="D5" i="3" l="1"/>
  <c r="D6" i="3"/>
  <c r="D4" i="3"/>
  <c r="B10" i="3" l="1"/>
  <c r="B11" i="3" s="1"/>
  <c r="A19" i="16"/>
  <c r="E68" i="24"/>
  <c r="F4" i="24" s="1"/>
  <c r="F62" i="24" l="1"/>
  <c r="F66" i="24"/>
  <c r="F58" i="24"/>
  <c r="F50" i="24"/>
  <c r="F42" i="24"/>
  <c r="F34" i="24"/>
  <c r="F26" i="24"/>
  <c r="F18" i="24"/>
  <c r="F10" i="24"/>
  <c r="F67" i="24"/>
  <c r="F63" i="24"/>
  <c r="F59" i="24"/>
  <c r="F55" i="24"/>
  <c r="F51" i="24"/>
  <c r="F47" i="24"/>
  <c r="F43" i="24"/>
  <c r="F39" i="24"/>
  <c r="F35" i="24"/>
  <c r="F31" i="24"/>
  <c r="F27" i="24"/>
  <c r="F23" i="24"/>
  <c r="F19" i="24"/>
  <c r="F15" i="24"/>
  <c r="F11" i="24"/>
  <c r="F7" i="24"/>
  <c r="F65" i="24"/>
  <c r="F61" i="24"/>
  <c r="F57" i="24"/>
  <c r="F53" i="24"/>
  <c r="F49" i="24"/>
  <c r="F45" i="24"/>
  <c r="F41" i="24"/>
  <c r="F37" i="24"/>
  <c r="F33" i="24"/>
  <c r="F29" i="24"/>
  <c r="F25" i="24"/>
  <c r="F21" i="24"/>
  <c r="F17" i="24"/>
  <c r="F13" i="24"/>
  <c r="F9" i="24"/>
  <c r="F5" i="24"/>
  <c r="F54" i="24"/>
  <c r="F46" i="24"/>
  <c r="F38" i="24"/>
  <c r="F30" i="24"/>
  <c r="F22" i="24"/>
  <c r="F14" i="24"/>
  <c r="F6" i="24"/>
  <c r="F3" i="24"/>
  <c r="F64" i="24"/>
  <c r="F60" i="24"/>
  <c r="F56" i="24"/>
  <c r="F52" i="24"/>
  <c r="F48" i="24"/>
  <c r="F44" i="24"/>
  <c r="F40" i="24"/>
  <c r="F36" i="24"/>
  <c r="F32" i="24"/>
  <c r="F28" i="24"/>
  <c r="F24" i="24"/>
  <c r="F20" i="24"/>
  <c r="F16" i="24"/>
  <c r="F12" i="24"/>
  <c r="F8" i="24"/>
  <c r="B6" i="2" l="1"/>
  <c r="G20" i="25" l="1"/>
  <c r="G19" i="25"/>
  <c r="B31" i="25"/>
  <c r="E26" i="25" l="1"/>
  <c r="I52" i="21" l="1"/>
  <c r="C12" i="17" s="1"/>
  <c r="B13" i="5" l="1"/>
  <c r="AE22" i="21" l="1"/>
  <c r="AE21" i="21"/>
  <c r="AE20" i="21"/>
  <c r="AE19" i="21"/>
  <c r="AE18" i="21"/>
  <c r="AE17" i="21"/>
  <c r="AE16" i="21"/>
  <c r="AE15" i="21"/>
  <c r="AE14" i="21"/>
  <c r="AE13" i="21"/>
  <c r="AE12" i="21"/>
  <c r="AE11" i="21"/>
  <c r="AE10" i="21"/>
  <c r="AE9" i="21"/>
  <c r="AE8" i="21"/>
  <c r="AE7" i="21"/>
  <c r="AE6" i="21"/>
  <c r="AE5" i="21"/>
  <c r="AD22" i="21"/>
  <c r="AD21" i="21"/>
  <c r="AD20" i="21"/>
  <c r="AD19" i="21"/>
  <c r="AD18" i="21"/>
  <c r="AD17" i="21"/>
  <c r="AD16" i="21"/>
  <c r="AD15" i="21"/>
  <c r="AD14" i="21"/>
  <c r="AD13" i="21"/>
  <c r="AD12" i="21"/>
  <c r="AD11" i="21"/>
  <c r="AD10" i="21"/>
  <c r="AD9" i="21"/>
  <c r="AD8" i="21"/>
  <c r="AD7" i="21"/>
  <c r="AD6" i="21"/>
  <c r="AD5" i="21"/>
  <c r="AE4" i="21"/>
  <c r="AD4" i="21"/>
  <c r="AE3" i="21"/>
  <c r="AD3" i="21"/>
  <c r="A4" i="27"/>
  <c r="A5" i="27"/>
  <c r="A6" i="27"/>
  <c r="A3" i="27"/>
  <c r="G3" i="27"/>
  <c r="H3" i="27"/>
  <c r="B2" i="28"/>
  <c r="AF7" i="21" l="1"/>
  <c r="AF19" i="21"/>
  <c r="AF21" i="21"/>
  <c r="AF20" i="21"/>
  <c r="AF14" i="21"/>
  <c r="AF3" i="21"/>
  <c r="AF4" i="21"/>
  <c r="AF22" i="21"/>
  <c r="AF18" i="21"/>
  <c r="AF17" i="21"/>
  <c r="AF16" i="21"/>
  <c r="AF15" i="21"/>
  <c r="AF13" i="21"/>
  <c r="AF12" i="21"/>
  <c r="AF11" i="21"/>
  <c r="AF10" i="21"/>
  <c r="AF9" i="21"/>
  <c r="AF8" i="21"/>
  <c r="AF6" i="21"/>
  <c r="AF5" i="21"/>
  <c r="B10" i="28"/>
  <c r="B12" i="28" s="1"/>
  <c r="B4" i="28"/>
  <c r="B4" i="15"/>
  <c r="B3" i="28"/>
  <c r="C5" i="13"/>
  <c r="C6" i="13"/>
  <c r="B13" i="28" l="1"/>
  <c r="B14" i="28" s="1"/>
  <c r="B9" i="28"/>
  <c r="B15" i="28" l="1"/>
  <c r="C53" i="17" s="1"/>
  <c r="C52" i="17"/>
  <c r="I2" i="16" l="1"/>
  <c r="N9" i="16"/>
  <c r="K10" i="16"/>
  <c r="N10" i="16" s="1"/>
  <c r="R3" i="27" l="1"/>
  <c r="Q3" i="27"/>
  <c r="P3" i="27"/>
  <c r="O3" i="27"/>
  <c r="N3" i="27"/>
  <c r="M3" i="27"/>
  <c r="L3" i="27"/>
  <c r="K3" i="27"/>
  <c r="J3" i="27"/>
  <c r="I3" i="27"/>
  <c r="G9" i="27"/>
  <c r="G10" i="27" s="1"/>
  <c r="F3" i="27"/>
  <c r="E3" i="27"/>
  <c r="D3" i="27"/>
  <c r="C3" i="27"/>
  <c r="C15" i="13"/>
  <c r="B13" i="13"/>
  <c r="C9" i="27" l="1"/>
  <c r="C10" i="27" s="1"/>
  <c r="S6" i="27"/>
  <c r="I9" i="27"/>
  <c r="I10" i="27" s="1"/>
  <c r="E9" i="27"/>
  <c r="E10" i="27" s="1"/>
  <c r="J9" i="27"/>
  <c r="J10" i="27" s="1"/>
  <c r="N9" i="27"/>
  <c r="N10" i="27" s="1"/>
  <c r="R9" i="27"/>
  <c r="R10" i="27" s="1"/>
  <c r="M9" i="27"/>
  <c r="M10" i="27" s="1"/>
  <c r="Q9" i="27"/>
  <c r="Q10" i="27" s="1"/>
  <c r="S3" i="27"/>
  <c r="F9" i="27"/>
  <c r="F10" i="27" s="1"/>
  <c r="K9" i="27"/>
  <c r="K10" i="27" s="1"/>
  <c r="O9" i="27"/>
  <c r="O10" i="27" s="1"/>
  <c r="S4" i="27"/>
  <c r="S5" i="27"/>
  <c r="P9" i="27"/>
  <c r="P10" i="27" s="1"/>
  <c r="L9" i="27"/>
  <c r="L10" i="27" s="1"/>
  <c r="H9" i="27"/>
  <c r="H10" i="27" s="1"/>
  <c r="D9" i="27"/>
  <c r="D10" i="27" s="1"/>
  <c r="B9" i="27"/>
  <c r="B10" i="27" s="1"/>
  <c r="S9" i="27" l="1"/>
  <c r="S10" i="27" s="1"/>
  <c r="B3" i="15"/>
  <c r="D3" i="14"/>
  <c r="B2" i="15"/>
  <c r="K86" i="16"/>
  <c r="N86" i="16" s="1"/>
  <c r="K85" i="16"/>
  <c r="N85" i="16" s="1"/>
  <c r="K77" i="16"/>
  <c r="N77" i="16" s="1"/>
  <c r="K76" i="16"/>
  <c r="N76" i="16" s="1"/>
  <c r="K68" i="16"/>
  <c r="N68" i="16" s="1"/>
  <c r="K67" i="16"/>
  <c r="N67" i="16" s="1"/>
  <c r="K59" i="16"/>
  <c r="N59" i="16" s="1"/>
  <c r="K58" i="16"/>
  <c r="N58" i="16" s="1"/>
  <c r="K50" i="16"/>
  <c r="N50" i="16" s="1"/>
  <c r="K49" i="16"/>
  <c r="N49" i="16" s="1"/>
  <c r="A28" i="16" l="1"/>
  <c r="E9" i="9"/>
  <c r="D9" i="9"/>
  <c r="B6" i="11"/>
  <c r="B5" i="11"/>
  <c r="A37" i="16" l="1"/>
  <c r="E3" i="26"/>
  <c r="H6" i="26"/>
  <c r="M25" i="26"/>
  <c r="L25" i="26"/>
  <c r="H7" i="26" s="1"/>
  <c r="K26" i="26"/>
  <c r="J26" i="26"/>
  <c r="K25" i="26"/>
  <c r="E7" i="26" s="1"/>
  <c r="J25" i="26"/>
  <c r="E6" i="26" s="1"/>
  <c r="I24" i="26"/>
  <c r="I23" i="26"/>
  <c r="I22" i="26"/>
  <c r="I21" i="26"/>
  <c r="I20" i="26"/>
  <c r="I19" i="26"/>
  <c r="I18" i="26"/>
  <c r="I17" i="26"/>
  <c r="I16" i="26"/>
  <c r="I15" i="26"/>
  <c r="I14" i="26"/>
  <c r="I13" i="26"/>
  <c r="H26" i="26"/>
  <c r="H25" i="26"/>
  <c r="G26" i="26"/>
  <c r="G25" i="26"/>
  <c r="E2" i="26" s="1"/>
  <c r="F26" i="26"/>
  <c r="F25" i="26"/>
  <c r="D26" i="26"/>
  <c r="C26" i="26"/>
  <c r="B26" i="26"/>
  <c r="C25" i="26"/>
  <c r="D25" i="26"/>
  <c r="B25" i="26"/>
  <c r="E14" i="26"/>
  <c r="E15" i="26"/>
  <c r="E16" i="26"/>
  <c r="E17" i="26"/>
  <c r="E18" i="26"/>
  <c r="E19" i="26"/>
  <c r="E20" i="26"/>
  <c r="E21" i="26"/>
  <c r="E22" i="26"/>
  <c r="E23" i="26"/>
  <c r="E24" i="26"/>
  <c r="E13" i="26"/>
  <c r="B27" i="26" l="1"/>
  <c r="D27" i="26"/>
  <c r="M26" i="26"/>
  <c r="E25" i="26"/>
  <c r="L26" i="26"/>
  <c r="E26" i="26"/>
  <c r="E27" i="26" s="1"/>
  <c r="C27" i="26"/>
  <c r="I25" i="26"/>
  <c r="A46" i="16"/>
  <c r="K6" i="26"/>
  <c r="E8" i="26"/>
  <c r="H8" i="26"/>
  <c r="K7" i="26"/>
  <c r="I26" i="26"/>
  <c r="E4" i="26"/>
  <c r="N267" i="19"/>
  <c r="M267" i="19"/>
  <c r="K267" i="19"/>
  <c r="J267" i="19"/>
  <c r="I267" i="19"/>
  <c r="F267" i="19"/>
  <c r="F268" i="19" s="1"/>
  <c r="D267" i="19"/>
  <c r="B267" i="19"/>
  <c r="P266" i="19"/>
  <c r="O266" i="19"/>
  <c r="N266" i="19"/>
  <c r="M266" i="19"/>
  <c r="K266" i="19"/>
  <c r="J266" i="19"/>
  <c r="I266" i="19"/>
  <c r="F266" i="19"/>
  <c r="D266" i="19"/>
  <c r="B266" i="19"/>
  <c r="L265" i="19"/>
  <c r="H265" i="19"/>
  <c r="L264" i="19"/>
  <c r="H264" i="19"/>
  <c r="L263" i="19"/>
  <c r="H263" i="19"/>
  <c r="L262" i="19"/>
  <c r="H262" i="19"/>
  <c r="L261" i="19"/>
  <c r="H261" i="19"/>
  <c r="L260" i="19"/>
  <c r="H260" i="19"/>
  <c r="N254" i="19"/>
  <c r="M254" i="19"/>
  <c r="K254" i="19"/>
  <c r="J254" i="19"/>
  <c r="I254" i="19"/>
  <c r="F254" i="19"/>
  <c r="D254" i="19"/>
  <c r="B254" i="19"/>
  <c r="P253" i="19"/>
  <c r="O253" i="19"/>
  <c r="N253" i="19"/>
  <c r="M253" i="19"/>
  <c r="K253" i="19"/>
  <c r="J253" i="19"/>
  <c r="I253" i="19"/>
  <c r="F253" i="19"/>
  <c r="D253" i="19"/>
  <c r="B253" i="19"/>
  <c r="L252" i="19"/>
  <c r="H252" i="19"/>
  <c r="L251" i="19"/>
  <c r="H251" i="19"/>
  <c r="L250" i="19"/>
  <c r="H250" i="19"/>
  <c r="L249" i="19"/>
  <c r="H249" i="19"/>
  <c r="L248" i="19"/>
  <c r="H248" i="19"/>
  <c r="L247" i="19"/>
  <c r="H247" i="19"/>
  <c r="N241" i="19"/>
  <c r="M241" i="19"/>
  <c r="K241" i="19"/>
  <c r="J241" i="19"/>
  <c r="I241" i="19"/>
  <c r="F241" i="19"/>
  <c r="D241" i="19"/>
  <c r="B241" i="19"/>
  <c r="P240" i="19"/>
  <c r="O240" i="19"/>
  <c r="N240" i="19"/>
  <c r="M240" i="19"/>
  <c r="K240" i="19"/>
  <c r="J240" i="19"/>
  <c r="I240" i="19"/>
  <c r="F240" i="19"/>
  <c r="D240" i="19"/>
  <c r="B240" i="19"/>
  <c r="L239" i="19"/>
  <c r="H239" i="19"/>
  <c r="L238" i="19"/>
  <c r="H238" i="19"/>
  <c r="L237" i="19"/>
  <c r="H237" i="19"/>
  <c r="L236" i="19"/>
  <c r="H236" i="19"/>
  <c r="L235" i="19"/>
  <c r="H235" i="19"/>
  <c r="L234" i="19"/>
  <c r="H234" i="19"/>
  <c r="N228" i="19"/>
  <c r="M228" i="19"/>
  <c r="K228" i="19"/>
  <c r="J228" i="19"/>
  <c r="I228" i="19"/>
  <c r="F228" i="19"/>
  <c r="D228" i="19"/>
  <c r="B228" i="19"/>
  <c r="P227" i="19"/>
  <c r="O227" i="19"/>
  <c r="N227" i="19"/>
  <c r="M227" i="19"/>
  <c r="K227" i="19"/>
  <c r="J227" i="19"/>
  <c r="I227" i="19"/>
  <c r="F227" i="19"/>
  <c r="D227" i="19"/>
  <c r="B227" i="19"/>
  <c r="L223" i="19"/>
  <c r="H223" i="19"/>
  <c r="L222" i="19"/>
  <c r="H222" i="19"/>
  <c r="L221" i="19"/>
  <c r="H221" i="19"/>
  <c r="N215" i="19"/>
  <c r="M215" i="19"/>
  <c r="K215" i="19"/>
  <c r="J215" i="19"/>
  <c r="I215" i="19"/>
  <c r="F215" i="19"/>
  <c r="D215" i="19"/>
  <c r="B215" i="19"/>
  <c r="P214" i="19"/>
  <c r="O214" i="19"/>
  <c r="N214" i="19"/>
  <c r="M214" i="19"/>
  <c r="K214" i="19"/>
  <c r="J214" i="19"/>
  <c r="I214" i="19"/>
  <c r="F214" i="19"/>
  <c r="D214" i="19"/>
  <c r="B214" i="19"/>
  <c r="L210" i="19"/>
  <c r="H210" i="19"/>
  <c r="L209" i="19"/>
  <c r="H209" i="19"/>
  <c r="L208" i="19"/>
  <c r="H208" i="19"/>
  <c r="N202" i="19"/>
  <c r="M202" i="19"/>
  <c r="K202" i="19"/>
  <c r="J202" i="19"/>
  <c r="I202" i="19"/>
  <c r="F202" i="19"/>
  <c r="D202" i="19"/>
  <c r="B202" i="19"/>
  <c r="P201" i="19"/>
  <c r="O201" i="19"/>
  <c r="N201" i="19"/>
  <c r="M201" i="19"/>
  <c r="K201" i="19"/>
  <c r="J201" i="19"/>
  <c r="I201" i="19"/>
  <c r="F201" i="19"/>
  <c r="D201" i="19"/>
  <c r="B201" i="19"/>
  <c r="L197" i="19"/>
  <c r="H197" i="19"/>
  <c r="L196" i="19"/>
  <c r="H196" i="19"/>
  <c r="L195" i="19"/>
  <c r="H195" i="19"/>
  <c r="N189" i="19"/>
  <c r="M189" i="19"/>
  <c r="K189" i="19"/>
  <c r="J189" i="19"/>
  <c r="I189" i="19"/>
  <c r="F189" i="19"/>
  <c r="D189" i="19"/>
  <c r="B189" i="19"/>
  <c r="P188" i="19"/>
  <c r="O188" i="19"/>
  <c r="N188" i="19"/>
  <c r="M188" i="19"/>
  <c r="K188" i="19"/>
  <c r="J188" i="19"/>
  <c r="I188" i="19"/>
  <c r="F188" i="19"/>
  <c r="D188" i="19"/>
  <c r="B188" i="19"/>
  <c r="L184" i="19"/>
  <c r="H184" i="19"/>
  <c r="L183" i="19"/>
  <c r="H183" i="19"/>
  <c r="L182" i="19"/>
  <c r="H182" i="19"/>
  <c r="N176" i="19"/>
  <c r="M176" i="19"/>
  <c r="K176" i="19"/>
  <c r="J176" i="19"/>
  <c r="I176" i="19"/>
  <c r="F176" i="19"/>
  <c r="D176" i="19"/>
  <c r="B176" i="19"/>
  <c r="P175" i="19"/>
  <c r="O175" i="19"/>
  <c r="N175" i="19"/>
  <c r="M175" i="19"/>
  <c r="K175" i="19"/>
  <c r="J175" i="19"/>
  <c r="I175" i="19"/>
  <c r="F175" i="19"/>
  <c r="D175" i="19"/>
  <c r="B175" i="19"/>
  <c r="L171" i="19"/>
  <c r="H171" i="19"/>
  <c r="L170" i="19"/>
  <c r="H170" i="19"/>
  <c r="L169" i="19"/>
  <c r="H169" i="19"/>
  <c r="N163" i="19"/>
  <c r="M163" i="19"/>
  <c r="K163" i="19"/>
  <c r="J163" i="19"/>
  <c r="I163" i="19"/>
  <c r="F163" i="19"/>
  <c r="D163" i="19"/>
  <c r="B163" i="19"/>
  <c r="P162" i="19"/>
  <c r="O162" i="19"/>
  <c r="N162" i="19"/>
  <c r="M162" i="19"/>
  <c r="K162" i="19"/>
  <c r="J162" i="19"/>
  <c r="I162" i="19"/>
  <c r="F162" i="19"/>
  <c r="D162" i="19"/>
  <c r="B162" i="19"/>
  <c r="L158" i="19"/>
  <c r="H158" i="19"/>
  <c r="L157" i="19"/>
  <c r="H157" i="19"/>
  <c r="L156" i="19"/>
  <c r="H156" i="19"/>
  <c r="N150" i="19"/>
  <c r="M150" i="19"/>
  <c r="K150" i="19"/>
  <c r="J150" i="19"/>
  <c r="I150" i="19"/>
  <c r="F150" i="19"/>
  <c r="D150" i="19"/>
  <c r="B150" i="19"/>
  <c r="P149" i="19"/>
  <c r="O149" i="19"/>
  <c r="N149" i="19"/>
  <c r="M149" i="19"/>
  <c r="K149" i="19"/>
  <c r="J149" i="19"/>
  <c r="I149" i="19"/>
  <c r="F149" i="19"/>
  <c r="D149" i="19"/>
  <c r="B149" i="19"/>
  <c r="L145" i="19"/>
  <c r="H145" i="19"/>
  <c r="L144" i="19"/>
  <c r="H144" i="19"/>
  <c r="L143" i="19"/>
  <c r="H143" i="19"/>
  <c r="N137" i="19"/>
  <c r="M137" i="19"/>
  <c r="K137" i="19"/>
  <c r="J137" i="19"/>
  <c r="I137" i="19"/>
  <c r="F137" i="19"/>
  <c r="D137" i="19"/>
  <c r="B137" i="19"/>
  <c r="P136" i="19"/>
  <c r="O136" i="19"/>
  <c r="N136" i="19"/>
  <c r="M136" i="19"/>
  <c r="K136" i="19"/>
  <c r="J136" i="19"/>
  <c r="I136" i="19"/>
  <c r="F136" i="19"/>
  <c r="D136" i="19"/>
  <c r="B136" i="19"/>
  <c r="L132" i="19"/>
  <c r="H132" i="19"/>
  <c r="L131" i="19"/>
  <c r="H131" i="19"/>
  <c r="L130" i="19"/>
  <c r="H130" i="19"/>
  <c r="N124" i="19"/>
  <c r="M124" i="19"/>
  <c r="K124" i="19"/>
  <c r="J124" i="19"/>
  <c r="I124" i="19"/>
  <c r="F124" i="19"/>
  <c r="D124" i="19"/>
  <c r="B124" i="19"/>
  <c r="P123" i="19"/>
  <c r="O123" i="19"/>
  <c r="N123" i="19"/>
  <c r="M123" i="19"/>
  <c r="K123" i="19"/>
  <c r="J123" i="19"/>
  <c r="I123" i="19"/>
  <c r="F123" i="19"/>
  <c r="D123" i="19"/>
  <c r="B123" i="19"/>
  <c r="L119" i="19"/>
  <c r="H119" i="19"/>
  <c r="L118" i="19"/>
  <c r="H118" i="19"/>
  <c r="L117" i="19"/>
  <c r="H117" i="19"/>
  <c r="N111" i="19"/>
  <c r="M111" i="19"/>
  <c r="K111" i="19"/>
  <c r="J111" i="19"/>
  <c r="I111" i="19"/>
  <c r="F111" i="19"/>
  <c r="D111" i="19"/>
  <c r="B111" i="19"/>
  <c r="P110" i="19"/>
  <c r="O110" i="19"/>
  <c r="N110" i="19"/>
  <c r="M110" i="19"/>
  <c r="K110" i="19"/>
  <c r="J110" i="19"/>
  <c r="I110" i="19"/>
  <c r="F110" i="19"/>
  <c r="D110" i="19"/>
  <c r="B110" i="19"/>
  <c r="L109" i="19"/>
  <c r="H109" i="19"/>
  <c r="L108" i="19"/>
  <c r="H108" i="19"/>
  <c r="L104" i="19"/>
  <c r="H104" i="19"/>
  <c r="N98" i="19"/>
  <c r="M98" i="19"/>
  <c r="K98" i="19"/>
  <c r="J98" i="19"/>
  <c r="I98" i="19"/>
  <c r="F98" i="19"/>
  <c r="D98" i="19"/>
  <c r="B98" i="19"/>
  <c r="P97" i="19"/>
  <c r="O97" i="19"/>
  <c r="N97" i="19"/>
  <c r="M97" i="19"/>
  <c r="K97" i="19"/>
  <c r="J97" i="19"/>
  <c r="I97" i="19"/>
  <c r="F97" i="19"/>
  <c r="D97" i="19"/>
  <c r="B97" i="19"/>
  <c r="L96" i="19"/>
  <c r="H96" i="19"/>
  <c r="L95" i="19"/>
  <c r="H95" i="19"/>
  <c r="L91" i="19"/>
  <c r="H91" i="19"/>
  <c r="N85" i="19"/>
  <c r="M85" i="19"/>
  <c r="K85" i="19"/>
  <c r="J85" i="19"/>
  <c r="I85" i="19"/>
  <c r="F85" i="19"/>
  <c r="D85" i="19"/>
  <c r="B85" i="19"/>
  <c r="P84" i="19"/>
  <c r="O84" i="19"/>
  <c r="N84" i="19"/>
  <c r="M84" i="19"/>
  <c r="K84" i="19"/>
  <c r="J84" i="19"/>
  <c r="I84" i="19"/>
  <c r="F84" i="19"/>
  <c r="D84" i="19"/>
  <c r="B84" i="19"/>
  <c r="L83" i="19"/>
  <c r="H83" i="19"/>
  <c r="L82" i="19"/>
  <c r="H82" i="19"/>
  <c r="L78" i="19"/>
  <c r="H78" i="19"/>
  <c r="F138" i="19" l="1"/>
  <c r="F190" i="19"/>
  <c r="F216" i="19"/>
  <c r="F242" i="19"/>
  <c r="F112" i="19"/>
  <c r="F164" i="19"/>
  <c r="H137" i="19"/>
  <c r="H138" i="19" s="1"/>
  <c r="P202" i="19"/>
  <c r="B203" i="19"/>
  <c r="H215" i="19"/>
  <c r="H216" i="19" s="1"/>
  <c r="P228" i="19"/>
  <c r="B229" i="19"/>
  <c r="H241" i="19"/>
  <c r="H242" i="19" s="1"/>
  <c r="P254" i="19"/>
  <c r="B255" i="19"/>
  <c r="H111" i="19"/>
  <c r="H112" i="19" s="1"/>
  <c r="H267" i="19"/>
  <c r="H268" i="19" s="1"/>
  <c r="F86" i="19"/>
  <c r="H85" i="19"/>
  <c r="H86" i="19" s="1"/>
  <c r="H163" i="19"/>
  <c r="H164" i="19" s="1"/>
  <c r="O124" i="19"/>
  <c r="B99" i="19"/>
  <c r="B125" i="19"/>
  <c r="P150" i="19"/>
  <c r="B177" i="19"/>
  <c r="L85" i="19"/>
  <c r="O98" i="19"/>
  <c r="O150" i="19"/>
  <c r="P98" i="19"/>
  <c r="P124" i="19"/>
  <c r="B151" i="19"/>
  <c r="P176" i="19"/>
  <c r="O176" i="19"/>
  <c r="O202" i="19"/>
  <c r="D203" i="19"/>
  <c r="L215" i="19"/>
  <c r="O228" i="19"/>
  <c r="D229" i="19"/>
  <c r="L241" i="19"/>
  <c r="O254" i="19"/>
  <c r="D255" i="19"/>
  <c r="P85" i="19"/>
  <c r="B86" i="19"/>
  <c r="F99" i="19"/>
  <c r="P111" i="19"/>
  <c r="B112" i="19"/>
  <c r="F125" i="19"/>
  <c r="P137" i="19"/>
  <c r="B138" i="19"/>
  <c r="H150" i="19"/>
  <c r="H151" i="19" s="1"/>
  <c r="F151" i="19"/>
  <c r="P163" i="19"/>
  <c r="B164" i="19"/>
  <c r="H176" i="19"/>
  <c r="H177" i="19" s="1"/>
  <c r="F177" i="19"/>
  <c r="P189" i="19"/>
  <c r="B190" i="19"/>
  <c r="H202" i="19"/>
  <c r="H203" i="19" s="1"/>
  <c r="F203" i="19"/>
  <c r="P215" i="19"/>
  <c r="B216" i="19"/>
  <c r="F229" i="19"/>
  <c r="P241" i="19"/>
  <c r="P267" i="19"/>
  <c r="B268" i="19"/>
  <c r="A55" i="16"/>
  <c r="O85" i="19"/>
  <c r="D86" i="19"/>
  <c r="L98" i="19"/>
  <c r="O111" i="19"/>
  <c r="D112" i="19"/>
  <c r="L124" i="19"/>
  <c r="O137" i="19"/>
  <c r="D138" i="19"/>
  <c r="L150" i="19"/>
  <c r="O163" i="19"/>
  <c r="D164" i="19"/>
  <c r="L176" i="19"/>
  <c r="O189" i="19"/>
  <c r="D190" i="19"/>
  <c r="O215" i="19"/>
  <c r="O241" i="19"/>
  <c r="O267" i="19"/>
  <c r="D268" i="19"/>
  <c r="D99" i="19"/>
  <c r="L111" i="19"/>
  <c r="D125" i="19"/>
  <c r="L137" i="19"/>
  <c r="D151" i="19"/>
  <c r="L163" i="19"/>
  <c r="D177" i="19"/>
  <c r="L189" i="19"/>
  <c r="L202" i="19"/>
  <c r="H201" i="19"/>
  <c r="D216" i="19"/>
  <c r="L228" i="19"/>
  <c r="D242" i="19"/>
  <c r="L254" i="19"/>
  <c r="H98" i="19"/>
  <c r="H99" i="19" s="1"/>
  <c r="H124" i="19"/>
  <c r="H125" i="19" s="1"/>
  <c r="H189" i="19"/>
  <c r="H190" i="19" s="1"/>
  <c r="H228" i="19"/>
  <c r="H229" i="19" s="1"/>
  <c r="B242" i="19"/>
  <c r="H254" i="19"/>
  <c r="H255" i="19" s="1"/>
  <c r="F255" i="19"/>
  <c r="L267" i="19"/>
  <c r="K8" i="26"/>
  <c r="H266" i="19"/>
  <c r="L266" i="19"/>
  <c r="H253" i="19"/>
  <c r="L253" i="19"/>
  <c r="H240" i="19"/>
  <c r="L240" i="19"/>
  <c r="H227" i="19"/>
  <c r="L227" i="19"/>
  <c r="H214" i="19"/>
  <c r="L214" i="19"/>
  <c r="L201" i="19"/>
  <c r="H188" i="19"/>
  <c r="L188" i="19"/>
  <c r="H175" i="19"/>
  <c r="L175" i="19"/>
  <c r="H162" i="19"/>
  <c r="L162" i="19"/>
  <c r="H149" i="19"/>
  <c r="L149" i="19"/>
  <c r="H136" i="19"/>
  <c r="L136" i="19"/>
  <c r="H123" i="19"/>
  <c r="L123" i="19"/>
  <c r="H110" i="19"/>
  <c r="L110" i="19"/>
  <c r="H97" i="19"/>
  <c r="L97" i="19"/>
  <c r="H84" i="19"/>
  <c r="L84" i="19"/>
  <c r="F15" i="25"/>
  <c r="D15" i="25"/>
  <c r="B15" i="25"/>
  <c r="E25" i="25" s="1"/>
  <c r="A64" i="16" l="1"/>
  <c r="A73" i="16" l="1"/>
  <c r="B26" i="15"/>
  <c r="F9" i="9"/>
  <c r="B7" i="11"/>
  <c r="A82" i="16" l="1"/>
  <c r="A91" i="16"/>
  <c r="F16" i="9"/>
  <c r="H22" i="14" l="1"/>
  <c r="H15" i="19"/>
  <c r="G3" i="19"/>
  <c r="N72" i="19" l="1"/>
  <c r="M72" i="19"/>
  <c r="K72" i="19"/>
  <c r="J72" i="19"/>
  <c r="I72" i="19"/>
  <c r="F72" i="19"/>
  <c r="D72" i="19"/>
  <c r="B72" i="19"/>
  <c r="P71" i="19"/>
  <c r="O71" i="19"/>
  <c r="N71" i="19"/>
  <c r="M71" i="19"/>
  <c r="K71" i="19"/>
  <c r="J71" i="19"/>
  <c r="I71" i="19"/>
  <c r="F71" i="19"/>
  <c r="D71" i="19"/>
  <c r="B71" i="19"/>
  <c r="L70" i="19"/>
  <c r="H70" i="19"/>
  <c r="L69" i="19"/>
  <c r="H69" i="19"/>
  <c r="L65" i="19"/>
  <c r="H65" i="19"/>
  <c r="N59" i="19"/>
  <c r="M59" i="19"/>
  <c r="K59" i="19"/>
  <c r="J59" i="19"/>
  <c r="I59" i="19"/>
  <c r="F59" i="19"/>
  <c r="D59" i="19"/>
  <c r="B59" i="19"/>
  <c r="P58" i="19"/>
  <c r="O58" i="19"/>
  <c r="N58" i="19"/>
  <c r="M58" i="19"/>
  <c r="K58" i="19"/>
  <c r="J58" i="19"/>
  <c r="I58" i="19"/>
  <c r="F58" i="19"/>
  <c r="D58" i="19"/>
  <c r="B58" i="19"/>
  <c r="L57" i="19"/>
  <c r="H57" i="19"/>
  <c r="L56" i="19"/>
  <c r="H56" i="19"/>
  <c r="L52" i="19"/>
  <c r="H52" i="19"/>
  <c r="N46" i="19"/>
  <c r="M46" i="19"/>
  <c r="K46" i="19"/>
  <c r="J46" i="19"/>
  <c r="I46" i="19"/>
  <c r="F46" i="19"/>
  <c r="D46" i="19"/>
  <c r="B46" i="19"/>
  <c r="P45" i="19"/>
  <c r="O45" i="19"/>
  <c r="N45" i="19"/>
  <c r="M45" i="19"/>
  <c r="K45" i="19"/>
  <c r="J45" i="19"/>
  <c r="I45" i="19"/>
  <c r="F45" i="19"/>
  <c r="D45" i="19"/>
  <c r="B45" i="19"/>
  <c r="L44" i="19"/>
  <c r="H44" i="19"/>
  <c r="L40" i="19"/>
  <c r="H40" i="19"/>
  <c r="L39" i="19"/>
  <c r="H39" i="19"/>
  <c r="N33" i="19"/>
  <c r="M33" i="19"/>
  <c r="K33" i="19"/>
  <c r="J33" i="19"/>
  <c r="I33" i="19"/>
  <c r="F33" i="19"/>
  <c r="D33" i="19"/>
  <c r="B33" i="19"/>
  <c r="P32" i="19"/>
  <c r="O32" i="19"/>
  <c r="N32" i="19"/>
  <c r="M32" i="19"/>
  <c r="K32" i="19"/>
  <c r="J32" i="19"/>
  <c r="G2" i="19" s="1"/>
  <c r="I32" i="19"/>
  <c r="F32" i="19"/>
  <c r="D32" i="19"/>
  <c r="B32" i="19"/>
  <c r="L28" i="19"/>
  <c r="H28" i="19"/>
  <c r="L27" i="19"/>
  <c r="H27" i="19"/>
  <c r="L26" i="19"/>
  <c r="H26" i="19"/>
  <c r="I20" i="19"/>
  <c r="I19" i="19"/>
  <c r="O72" i="19" l="1"/>
  <c r="P72" i="19"/>
  <c r="L46" i="19"/>
  <c r="L59" i="19"/>
  <c r="L71" i="19"/>
  <c r="D73" i="19"/>
  <c r="P46" i="19"/>
  <c r="D47" i="19"/>
  <c r="F47" i="19"/>
  <c r="B47" i="19"/>
  <c r="H32" i="19"/>
  <c r="B73" i="19"/>
  <c r="P33" i="19"/>
  <c r="B34" i="19"/>
  <c r="H46" i="19"/>
  <c r="H47" i="19" s="1"/>
  <c r="P59" i="19"/>
  <c r="B60" i="19"/>
  <c r="H71" i="19"/>
  <c r="L33" i="19"/>
  <c r="O33" i="19"/>
  <c r="D34" i="19"/>
  <c r="L72" i="19"/>
  <c r="H33" i="19"/>
  <c r="H34" i="19" s="1"/>
  <c r="H59" i="19"/>
  <c r="H60" i="19" s="1"/>
  <c r="F60" i="19"/>
  <c r="H72" i="19"/>
  <c r="H73" i="19" s="1"/>
  <c r="O46" i="19"/>
  <c r="F34" i="19"/>
  <c r="O59" i="19"/>
  <c r="D60" i="19"/>
  <c r="F73" i="19"/>
  <c r="H58" i="19"/>
  <c r="L58" i="19"/>
  <c r="H45" i="19"/>
  <c r="L45" i="19"/>
  <c r="L32" i="19"/>
  <c r="H39" i="14"/>
  <c r="G82" i="14"/>
  <c r="D82" i="14"/>
  <c r="C82" i="14"/>
  <c r="L79" i="14"/>
  <c r="H79" i="14"/>
  <c r="L78" i="14"/>
  <c r="H78" i="14"/>
  <c r="L77" i="14"/>
  <c r="H77" i="14"/>
  <c r="L76" i="14"/>
  <c r="H76" i="14"/>
  <c r="L75" i="14"/>
  <c r="H75" i="14"/>
  <c r="L74" i="14"/>
  <c r="H74" i="14"/>
  <c r="L66" i="14"/>
  <c r="H66" i="14"/>
  <c r="L65" i="14"/>
  <c r="H65" i="14"/>
  <c r="L64" i="14"/>
  <c r="H64" i="14"/>
  <c r="L63" i="14"/>
  <c r="H63" i="14"/>
  <c r="L62" i="14"/>
  <c r="H62" i="14"/>
  <c r="L61" i="14"/>
  <c r="H61" i="14"/>
  <c r="G56" i="14"/>
  <c r="D56" i="14"/>
  <c r="C56" i="14"/>
  <c r="B56" i="14"/>
  <c r="L53" i="14"/>
  <c r="H53" i="14"/>
  <c r="L52" i="14"/>
  <c r="H52" i="14"/>
  <c r="L51" i="14"/>
  <c r="H51" i="14"/>
  <c r="L50" i="14"/>
  <c r="H50" i="14"/>
  <c r="L49" i="14"/>
  <c r="H49" i="14"/>
  <c r="L48" i="14"/>
  <c r="H48" i="14"/>
  <c r="L40" i="14"/>
  <c r="H40" i="14"/>
  <c r="L39" i="14"/>
  <c r="L38" i="14"/>
  <c r="H38" i="14"/>
  <c r="L37" i="14"/>
  <c r="H37" i="14"/>
  <c r="L36" i="14"/>
  <c r="H36" i="14"/>
  <c r="L35" i="14"/>
  <c r="H35" i="14"/>
  <c r="H42" i="14" l="1"/>
  <c r="H41" i="14"/>
  <c r="H55" i="14"/>
  <c r="H56" i="14" s="1"/>
  <c r="H54" i="14"/>
  <c r="H68" i="14"/>
  <c r="H69" i="14" s="1"/>
  <c r="H67" i="14"/>
  <c r="H80" i="14"/>
  <c r="H81" i="14"/>
  <c r="H82" i="14" s="1"/>
  <c r="L54" i="14"/>
  <c r="L55" i="14"/>
  <c r="L67" i="14"/>
  <c r="L68" i="14"/>
  <c r="L80" i="14"/>
  <c r="L81" i="14"/>
  <c r="L41" i="14"/>
  <c r="L42" i="14"/>
  <c r="E43" i="14"/>
  <c r="F56" i="14"/>
  <c r="B82" i="14"/>
  <c r="F82" i="14"/>
  <c r="E56" i="14"/>
  <c r="B69" i="14"/>
  <c r="E69" i="14"/>
  <c r="E82" i="14"/>
  <c r="B43" i="14"/>
  <c r="F43" i="14"/>
  <c r="C43" i="14"/>
  <c r="G43" i="14"/>
  <c r="C69" i="14"/>
  <c r="G69" i="14"/>
  <c r="D43" i="14"/>
  <c r="H43" i="14"/>
  <c r="D69" i="14"/>
  <c r="F69" i="14"/>
  <c r="D20" i="11" l="1"/>
  <c r="E20" i="11"/>
  <c r="D21" i="11"/>
  <c r="E21" i="11"/>
  <c r="E19" i="11"/>
  <c r="D19" i="11"/>
  <c r="E18" i="11"/>
  <c r="D18" i="11"/>
  <c r="D19" i="2"/>
  <c r="E19" i="2"/>
  <c r="D20" i="2"/>
  <c r="E20" i="2"/>
  <c r="E18" i="2"/>
  <c r="D18" i="2"/>
  <c r="E17" i="2"/>
  <c r="D17" i="2"/>
  <c r="D19" i="8"/>
  <c r="E13" i="11"/>
  <c r="D13" i="11"/>
  <c r="E12" i="2"/>
  <c r="D12" i="2"/>
  <c r="B27" i="15"/>
  <c r="D4" i="14"/>
  <c r="C4" i="13"/>
  <c r="C3" i="13"/>
  <c r="C2" i="13"/>
  <c r="B3" i="6"/>
  <c r="B2" i="6"/>
  <c r="B3" i="5"/>
  <c r="B2" i="5"/>
  <c r="B4" i="3"/>
  <c r="B3" i="3"/>
  <c r="B2" i="3"/>
  <c r="B4" i="12"/>
  <c r="B3" i="12"/>
  <c r="B2" i="12"/>
  <c r="B4" i="11"/>
  <c r="B3" i="11"/>
  <c r="B2" i="11"/>
  <c r="B4" i="9"/>
  <c r="B3" i="9"/>
  <c r="B2" i="9"/>
  <c r="B4" i="2"/>
  <c r="B3" i="2"/>
  <c r="B2" i="2"/>
  <c r="D22" i="11" l="1"/>
  <c r="E21" i="2"/>
  <c r="E22" i="11"/>
  <c r="F18" i="11" s="1"/>
  <c r="D21" i="2"/>
  <c r="F13" i="11"/>
  <c r="F12" i="2"/>
  <c r="E19" i="8"/>
  <c r="F15" i="8" s="1"/>
  <c r="D5" i="14"/>
  <c r="B12" i="5"/>
  <c r="B30" i="8"/>
  <c r="C19" i="13"/>
  <c r="B13" i="3"/>
  <c r="B34" i="11"/>
  <c r="B21" i="9"/>
  <c r="B32" i="2"/>
  <c r="B28" i="15"/>
  <c r="F17" i="2" l="1"/>
  <c r="F24" i="8"/>
  <c r="B25" i="8" s="1"/>
  <c r="F26" i="2"/>
  <c r="F25" i="2"/>
  <c r="F13" i="9"/>
  <c r="F14" i="9"/>
  <c r="B8" i="11"/>
  <c r="F27" i="11"/>
  <c r="F26" i="11"/>
  <c r="B27" i="8" l="1"/>
  <c r="B28" i="8" s="1"/>
  <c r="B27" i="2"/>
  <c r="B15" i="9"/>
  <c r="B18" i="9" s="1"/>
  <c r="B19" i="9" l="1"/>
  <c r="B14" i="11"/>
  <c r="B15" i="11" l="1"/>
  <c r="N20" i="19" l="1"/>
  <c r="M20" i="19"/>
  <c r="K20" i="19"/>
  <c r="J20" i="19"/>
  <c r="F20" i="19"/>
  <c r="F21" i="19" s="1"/>
  <c r="D20" i="19"/>
  <c r="D21" i="19" s="1"/>
  <c r="B20" i="19"/>
  <c r="B21" i="19" s="1"/>
  <c r="P19" i="19"/>
  <c r="K6" i="19" s="1"/>
  <c r="O19" i="19"/>
  <c r="K7" i="19" s="1"/>
  <c r="N19" i="19"/>
  <c r="M19" i="19"/>
  <c r="K19" i="19"/>
  <c r="G4" i="19"/>
  <c r="L16" i="19"/>
  <c r="H16" i="19"/>
  <c r="L15" i="19"/>
  <c r="L14" i="19"/>
  <c r="H14" i="19"/>
  <c r="L13" i="19"/>
  <c r="H13" i="19"/>
  <c r="F52" i="21"/>
  <c r="L20" i="19" l="1"/>
  <c r="O20" i="19"/>
  <c r="G7" i="19"/>
  <c r="J52" i="21"/>
  <c r="B6" i="5"/>
  <c r="B14" i="5" s="1"/>
  <c r="B15" i="5" s="1"/>
  <c r="B16" i="5" s="1"/>
  <c r="C40" i="17" s="1"/>
  <c r="B7" i="6"/>
  <c r="B7" i="3"/>
  <c r="B12" i="3" s="1"/>
  <c r="B14" i="3" s="1"/>
  <c r="B15" i="3" s="1"/>
  <c r="C9" i="13"/>
  <c r="C18" i="13" s="1"/>
  <c r="B9" i="8"/>
  <c r="B31" i="8" s="1"/>
  <c r="B10" i="11"/>
  <c r="B33" i="11" s="1"/>
  <c r="B6" i="9"/>
  <c r="B20" i="9" s="1"/>
  <c r="B22" i="9" s="1"/>
  <c r="B23" i="9" s="1"/>
  <c r="C31" i="17" s="1"/>
  <c r="B9" i="2"/>
  <c r="B31" i="2" s="1"/>
  <c r="G6" i="19"/>
  <c r="N6" i="19" s="1"/>
  <c r="P20" i="19"/>
  <c r="L19" i="19"/>
  <c r="K8" i="19"/>
  <c r="H20" i="19"/>
  <c r="H19" i="19"/>
  <c r="C38" i="17" l="1"/>
  <c r="C25" i="17"/>
  <c r="B12" i="6"/>
  <c r="C42" i="17" s="1"/>
  <c r="B17" i="5"/>
  <c r="H21" i="19"/>
  <c r="B7" i="17" s="1"/>
  <c r="G8" i="19"/>
  <c r="N8" i="19" s="1"/>
  <c r="N7" i="19"/>
  <c r="B8" i="12"/>
  <c r="B9" i="12"/>
  <c r="B13" i="6" l="1"/>
  <c r="B14" i="6" s="1"/>
  <c r="B10" i="12"/>
  <c r="B11" i="12" s="1"/>
  <c r="B15" i="6" l="1"/>
  <c r="C35" i="17"/>
  <c r="B12" i="12"/>
  <c r="C36" i="17" s="1"/>
  <c r="B5" i="15"/>
  <c r="B12" i="15"/>
  <c r="B13" i="15" s="1"/>
  <c r="C49" i="17" s="1"/>
  <c r="C30" i="14"/>
  <c r="D30" i="14"/>
  <c r="E30" i="14"/>
  <c r="F30" i="14"/>
  <c r="G30" i="14"/>
  <c r="B14" i="15" l="1"/>
  <c r="C50" i="17" s="1"/>
  <c r="D6" i="14"/>
  <c r="D7" i="14" s="1"/>
  <c r="L25" i="14"/>
  <c r="H25" i="14"/>
  <c r="L24" i="14"/>
  <c r="H24" i="14"/>
  <c r="L23" i="14"/>
  <c r="H23" i="14"/>
  <c r="B30" i="14"/>
  <c r="J15" i="14"/>
  <c r="J16" i="14"/>
  <c r="L27" i="14"/>
  <c r="H27" i="14"/>
  <c r="L26" i="14"/>
  <c r="H26" i="14"/>
  <c r="L22" i="14"/>
  <c r="L28" i="14" l="1"/>
  <c r="L29" i="14"/>
  <c r="H28" i="14"/>
  <c r="H29" i="14"/>
  <c r="J17" i="14"/>
  <c r="G15" i="14"/>
  <c r="M15" i="14" s="1"/>
  <c r="G16" i="14"/>
  <c r="M16" i="14" s="1"/>
  <c r="G17" i="14" l="1"/>
  <c r="M17" i="14" s="1"/>
  <c r="H30" i="14"/>
  <c r="D8" i="14" s="1"/>
  <c r="D9" i="14" s="1"/>
  <c r="D10" i="14" s="1"/>
  <c r="K41" i="16"/>
  <c r="N41" i="16" s="1"/>
  <c r="K40" i="16"/>
  <c r="N40" i="16" s="1"/>
  <c r="K32" i="16"/>
  <c r="N32" i="16" s="1"/>
  <c r="K31" i="16"/>
  <c r="N31" i="16" s="1"/>
  <c r="K23" i="16"/>
  <c r="N23" i="16" s="1"/>
  <c r="K22" i="16"/>
  <c r="N22" i="16" s="1"/>
  <c r="K14" i="16"/>
  <c r="N14" i="16" s="1"/>
  <c r="K13" i="16"/>
  <c r="N13" i="16" s="1"/>
  <c r="N167" i="13"/>
  <c r="N166" i="13"/>
  <c r="N165" i="13"/>
  <c r="N164" i="13"/>
  <c r="N163" i="13"/>
  <c r="N162" i="13"/>
  <c r="N161" i="13"/>
  <c r="N160" i="13"/>
  <c r="N159" i="13"/>
  <c r="N158" i="13"/>
  <c r="N157" i="13"/>
  <c r="N156" i="13"/>
  <c r="N155" i="13"/>
  <c r="N154" i="13"/>
  <c r="N153" i="13"/>
  <c r="N152" i="13"/>
  <c r="N151" i="13"/>
  <c r="N150" i="13"/>
  <c r="N149" i="13"/>
  <c r="N148" i="13"/>
  <c r="N147" i="13"/>
  <c r="N146" i="13"/>
  <c r="N145" i="13"/>
  <c r="N144" i="13"/>
  <c r="N143" i="13"/>
  <c r="N142" i="13"/>
  <c r="N141" i="13"/>
  <c r="N140" i="13"/>
  <c r="N139" i="13"/>
  <c r="N138" i="13"/>
  <c r="N137" i="13"/>
  <c r="N136" i="13"/>
  <c r="N135" i="13"/>
  <c r="N134" i="13"/>
  <c r="N133" i="13"/>
  <c r="N132" i="13"/>
  <c r="N131" i="13"/>
  <c r="N130" i="13"/>
  <c r="N129" i="13"/>
  <c r="N128" i="13"/>
  <c r="N127" i="13"/>
  <c r="N126" i="13"/>
  <c r="N125" i="13"/>
  <c r="N124" i="13"/>
  <c r="N123" i="13"/>
  <c r="N122" i="13"/>
  <c r="N121" i="13"/>
  <c r="N120" i="13"/>
  <c r="N119" i="13"/>
  <c r="N118" i="13"/>
  <c r="N117" i="13"/>
  <c r="N116" i="13"/>
  <c r="N115" i="13"/>
  <c r="N114" i="13"/>
  <c r="N113" i="13"/>
  <c r="N112" i="13"/>
  <c r="N111" i="13"/>
  <c r="N110" i="13"/>
  <c r="N109" i="13"/>
  <c r="N108" i="13"/>
  <c r="N107" i="13"/>
  <c r="N106" i="13"/>
  <c r="N105" i="13"/>
  <c r="N104" i="13"/>
  <c r="N103" i="13"/>
  <c r="N102" i="13"/>
  <c r="N101" i="13"/>
  <c r="N100" i="13"/>
  <c r="N99" i="13"/>
  <c r="N98" i="13"/>
  <c r="N97" i="13"/>
  <c r="N96" i="13"/>
  <c r="N95" i="13"/>
  <c r="N94" i="13"/>
  <c r="N93" i="13"/>
  <c r="N92" i="13"/>
  <c r="N91" i="13"/>
  <c r="N90" i="13"/>
  <c r="N89" i="13"/>
  <c r="N88" i="13"/>
  <c r="N87" i="13"/>
  <c r="N86" i="13"/>
  <c r="N85" i="13"/>
  <c r="N84" i="13"/>
  <c r="N83" i="13"/>
  <c r="N82" i="13"/>
  <c r="N81" i="13"/>
  <c r="N80" i="13"/>
  <c r="N79" i="13"/>
  <c r="N78" i="13"/>
  <c r="N77" i="13"/>
  <c r="N76" i="13"/>
  <c r="N75" i="13"/>
  <c r="N74" i="13"/>
  <c r="N73" i="13"/>
  <c r="N72" i="13"/>
  <c r="N71" i="13"/>
  <c r="N70" i="13"/>
  <c r="N69" i="13"/>
  <c r="N68" i="13"/>
  <c r="N67" i="13"/>
  <c r="N66" i="13"/>
  <c r="N65" i="13"/>
  <c r="N64" i="13"/>
  <c r="N63" i="13"/>
  <c r="N62" i="13"/>
  <c r="N61" i="13"/>
  <c r="N60" i="13"/>
  <c r="N59" i="13"/>
  <c r="N58" i="13"/>
  <c r="N57" i="13"/>
  <c r="N56" i="13"/>
  <c r="N55" i="13"/>
  <c r="N54" i="13"/>
  <c r="N53" i="13"/>
  <c r="N52" i="13"/>
  <c r="N51" i="13"/>
  <c r="N50" i="13"/>
  <c r="N49" i="13"/>
  <c r="N48" i="13"/>
  <c r="N47" i="13"/>
  <c r="N46" i="13"/>
  <c r="N45" i="13"/>
  <c r="N44" i="13"/>
  <c r="R43" i="13"/>
  <c r="N43" i="13"/>
  <c r="N42" i="13"/>
  <c r="N41" i="13"/>
  <c r="N40" i="13"/>
  <c r="N39" i="13"/>
  <c r="N38" i="13"/>
  <c r="N37" i="13"/>
  <c r="N36" i="13"/>
  <c r="N35" i="13"/>
  <c r="N34" i="13"/>
  <c r="N33" i="13"/>
  <c r="N32" i="13"/>
  <c r="N31" i="13"/>
  <c r="N30" i="13"/>
  <c r="N29" i="13"/>
  <c r="N28" i="13"/>
  <c r="N27" i="13"/>
  <c r="N26" i="13"/>
  <c r="N25" i="13"/>
  <c r="N24" i="13"/>
  <c r="N23" i="13"/>
  <c r="N22" i="13"/>
  <c r="N21" i="13"/>
  <c r="N20" i="13"/>
  <c r="N19" i="13"/>
  <c r="N18" i="13"/>
  <c r="N17" i="13"/>
  <c r="N16" i="13"/>
  <c r="N15" i="13"/>
  <c r="N14" i="13"/>
  <c r="N13" i="13"/>
  <c r="N12" i="13"/>
  <c r="N11" i="13"/>
  <c r="N10" i="13"/>
  <c r="N9" i="13"/>
  <c r="N8" i="13"/>
  <c r="N7" i="13"/>
  <c r="N6" i="13"/>
  <c r="N5" i="13"/>
  <c r="N4" i="13"/>
  <c r="N3" i="13"/>
  <c r="C7" i="13"/>
  <c r="D11" i="14" l="1"/>
  <c r="D12" i="14" s="1"/>
  <c r="C47" i="17" s="1"/>
  <c r="C16" i="13"/>
  <c r="C17" i="13" s="1"/>
  <c r="C20" i="13" s="1"/>
  <c r="C21" i="13" s="1"/>
  <c r="M39" i="2"/>
  <c r="M40" i="2"/>
  <c r="M41" i="2"/>
  <c r="C44" i="17" l="1"/>
  <c r="C46" i="17"/>
  <c r="D13" i="14"/>
  <c r="Q13" i="14" s="1"/>
  <c r="H28" i="8"/>
  <c r="K28" i="8"/>
  <c r="H29" i="8"/>
  <c r="K29" i="8"/>
  <c r="H30" i="8"/>
  <c r="K30" i="8"/>
  <c r="H31" i="8"/>
  <c r="K31" i="8"/>
  <c r="H32" i="8"/>
  <c r="K32" i="8"/>
  <c r="H33" i="8"/>
  <c r="K33" i="8"/>
  <c r="H34" i="8"/>
  <c r="K34" i="8"/>
  <c r="H35" i="8"/>
  <c r="K35" i="8"/>
  <c r="H36" i="8"/>
  <c r="K36" i="8"/>
  <c r="H37" i="8"/>
  <c r="K37" i="8"/>
  <c r="H38" i="8"/>
  <c r="K38" i="8"/>
  <c r="H39" i="8"/>
  <c r="K39" i="8"/>
  <c r="H40" i="8"/>
  <c r="K40" i="8"/>
  <c r="H41" i="8"/>
  <c r="K41" i="8"/>
  <c r="H42" i="8"/>
  <c r="K42" i="8"/>
  <c r="H43" i="8"/>
  <c r="K43" i="8"/>
  <c r="H44" i="8"/>
  <c r="K44" i="8"/>
  <c r="H45" i="8"/>
  <c r="K45" i="8"/>
  <c r="H46" i="8"/>
  <c r="K46" i="8"/>
  <c r="H47" i="8"/>
  <c r="K47" i="8"/>
  <c r="H48" i="8"/>
  <c r="K48" i="8"/>
  <c r="H49" i="8"/>
  <c r="K49" i="8"/>
  <c r="H50" i="8"/>
  <c r="K50" i="8"/>
  <c r="H51" i="8"/>
  <c r="K51" i="8"/>
  <c r="H52" i="8"/>
  <c r="K52" i="8"/>
  <c r="H53" i="8"/>
  <c r="K53" i="8"/>
  <c r="H54" i="8"/>
  <c r="K54" i="8"/>
  <c r="H55" i="8"/>
  <c r="K55" i="8"/>
  <c r="H56" i="8"/>
  <c r="K56" i="8"/>
  <c r="H57" i="8"/>
  <c r="K57" i="8"/>
  <c r="H58" i="8"/>
  <c r="K58" i="8"/>
  <c r="H59" i="8"/>
  <c r="K59" i="8"/>
  <c r="H60" i="8"/>
  <c r="K60" i="8"/>
  <c r="H61" i="8"/>
  <c r="K61" i="8"/>
  <c r="H62" i="8"/>
  <c r="K62" i="8"/>
  <c r="H63" i="8"/>
  <c r="K63" i="8"/>
  <c r="H64" i="8"/>
  <c r="K64" i="8"/>
  <c r="H65" i="8"/>
  <c r="K65" i="8"/>
  <c r="H66" i="8"/>
  <c r="K66" i="8"/>
  <c r="H67" i="8"/>
  <c r="K67" i="8"/>
  <c r="H68" i="8"/>
  <c r="K68" i="8"/>
  <c r="H69" i="8"/>
  <c r="K69" i="8"/>
  <c r="H70" i="8"/>
  <c r="K70" i="8"/>
  <c r="H71" i="8"/>
  <c r="K71" i="8"/>
  <c r="H72" i="8"/>
  <c r="K72" i="8"/>
  <c r="H73" i="8"/>
  <c r="K73" i="8"/>
  <c r="H74" i="8"/>
  <c r="K74" i="8"/>
  <c r="H75" i="8"/>
  <c r="K75" i="8"/>
  <c r="H76" i="8"/>
  <c r="K76" i="8"/>
  <c r="H77" i="8"/>
  <c r="K77" i="8"/>
  <c r="H78" i="8"/>
  <c r="K78" i="8"/>
  <c r="H79" i="8"/>
  <c r="K79" i="8"/>
  <c r="H80" i="8"/>
  <c r="K80" i="8"/>
  <c r="H81" i="8"/>
  <c r="K81" i="8"/>
  <c r="H82" i="8"/>
  <c r="K82" i="8"/>
  <c r="H83" i="8"/>
  <c r="K83" i="8"/>
  <c r="H84" i="8"/>
  <c r="K84" i="8"/>
  <c r="H85" i="8"/>
  <c r="K85" i="8"/>
  <c r="H86" i="8"/>
  <c r="K86" i="8"/>
  <c r="H87" i="8"/>
  <c r="K87" i="8"/>
  <c r="H88" i="8"/>
  <c r="K88" i="8"/>
  <c r="H89" i="8"/>
  <c r="K89" i="8"/>
  <c r="H90" i="8"/>
  <c r="K90" i="8"/>
  <c r="H91" i="8"/>
  <c r="K91" i="8"/>
  <c r="H92" i="8"/>
  <c r="K92" i="8"/>
  <c r="H93" i="8"/>
  <c r="K93" i="8"/>
  <c r="H94" i="8"/>
  <c r="K94" i="8"/>
  <c r="H95" i="8"/>
  <c r="K95" i="8"/>
  <c r="H96" i="8"/>
  <c r="K96" i="8"/>
  <c r="H97" i="8"/>
  <c r="K97" i="8"/>
  <c r="H98" i="8"/>
  <c r="K98" i="8"/>
  <c r="H99" i="8"/>
  <c r="K99" i="8"/>
  <c r="H100" i="8"/>
  <c r="K100" i="8"/>
  <c r="H101" i="8"/>
  <c r="K101" i="8"/>
  <c r="H102" i="8"/>
  <c r="K102" i="8"/>
  <c r="H103" i="8"/>
  <c r="K103" i="8"/>
  <c r="H104" i="8"/>
  <c r="K104" i="8"/>
  <c r="H105" i="8"/>
  <c r="K105" i="8"/>
  <c r="H106" i="8"/>
  <c r="K106" i="8"/>
  <c r="H107" i="8"/>
  <c r="K107" i="8"/>
  <c r="H108" i="8"/>
  <c r="K108" i="8"/>
  <c r="H109" i="8"/>
  <c r="K109" i="8"/>
  <c r="H110" i="8"/>
  <c r="K110" i="8"/>
  <c r="H111" i="8"/>
  <c r="K111" i="8"/>
  <c r="H112" i="8"/>
  <c r="K112" i="8"/>
  <c r="H113" i="8"/>
  <c r="K113" i="8"/>
  <c r="H114" i="8"/>
  <c r="K114" i="8"/>
  <c r="H115" i="8"/>
  <c r="K115" i="8"/>
  <c r="H116" i="8"/>
  <c r="K116" i="8"/>
  <c r="H117" i="8"/>
  <c r="K117" i="8"/>
  <c r="H118" i="8"/>
  <c r="K118" i="8"/>
  <c r="H119" i="8"/>
  <c r="K119" i="8"/>
  <c r="H120" i="8"/>
  <c r="K120" i="8"/>
  <c r="H121" i="8"/>
  <c r="K121" i="8"/>
  <c r="H122" i="8"/>
  <c r="K122" i="8"/>
  <c r="H123" i="8"/>
  <c r="K123" i="8"/>
  <c r="H124" i="8"/>
  <c r="K124" i="8"/>
  <c r="H125" i="8"/>
  <c r="K125" i="8"/>
  <c r="H126" i="8"/>
  <c r="K126" i="8"/>
  <c r="H127" i="8"/>
  <c r="K127" i="8"/>
  <c r="H128" i="8"/>
  <c r="K128" i="8"/>
  <c r="H129" i="8"/>
  <c r="K129" i="8"/>
  <c r="H130" i="8"/>
  <c r="K130" i="8"/>
  <c r="H131" i="8"/>
  <c r="K131" i="8"/>
  <c r="H132" i="8"/>
  <c r="K132" i="8"/>
  <c r="H133" i="8"/>
  <c r="K133" i="8"/>
  <c r="H134" i="8"/>
  <c r="K134" i="8"/>
  <c r="H135" i="8"/>
  <c r="K135" i="8"/>
  <c r="H136" i="8"/>
  <c r="K136" i="8"/>
  <c r="H137" i="8"/>
  <c r="K137" i="8"/>
  <c r="H138" i="8"/>
  <c r="K138" i="8"/>
  <c r="H139" i="8"/>
  <c r="K139" i="8"/>
  <c r="H140" i="8"/>
  <c r="K140" i="8"/>
  <c r="H141" i="8"/>
  <c r="K141" i="8"/>
  <c r="H142" i="8"/>
  <c r="K142" i="8"/>
  <c r="H143" i="8"/>
  <c r="K143" i="8"/>
  <c r="H144" i="8"/>
  <c r="K144" i="8"/>
  <c r="H145" i="8"/>
  <c r="K145" i="8"/>
  <c r="H146" i="8"/>
  <c r="K146" i="8"/>
  <c r="H147" i="8"/>
  <c r="K147" i="8"/>
  <c r="H148" i="8"/>
  <c r="K148" i="8"/>
  <c r="H149" i="8"/>
  <c r="K149" i="8"/>
  <c r="H150" i="8"/>
  <c r="K150" i="8"/>
  <c r="H151" i="8"/>
  <c r="K151" i="8"/>
  <c r="H152" i="8"/>
  <c r="K152" i="8"/>
  <c r="H153" i="8"/>
  <c r="K153" i="8"/>
  <c r="H154" i="8"/>
  <c r="K154" i="8"/>
  <c r="H155" i="8"/>
  <c r="K155" i="8"/>
  <c r="H156" i="8"/>
  <c r="K156" i="8"/>
  <c r="H157" i="8"/>
  <c r="K157" i="8"/>
  <c r="H158" i="8"/>
  <c r="K158" i="8"/>
  <c r="H159" i="8"/>
  <c r="K159" i="8"/>
  <c r="H160" i="8"/>
  <c r="K160" i="8"/>
  <c r="H161" i="8"/>
  <c r="K161" i="8"/>
  <c r="H162" i="8"/>
  <c r="K162" i="8"/>
  <c r="H163" i="8"/>
  <c r="K163" i="8"/>
  <c r="H164" i="8"/>
  <c r="K164" i="8"/>
  <c r="H165" i="8"/>
  <c r="K165" i="8"/>
  <c r="H166" i="8"/>
  <c r="K166" i="8"/>
  <c r="H3" i="8"/>
  <c r="H4" i="8"/>
  <c r="H5" i="8"/>
  <c r="H6" i="8"/>
  <c r="H7" i="8"/>
  <c r="H8" i="8"/>
  <c r="H9" i="8"/>
  <c r="H10" i="8"/>
  <c r="H11" i="8"/>
  <c r="H12" i="8"/>
  <c r="H13" i="8"/>
  <c r="H14" i="8"/>
  <c r="H15" i="8"/>
  <c r="H16" i="8"/>
  <c r="H17" i="8"/>
  <c r="H18" i="8"/>
  <c r="H19" i="8"/>
  <c r="H20" i="8"/>
  <c r="H21" i="8"/>
  <c r="H23" i="8"/>
  <c r="H24" i="8"/>
  <c r="H25" i="8"/>
  <c r="H26" i="8"/>
  <c r="H27" i="8"/>
  <c r="H2" i="8"/>
  <c r="K2" i="8"/>
  <c r="K3" i="8"/>
  <c r="K4" i="8"/>
  <c r="K5" i="8"/>
  <c r="K6" i="8"/>
  <c r="K7" i="8"/>
  <c r="K8" i="8"/>
  <c r="K9" i="8"/>
  <c r="K10" i="8"/>
  <c r="K11" i="8"/>
  <c r="K12" i="8"/>
  <c r="K13" i="8"/>
  <c r="K14" i="8"/>
  <c r="K15" i="8"/>
  <c r="K16" i="8"/>
  <c r="K17" i="8"/>
  <c r="K18" i="8"/>
  <c r="K19" i="8"/>
  <c r="K20" i="8"/>
  <c r="K21" i="8"/>
  <c r="K23" i="8"/>
  <c r="K24" i="8"/>
  <c r="K25" i="8"/>
  <c r="K26" i="8"/>
  <c r="K27" i="8"/>
  <c r="C13" i="17" l="1"/>
  <c r="Q42" i="2"/>
  <c r="B7" i="8"/>
  <c r="C11" i="17" l="1"/>
  <c r="B29" i="8"/>
  <c r="B32" i="8" s="1"/>
  <c r="F28" i="11"/>
  <c r="B29" i="11" s="1"/>
  <c r="B31" i="11" s="1"/>
  <c r="B32" i="11" s="1"/>
  <c r="B35" i="11" s="1"/>
  <c r="B36" i="11" s="1"/>
  <c r="C33" i="17" s="1"/>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38" i="2"/>
  <c r="M37" i="2"/>
  <c r="M36" i="2"/>
  <c r="M35" i="2"/>
  <c r="M34" i="2"/>
  <c r="M33" i="2"/>
  <c r="M32" i="2"/>
  <c r="M31" i="2"/>
  <c r="M30" i="2"/>
  <c r="M29" i="2"/>
  <c r="M28" i="2"/>
  <c r="M27" i="2"/>
  <c r="M26" i="2"/>
  <c r="M25" i="2"/>
  <c r="M24" i="2"/>
  <c r="M23" i="2"/>
  <c r="M22" i="2"/>
  <c r="M20" i="2"/>
  <c r="M19" i="2"/>
  <c r="M18" i="2"/>
  <c r="M17" i="2"/>
  <c r="M16" i="2"/>
  <c r="M15" i="2"/>
  <c r="M14" i="2"/>
  <c r="M13" i="2"/>
  <c r="M12" i="2"/>
  <c r="M11" i="2"/>
  <c r="M10" i="2"/>
  <c r="M9" i="2"/>
  <c r="M8" i="2"/>
  <c r="M7" i="2"/>
  <c r="M6" i="2"/>
  <c r="M5" i="2"/>
  <c r="M4" i="2"/>
  <c r="M3" i="2"/>
  <c r="M2" i="2"/>
  <c r="B7" i="2"/>
  <c r="B13" i="2" l="1"/>
  <c r="B14" i="2" s="1"/>
  <c r="B29" i="2" s="1"/>
  <c r="C26" i="17" l="1"/>
  <c r="C27" i="17" s="1"/>
  <c r="B30" i="2"/>
  <c r="B33" i="2" l="1"/>
  <c r="B34" i="2" s="1"/>
  <c r="C29" i="17" l="1"/>
  <c r="U1" i="21" l="1"/>
  <c r="T1" i="21" s="1"/>
  <c r="S1" i="21" s="1"/>
  <c r="R1" i="21" s="1"/>
  <c r="Q1" i="2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<sst xmlns="http://schemas.openxmlformats.org/spreadsheetml/2006/main" count="4903" uniqueCount="1103">
  <si>
    <t>Loan Amount Requested (In INR)</t>
  </si>
  <si>
    <t>Tenure</t>
  </si>
  <si>
    <t>ROI</t>
  </si>
  <si>
    <t>Tenure (Months)</t>
  </si>
  <si>
    <t>Obligation Details</t>
  </si>
  <si>
    <t>Monthly Obligations to be considered in eligibility</t>
  </si>
  <si>
    <t>Income Details</t>
  </si>
  <si>
    <t xml:space="preserve">% considered </t>
  </si>
  <si>
    <t>Frequency</t>
  </si>
  <si>
    <t>Eligibility Computation</t>
  </si>
  <si>
    <t>Appraised Obligations</t>
  </si>
  <si>
    <t>Loan Eligibility - Based on Income</t>
  </si>
  <si>
    <t>EMI</t>
  </si>
  <si>
    <t>Loan Amount</t>
  </si>
  <si>
    <t>Type of Business</t>
  </si>
  <si>
    <t>Manufacturer</t>
  </si>
  <si>
    <t>Industry + Item</t>
  </si>
  <si>
    <t>Agriculture Products Spices</t>
  </si>
  <si>
    <t>Industry Margin</t>
  </si>
  <si>
    <t>Industry</t>
  </si>
  <si>
    <t>Item</t>
  </si>
  <si>
    <t>Trader</t>
  </si>
  <si>
    <t>Service</t>
  </si>
  <si>
    <t>Agriculture Products</t>
  </si>
  <si>
    <t>Animal Products (Including animal and bird feed)</t>
  </si>
  <si>
    <t>Edible Oils</t>
  </si>
  <si>
    <t>Floricultural</t>
  </si>
  <si>
    <t>Fruit and nuts</t>
  </si>
  <si>
    <t>Poultry &amp; Meal Products</t>
  </si>
  <si>
    <t>Agri-seed</t>
  </si>
  <si>
    <t>Spices</t>
  </si>
  <si>
    <t>Starches</t>
  </si>
  <si>
    <t>Sugar</t>
  </si>
  <si>
    <t>Tea &amp; Coffee</t>
  </si>
  <si>
    <t>Tobacco Products</t>
  </si>
  <si>
    <t>Vegetables, roots and tubers</t>
  </si>
  <si>
    <t>Air-conditioners &amp; refrigerators</t>
  </si>
  <si>
    <t>Automobiles</t>
  </si>
  <si>
    <t>2 &amp; 3 Wheelers</t>
  </si>
  <si>
    <t>Automobiles ancillaries</t>
  </si>
  <si>
    <t>Cycle &amp; accessories</t>
  </si>
  <si>
    <t>Passenger &amp; commercial vehicles</t>
  </si>
  <si>
    <t>Tyres&amp; Tubes</t>
  </si>
  <si>
    <t>Professional Services</t>
  </si>
  <si>
    <t>Architectural services &amp; interior designing service</t>
  </si>
  <si>
    <t>Board line/ Multiline</t>
  </si>
  <si>
    <t>General Merchandise Stores</t>
  </si>
  <si>
    <t>Cement</t>
  </si>
  <si>
    <t>Cement Products &amp; asbestos products</t>
  </si>
  <si>
    <t>Chemicals</t>
  </si>
  <si>
    <t>Acids &amp; Salts</t>
  </si>
  <si>
    <t>Caustic Soda</t>
  </si>
  <si>
    <t>Chemicals including inorganic</t>
  </si>
  <si>
    <t>Dyes &amp; pigments</t>
  </si>
  <si>
    <t>Fertilizers</t>
  </si>
  <si>
    <t>Industrial Gases</t>
  </si>
  <si>
    <t>Pesticides</t>
  </si>
  <si>
    <t>Petrochemicals including organic</t>
  </si>
  <si>
    <t>Polymers</t>
  </si>
  <si>
    <t>Refractories</t>
  </si>
  <si>
    <t>Computers</t>
  </si>
  <si>
    <t>Computer – Education</t>
  </si>
  <si>
    <t>Computer – Software</t>
  </si>
  <si>
    <t>Computer – Electronics</t>
  </si>
  <si>
    <t>Construction</t>
  </si>
  <si>
    <t>Ceramic Tiles &amp; Sanitary ware</t>
  </si>
  <si>
    <t>Commercial Complex</t>
  </si>
  <si>
    <t>Construction (Residential)</t>
  </si>
  <si>
    <t>Construction equipment’s</t>
  </si>
  <si>
    <t>Construction (Industrial)</t>
  </si>
  <si>
    <t>Construction (Roads)</t>
  </si>
  <si>
    <t>Consumer Electronics</t>
  </si>
  <si>
    <t>Containers &amp; Packaging</t>
  </si>
  <si>
    <t>Packaging</t>
  </si>
  <si>
    <t>Durables</t>
  </si>
  <si>
    <t>Hardware, Plumbing &amp; Heating Equipment</t>
  </si>
  <si>
    <t>Electronics</t>
  </si>
  <si>
    <t>Domestic Appliances &amp; Machinery</t>
  </si>
  <si>
    <t>Entertainments &amp; Leisure</t>
  </si>
  <si>
    <t>Hotels &amp; Restaurants</t>
  </si>
  <si>
    <t>Recreation &amp; Amusement Parks</t>
  </si>
  <si>
    <t>Travel Services</t>
  </si>
  <si>
    <t>FMCG</t>
  </si>
  <si>
    <t>Food and Beverages</t>
  </si>
  <si>
    <t>Beer, Wine &amp;Distilled Alcoholic Beverages</t>
  </si>
  <si>
    <t>Processed/Packaged, foods/foods &amp; beverages products (other than poultry meat)</t>
  </si>
  <si>
    <t>Soft Drinks</t>
  </si>
  <si>
    <t>Food Processing</t>
  </si>
  <si>
    <t>Bakery products</t>
  </si>
  <si>
    <t>Food Products</t>
  </si>
  <si>
    <t>Dairy products</t>
  </si>
  <si>
    <t>Marine foods</t>
  </si>
  <si>
    <t>Milling products</t>
  </si>
  <si>
    <t>Rice</t>
  </si>
  <si>
    <t>Soya bean products</t>
  </si>
  <si>
    <t>Granite / Marbles</t>
  </si>
  <si>
    <t>Granite</t>
  </si>
  <si>
    <t>Hardware Equipment</t>
  </si>
  <si>
    <t>Office Equipment</t>
  </si>
  <si>
    <t>Healthcare</t>
  </si>
  <si>
    <t>Medical &amp; Health Services/Diagnostic center</t>
  </si>
  <si>
    <t>Medical Equipment &amp; medical supplies</t>
  </si>
  <si>
    <t>Healthcare Providers</t>
  </si>
  <si>
    <t>Diagnostic centers</t>
  </si>
  <si>
    <t>Drugs&amp;Pharmaceuticals</t>
  </si>
  <si>
    <t>Hospitals</t>
  </si>
  <si>
    <t>Household Products</t>
  </si>
  <si>
    <t>Detergents &amp; intermediates</t>
  </si>
  <si>
    <t>Electronics Equipment</t>
  </si>
  <si>
    <t>non - electrical machinery</t>
  </si>
  <si>
    <t>Personal Care</t>
  </si>
  <si>
    <t>Industrial Equipment</t>
  </si>
  <si>
    <t>Abrasives &amp; Grinding</t>
  </si>
  <si>
    <t>Bearings</t>
  </si>
  <si>
    <t>Compressors</t>
  </si>
  <si>
    <t>Electrical Equipment’s/Railway equipment</t>
  </si>
  <si>
    <t>Welding electrodes / sticks / wires / fluxes welding related only</t>
  </si>
  <si>
    <t>Engines</t>
  </si>
  <si>
    <t>Fasteners</t>
  </si>
  <si>
    <t>Industrial furnaces</t>
  </si>
  <si>
    <t>Industrial machinery (All Types)</t>
  </si>
  <si>
    <t>Machine Tools</t>
  </si>
  <si>
    <t>Motors &amp; generators</t>
  </si>
  <si>
    <t>Power transmission line services</t>
  </si>
  <si>
    <t>Pumps</t>
  </si>
  <si>
    <t>Storage batteries</t>
  </si>
  <si>
    <t>Structure’s</t>
  </si>
  <si>
    <t>Switching apparatus</t>
  </si>
  <si>
    <t>Transformers</t>
  </si>
  <si>
    <t>Jewelry</t>
  </si>
  <si>
    <t>Gems &amp;Jewelry</t>
  </si>
  <si>
    <t>Media</t>
  </si>
  <si>
    <t>Advertising</t>
  </si>
  <si>
    <t>Animation Content Provider</t>
  </si>
  <si>
    <t>Cable and other pay television services</t>
  </si>
  <si>
    <t>Printing</t>
  </si>
  <si>
    <t>Publishing</t>
  </si>
  <si>
    <t>Metals</t>
  </si>
  <si>
    <t>Aluminum&amp;Aluminum Products (Manufacturer)</t>
  </si>
  <si>
    <t>Castings &amp; forgings</t>
  </si>
  <si>
    <t>Copper &amp; copper products (other than wire)</t>
  </si>
  <si>
    <t>Ferro alloys, ferrous metals &amp; Pig iron</t>
  </si>
  <si>
    <t>Other non-metallic mineral products</t>
  </si>
  <si>
    <t>Metal Products (other than Steel, Aluminum and Copper) finished metal product only</t>
  </si>
  <si>
    <t>Metallic ores</t>
  </si>
  <si>
    <t>Other non-ferrous metals/Other non-metallic</t>
  </si>
  <si>
    <t>Rolled coils and rolled products</t>
  </si>
  <si>
    <t>Tubes and pipes</t>
  </si>
  <si>
    <t>Wires and cables</t>
  </si>
  <si>
    <t>Mining</t>
  </si>
  <si>
    <t>Coal and Lignite</t>
  </si>
  <si>
    <t>Minerals</t>
  </si>
  <si>
    <t>Minerals &amp; energy Sources</t>
  </si>
  <si>
    <t>Other Construction &amp; allied activities</t>
  </si>
  <si>
    <t>Maintenance of buildings (Facility Management)</t>
  </si>
  <si>
    <t>Other Fund based Financial Services</t>
  </si>
  <si>
    <t>Commission agents services (Only those booking commission income)</t>
  </si>
  <si>
    <t>Others</t>
  </si>
  <si>
    <t>R &amp; D</t>
  </si>
  <si>
    <t>Glass &amp; Glass Products</t>
  </si>
  <si>
    <t>Industries not classified elsewhere (Manufacturing)</t>
  </si>
  <si>
    <t>Industries not classified elsewhere (Services)</t>
  </si>
  <si>
    <t>Industries not classified elsewhere (Trading)</t>
  </si>
  <si>
    <t>Paints</t>
  </si>
  <si>
    <t>Paints &amp; Varnishes</t>
  </si>
  <si>
    <t>Paper</t>
  </si>
  <si>
    <t>Paper &amp; Paper Products</t>
  </si>
  <si>
    <t>Petroleum Products</t>
  </si>
  <si>
    <t>LRG Cylinders</t>
  </si>
  <si>
    <t>Lubricants</t>
  </si>
  <si>
    <t>Photographic &amp; Allied Products</t>
  </si>
  <si>
    <t>Plastics</t>
  </si>
  <si>
    <t>Plastics Films</t>
  </si>
  <si>
    <t>Plastics packaging goods</t>
  </si>
  <si>
    <t>Plastics tubes, Pipes, fittings &amp; sheets</t>
  </si>
  <si>
    <t>Consultants/Business Consultancy</t>
  </si>
  <si>
    <t>Education Consultancy</t>
  </si>
  <si>
    <t>Entertainment and media content provider</t>
  </si>
  <si>
    <t>Event management services</t>
  </si>
  <si>
    <t>Motion Picture production, distribution and exhibition</t>
  </si>
  <si>
    <t>Public Relations</t>
  </si>
  <si>
    <t>Real estate infrastructure services</t>
  </si>
  <si>
    <t>Technical consultancy and engineering services</t>
  </si>
  <si>
    <t>Placement &amp; HR consultancy services</t>
  </si>
  <si>
    <t>Radiobroadcasting media</t>
  </si>
  <si>
    <t>Retail trading</t>
  </si>
  <si>
    <t>Departmental stores</t>
  </si>
  <si>
    <t>Road Transport Infrastructure services</t>
  </si>
  <si>
    <t>Toll revenue</t>
  </si>
  <si>
    <t>Other motor transport services</t>
  </si>
  <si>
    <t>Rubber</t>
  </si>
  <si>
    <t>Rubber &amp; rubber products</t>
  </si>
  <si>
    <t>Services</t>
  </si>
  <si>
    <t>Renting Services</t>
  </si>
  <si>
    <t>Services - Communication</t>
  </si>
  <si>
    <t>Communication equipment (other than mobile phone wholesaler, retailer)</t>
  </si>
  <si>
    <t>Internet Services</t>
  </si>
  <si>
    <t>Other communication services (wireless services, fax services, paper services, other telephone services, other communication services)</t>
  </si>
  <si>
    <t>Software</t>
  </si>
  <si>
    <t>ITES/ Call Centers</t>
  </si>
  <si>
    <t>Specially</t>
  </si>
  <si>
    <t>Footwear</t>
  </si>
  <si>
    <t>Books, Office Suppliers &amp; Stationery</t>
  </si>
  <si>
    <t>Clock &amp; watches</t>
  </si>
  <si>
    <t>Hobby, Toys &amp; Games</t>
  </si>
  <si>
    <t>Home Furniture &amp; Finishing</t>
  </si>
  <si>
    <t>Luggage &amp; Leather Goods</t>
  </si>
  <si>
    <t>Opticians &amp; Optical instruments</t>
  </si>
  <si>
    <t>Pens and Pencils</t>
  </si>
  <si>
    <t>Sports Goods</t>
  </si>
  <si>
    <t>Wood and wood products / Sports goods</t>
  </si>
  <si>
    <t>Telecommunication services</t>
  </si>
  <si>
    <t>Cellular phone infrastructure</t>
  </si>
  <si>
    <t>Television broadcasting media</t>
  </si>
  <si>
    <t>Textiles</t>
  </si>
  <si>
    <t>Blankets &amp; Carpets</t>
  </si>
  <si>
    <t>Blended yarn</t>
  </si>
  <si>
    <t>Jute</t>
  </si>
  <si>
    <t>Readymade Garments</t>
  </si>
  <si>
    <t>Textiles - Cotton</t>
  </si>
  <si>
    <t>Textiles - Silk</t>
  </si>
  <si>
    <t>Textiles - Synthetic</t>
  </si>
  <si>
    <t>Textiles - Specialized (Other than Cotton, Jute &amp; Yarn, Silk and Synthetic)</t>
  </si>
  <si>
    <t>Woolen Textiles</t>
  </si>
  <si>
    <t>Transportation Logistics</t>
  </si>
  <si>
    <t>Cargo (Cargo Handling air &amp; water)</t>
  </si>
  <si>
    <t>Courier</t>
  </si>
  <si>
    <t>Goods Transport Services (Road)</t>
  </si>
  <si>
    <t>Passenger Transport Services (Road)</t>
  </si>
  <si>
    <t>Storage &amp; Warehousing</t>
  </si>
  <si>
    <t>Portal</t>
  </si>
  <si>
    <t>Previous Year</t>
  </si>
  <si>
    <t>Current Year</t>
  </si>
  <si>
    <t>Amount Considered</t>
  </si>
  <si>
    <t>Gross Turnover</t>
  </si>
  <si>
    <t>Income as per Gross Turnover</t>
  </si>
  <si>
    <t>Profit  Before Tax</t>
  </si>
  <si>
    <t>Depreciation</t>
  </si>
  <si>
    <t xml:space="preserve">Salary/Interest paid to partners/directors </t>
  </si>
  <si>
    <t>Interest Paid</t>
  </si>
  <si>
    <t>Rental Income</t>
  </si>
  <si>
    <t>Monthly</t>
  </si>
  <si>
    <t>Rental Income ( Unregistered)</t>
  </si>
  <si>
    <t>Interest From FD / Dividend Income</t>
  </si>
  <si>
    <t>Other Income</t>
  </si>
  <si>
    <t>Eligible Income</t>
  </si>
  <si>
    <t>Monthly Income</t>
  </si>
  <si>
    <t>Eligible Loan Amount</t>
  </si>
  <si>
    <t>Total</t>
  </si>
  <si>
    <t>Gross Receipts</t>
  </si>
  <si>
    <t>Consulting Income</t>
  </si>
  <si>
    <t>Salary Income</t>
  </si>
  <si>
    <t>Applicable Multiplier</t>
  </si>
  <si>
    <t>Loan Tenure</t>
  </si>
  <si>
    <t>Multiplier</t>
  </si>
  <si>
    <t>Cash Profit</t>
  </si>
  <si>
    <t>Profit  After Tax</t>
  </si>
  <si>
    <t>SEP-Individual</t>
  </si>
  <si>
    <t>DSCR according to Cash Profit</t>
  </si>
  <si>
    <t>DSCR according to Imputed Income</t>
  </si>
  <si>
    <t>Gross Profit</t>
  </si>
  <si>
    <t>Annual Interest Serviced</t>
  </si>
  <si>
    <t>Growth Rate (Minimum of last two year CAGR or 20%)</t>
  </si>
  <si>
    <t>Monthly Turnover</t>
  </si>
  <si>
    <t>SENP-Individual</t>
  </si>
  <si>
    <t>Entities</t>
  </si>
  <si>
    <t>Cement Cement Products &amp; asbestos products</t>
  </si>
  <si>
    <t>Agriculture Products Agriculture Products</t>
  </si>
  <si>
    <t>Agriculture Products Animal Products (Including animal and bird feed)</t>
  </si>
  <si>
    <t>Agriculture Products Edible Oils</t>
  </si>
  <si>
    <t>Agriculture Products Floricultural</t>
  </si>
  <si>
    <t>Agriculture Products Fruit and nuts</t>
  </si>
  <si>
    <t>Agriculture Products Poultry &amp; Meal Products</t>
  </si>
  <si>
    <t>Agriculture Products Agri-seed</t>
  </si>
  <si>
    <t>Agriculture Products Starches</t>
  </si>
  <si>
    <t>Agriculture Products Sugar</t>
  </si>
  <si>
    <t>Agriculture Products Tea &amp; Coffee</t>
  </si>
  <si>
    <t>Agriculture Products Tobacco Products</t>
  </si>
  <si>
    <t>Agriculture Products Vegetables, roots and tubers</t>
  </si>
  <si>
    <t>Air-conditioners &amp; refrigerators Air-conditioners &amp; refrigerators</t>
  </si>
  <si>
    <t>Automobiles 2 &amp; 3 Wheelers</t>
  </si>
  <si>
    <t>Automobiles Automobiles ancillaries</t>
  </si>
  <si>
    <t>Automobiles Cycle &amp; accessories</t>
  </si>
  <si>
    <t>Automobiles Passenger &amp; commercial vehicles</t>
  </si>
  <si>
    <t>Automobiles Tyres&amp; Tubes</t>
  </si>
  <si>
    <t>Professional Services Architectural services &amp; interior designing service</t>
  </si>
  <si>
    <t>Board line/ Multiline General Merchandise Stores</t>
  </si>
  <si>
    <t>Chemicals Acids &amp; Salts</t>
  </si>
  <si>
    <t>Chemicals Caustic Soda</t>
  </si>
  <si>
    <t>Chemicals Chemicals including inorganic</t>
  </si>
  <si>
    <t>Chemicals Dyes &amp; pigments</t>
  </si>
  <si>
    <t>Chemicals Fertilizers</t>
  </si>
  <si>
    <t>Chemicals Industrial Gases</t>
  </si>
  <si>
    <t>Chemicals Pesticides</t>
  </si>
  <si>
    <t>Chemicals Petrochemicals including organic</t>
  </si>
  <si>
    <t>Chemicals Polymers</t>
  </si>
  <si>
    <t>Chemicals Refractories</t>
  </si>
  <si>
    <t>Computers Computer – Education</t>
  </si>
  <si>
    <t>Computers Computer – Software</t>
  </si>
  <si>
    <t>Computers Computer – Electronics</t>
  </si>
  <si>
    <t>Construction Ceramic Tiles &amp; Sanitary ware</t>
  </si>
  <si>
    <t>Construction Commercial Complex</t>
  </si>
  <si>
    <t>Construction Construction (Roads)</t>
  </si>
  <si>
    <t>Containers &amp; Packaging Packaging</t>
  </si>
  <si>
    <t>Durables Hardware, Plumbing &amp; Heating Equipment</t>
  </si>
  <si>
    <t>Electronics Domestic Appliances &amp; Machinery</t>
  </si>
  <si>
    <t>Entertainments &amp; Leisure Hotels &amp; Restaurants</t>
  </si>
  <si>
    <t>Entertainments &amp; Leisure Recreation &amp; Amusement Parks</t>
  </si>
  <si>
    <t>Entertainments &amp; Leisure Travel Services</t>
  </si>
  <si>
    <t>FMCG FMCG</t>
  </si>
  <si>
    <t>Food and Beverages Beer, Wine &amp;Distilled Alcoholic Beverages</t>
  </si>
  <si>
    <t>Food and Beverages Processed/Packaged, foods/foods &amp; beverages products (other than poultry meat)</t>
  </si>
  <si>
    <t>Food and Beverages Soft Drinks</t>
  </si>
  <si>
    <t>Food Processing Bakery products</t>
  </si>
  <si>
    <t>Food Products Dairy products</t>
  </si>
  <si>
    <t>Food Products Marine foods</t>
  </si>
  <si>
    <t>Food Products Milling products</t>
  </si>
  <si>
    <t>Food Products Rice</t>
  </si>
  <si>
    <t>Food Products Soya bean products</t>
  </si>
  <si>
    <t>Granite / Marbles Granite</t>
  </si>
  <si>
    <t>Hardware Equipment Office Equipment</t>
  </si>
  <si>
    <t>Healthcare Medical &amp; Health Services/Diagnostic center</t>
  </si>
  <si>
    <t>Healthcare Medical Equipment &amp; medical supplies</t>
  </si>
  <si>
    <t>Healthcare Providers Diagnostic centers</t>
  </si>
  <si>
    <t>Healthcare Providers Drugs&amp;Pharmaceuticals</t>
  </si>
  <si>
    <t>Healthcare Providers Hospitals</t>
  </si>
  <si>
    <t>Household Products Detergents &amp; intermediates</t>
  </si>
  <si>
    <t>Household Products Electronics Equipment</t>
  </si>
  <si>
    <t>Household Products non - electrical machinery</t>
  </si>
  <si>
    <t>Household Products Personal Care</t>
  </si>
  <si>
    <t>Industrial Equipment Abrasives &amp; Grinding</t>
  </si>
  <si>
    <t>Industrial Equipment Bearings</t>
  </si>
  <si>
    <t>Industrial Equipment Compressors</t>
  </si>
  <si>
    <t>Industrial Equipment Electrical Equipment’s/Railway equipment</t>
  </si>
  <si>
    <t>Industrial Equipment Welding electrodes / sticks / wires / fluxes welding related only</t>
  </si>
  <si>
    <t>Industrial Equipment Engines</t>
  </si>
  <si>
    <t>Industrial Equipment Fasteners</t>
  </si>
  <si>
    <t>Industrial Equipment Industrial furnaces</t>
  </si>
  <si>
    <t>Industrial Equipment Industrial machinery (All Types)</t>
  </si>
  <si>
    <t>Industrial Equipment Machine Tools</t>
  </si>
  <si>
    <t>Industrial Equipment Motors &amp; generators</t>
  </si>
  <si>
    <t>Industrial Equipment Power transmission line services</t>
  </si>
  <si>
    <t>Industrial Equipment Pumps</t>
  </si>
  <si>
    <t>Industrial Equipment Storage batteries</t>
  </si>
  <si>
    <t>Industrial Equipment Structure’s</t>
  </si>
  <si>
    <t>Industrial Equipment Switching apparatus</t>
  </si>
  <si>
    <t>Industrial Equipment Transformers</t>
  </si>
  <si>
    <t>Jewelry Gems &amp;Jewelry</t>
  </si>
  <si>
    <t>Media Advertising</t>
  </si>
  <si>
    <t>Media Animation Content Provider</t>
  </si>
  <si>
    <t>Media Cable and other pay television services</t>
  </si>
  <si>
    <t>Media Printing</t>
  </si>
  <si>
    <t>Media Publishing</t>
  </si>
  <si>
    <t>Metals Aluminum&amp;Aluminum Products (Manufacturer)</t>
  </si>
  <si>
    <t>Metals Castings &amp; forgings</t>
  </si>
  <si>
    <t>Metals Copper &amp; copper products (other than wire)</t>
  </si>
  <si>
    <t>Metals Ferro alloys, ferrous metals &amp; Pig iron</t>
  </si>
  <si>
    <t>Metals Other non-metallic mineral products</t>
  </si>
  <si>
    <t>Metals Metal Products (other than Steel, Aluminum and Copper) finished metal product only</t>
  </si>
  <si>
    <t>Metals Metallic ores</t>
  </si>
  <si>
    <t>Metals Other non-ferrous metals/Other non-metallic</t>
  </si>
  <si>
    <t>Metals Rolled coils and rolled products</t>
  </si>
  <si>
    <t>Metals Tubes and pipes</t>
  </si>
  <si>
    <t>Metals Wires and cables</t>
  </si>
  <si>
    <t>Mining Coal and Lignite</t>
  </si>
  <si>
    <t>Mining Minerals</t>
  </si>
  <si>
    <t>Mining Minerals &amp; energy Sources</t>
  </si>
  <si>
    <t>Other Construction &amp; allied activities Maintenance of buildings (Facility Management)</t>
  </si>
  <si>
    <t>Other Fund based Financial Services Commission agents services (Only those booking commission income)</t>
  </si>
  <si>
    <t>Others R &amp; D</t>
  </si>
  <si>
    <t>Others Glass &amp; Glass Products</t>
  </si>
  <si>
    <t>Others Industries not classified elsewhere (Manufacturing)</t>
  </si>
  <si>
    <t>Others Industries not classified elsewhere (Services)</t>
  </si>
  <si>
    <t>Others Industries not classified elsewhere (Trading)</t>
  </si>
  <si>
    <t>Paints Paints &amp; Varnishes</t>
  </si>
  <si>
    <t>Paper Paper &amp; Paper Products</t>
  </si>
  <si>
    <t>Petroleum Products LRG Cylinders</t>
  </si>
  <si>
    <t>Petroleum Products Lubricants</t>
  </si>
  <si>
    <t>Petroleum Products Petroleum Products</t>
  </si>
  <si>
    <t>Photographic &amp; Allied Products Photographic &amp; Allied Products</t>
  </si>
  <si>
    <t>Plastics Plastics Films</t>
  </si>
  <si>
    <t>Plastics Plastics packaging goods</t>
  </si>
  <si>
    <t>Plastics Plastics tubes, Pipes, fittings &amp; sheets</t>
  </si>
  <si>
    <t>Professional Services Consultants/Business Consultancy</t>
  </si>
  <si>
    <t>Professional Services Education Consultancy</t>
  </si>
  <si>
    <t>Professional Services Entertainment and media content provider</t>
  </si>
  <si>
    <t>Professional Services Event management services</t>
  </si>
  <si>
    <t>Professional Services Motion Picture production, distribution and exhibition</t>
  </si>
  <si>
    <t>Professional Services Public Relations</t>
  </si>
  <si>
    <t>Professional Services Real estate infrastructure services</t>
  </si>
  <si>
    <t>Professional Services Technical consultancy and engineering services</t>
  </si>
  <si>
    <t>Professional Services Placement &amp; HR consultancy services</t>
  </si>
  <si>
    <t>Radiobroadcasting media Radiobroadcasting media</t>
  </si>
  <si>
    <t>Retail trading Departmental stores</t>
  </si>
  <si>
    <t>Road Transport Infrastructure services Toll revenue</t>
  </si>
  <si>
    <t>Road Transport Infrastructure services Other motor transport services</t>
  </si>
  <si>
    <t>Rubber Rubber &amp; rubber products</t>
  </si>
  <si>
    <t>Services Renting Services</t>
  </si>
  <si>
    <t>Services - Communication Communication equipment (other than mobile phone wholesaler, retailer)</t>
  </si>
  <si>
    <t>Services - Communication Internet Services</t>
  </si>
  <si>
    <t>Services - Communication Other communication services (wireless services, fax services, paper services, other telephone services, other communication services)</t>
  </si>
  <si>
    <t>Software ITES/ Call Centers</t>
  </si>
  <si>
    <t>Specially Footwear</t>
  </si>
  <si>
    <t>Specially Books, Office Suppliers &amp; Stationery</t>
  </si>
  <si>
    <t>Specially Clock &amp; watches</t>
  </si>
  <si>
    <t>Specially Hobby, Toys &amp; Games</t>
  </si>
  <si>
    <t>Specially Home Furniture &amp; Finishing</t>
  </si>
  <si>
    <t>Specially Luggage &amp; Leather Goods</t>
  </si>
  <si>
    <t>Specially Opticians &amp; Optical instruments</t>
  </si>
  <si>
    <t>Specially Pens and Pencils</t>
  </si>
  <si>
    <t>Specially Sports Goods</t>
  </si>
  <si>
    <t>Specially Wood and wood products / Sports goods</t>
  </si>
  <si>
    <t>Telecommunication services Cellular phone infrastructure</t>
  </si>
  <si>
    <t>Television broadcasting media Television broadcasting media</t>
  </si>
  <si>
    <t>Textiles Blankets &amp; Carpets</t>
  </si>
  <si>
    <t>Textiles Blended yarn</t>
  </si>
  <si>
    <t>Textiles Jute</t>
  </si>
  <si>
    <t>Textiles Readymade Garments</t>
  </si>
  <si>
    <t>Textiles Textiles - Cotton</t>
  </si>
  <si>
    <t>Textiles Textiles - Silk</t>
  </si>
  <si>
    <t>Textiles Textiles - Synthetic</t>
  </si>
  <si>
    <t>Textiles Textiles - Specialized (Other than Cotton, Jute &amp; Yarn, Silk and Synthetic)</t>
  </si>
  <si>
    <t>Textiles Woolen Textiles</t>
  </si>
  <si>
    <t>Transportation Logistics Cargo (Cargo Handling air &amp; water)</t>
  </si>
  <si>
    <t>Transportation Logistics Courier</t>
  </si>
  <si>
    <t>Transportation Logistics Goods Transport Services (Road)</t>
  </si>
  <si>
    <t>Transportation Logistics Passenger Transport Services (Road)</t>
  </si>
  <si>
    <t>Transportation Logistics Storage &amp; Warehousing</t>
  </si>
  <si>
    <t>Transportation Logistics Portal</t>
  </si>
  <si>
    <t>Construction Construction (Residential)</t>
  </si>
  <si>
    <t>Turnover Multiplier</t>
  </si>
  <si>
    <t>Income from House Property/Rental Income</t>
  </si>
  <si>
    <t>Income from other sources</t>
  </si>
  <si>
    <t>Interest from FDs/dividend from other investments</t>
  </si>
  <si>
    <t>Industrial</t>
  </si>
  <si>
    <t>Construction Construction (Industrial)</t>
  </si>
  <si>
    <t>Customer Type</t>
  </si>
  <si>
    <t>Doctor</t>
  </si>
  <si>
    <t>X-11</t>
  </si>
  <si>
    <t>X-10</t>
  </si>
  <si>
    <t>X-9</t>
  </si>
  <si>
    <t>X-8</t>
  </si>
  <si>
    <t>X-7</t>
  </si>
  <si>
    <t>X-6</t>
  </si>
  <si>
    <t>X-5</t>
  </si>
  <si>
    <t>X-4</t>
  </si>
  <si>
    <t>X-3</t>
  </si>
  <si>
    <t>X-2</t>
  </si>
  <si>
    <t>X-1</t>
  </si>
  <si>
    <t>X</t>
  </si>
  <si>
    <t>Margin</t>
  </si>
  <si>
    <t>Borrower #1</t>
  </si>
  <si>
    <t>Name of Customer</t>
  </si>
  <si>
    <t>Date of Birth</t>
  </si>
  <si>
    <t>Current Age</t>
  </si>
  <si>
    <t>Date of Application</t>
  </si>
  <si>
    <t>Maturity Age</t>
  </si>
  <si>
    <t>CIBIL</t>
  </si>
  <si>
    <t>HEADS</t>
  </si>
  <si>
    <t>FIELDS</t>
  </si>
  <si>
    <t>VALUES</t>
  </si>
  <si>
    <t>CIBIL Date</t>
  </si>
  <si>
    <t>Credit Score</t>
  </si>
  <si>
    <t>Trans Union</t>
  </si>
  <si>
    <t>PL</t>
  </si>
  <si>
    <t>Enquiries</t>
  </si>
  <si>
    <t>PL/BL Enquiries in last 2 Months</t>
  </si>
  <si>
    <t>Borrower #2</t>
  </si>
  <si>
    <t>Borrower #4</t>
  </si>
  <si>
    <t>Borrower #5</t>
  </si>
  <si>
    <t>Borrower #3</t>
  </si>
  <si>
    <t>Basic Detail</t>
  </si>
  <si>
    <t>Income Multiplier</t>
  </si>
  <si>
    <t>DSCR</t>
  </si>
  <si>
    <t>₹ 5L to ₹ 100L</t>
  </si>
  <si>
    <t>Gross Margin</t>
  </si>
  <si>
    <t>Projected Turnover</t>
  </si>
  <si>
    <t>₹ 10L to ₹ 100L</t>
  </si>
  <si>
    <t>Repayment Surrogate</t>
  </si>
  <si>
    <t>₹ 5L to ₹ 30L</t>
  </si>
  <si>
    <t>₹ 5L to ₹ 50L</t>
  </si>
  <si>
    <t>Gross Receipt</t>
  </si>
  <si>
    <t>ITR Program</t>
  </si>
  <si>
    <t>Proposed EMI</t>
  </si>
  <si>
    <t>ABB</t>
  </si>
  <si>
    <t>BTO</t>
  </si>
  <si>
    <t>Eligibility under different programs</t>
  </si>
  <si>
    <t>Loan Amount Range</t>
  </si>
  <si>
    <t>Average Banking Program</t>
  </si>
  <si>
    <t>Bank Account #1</t>
  </si>
  <si>
    <t>Period</t>
  </si>
  <si>
    <t>Jun to Aug</t>
  </si>
  <si>
    <t>Month</t>
  </si>
  <si>
    <t>Balance / Utilization on date</t>
  </si>
  <si>
    <t>Average</t>
  </si>
  <si>
    <t>Inflows ( Credit)</t>
  </si>
  <si>
    <t>Outflows ( Debit)</t>
  </si>
  <si>
    <t>Net Flow</t>
  </si>
  <si>
    <t>I/W Return</t>
  </si>
  <si>
    <t>O/W Return</t>
  </si>
  <si>
    <t>Credit Entries</t>
  </si>
  <si>
    <t>Debit Entries</t>
  </si>
  <si>
    <t>Jun</t>
  </si>
  <si>
    <t>Jul</t>
  </si>
  <si>
    <t>Aug</t>
  </si>
  <si>
    <t xml:space="preserve">Total </t>
  </si>
  <si>
    <t>Unutilized Limit (CC/OD)</t>
  </si>
  <si>
    <t>O/w Return Ratio</t>
  </si>
  <si>
    <t>I/w Return Ratio</t>
  </si>
  <si>
    <t>Bank Account #2</t>
  </si>
  <si>
    <t>Bank Account #3</t>
  </si>
  <si>
    <t>Bank Account #4</t>
  </si>
  <si>
    <t>Bank Account #5</t>
  </si>
  <si>
    <t>Mar</t>
  </si>
  <si>
    <t>Apr</t>
  </si>
  <si>
    <t>May</t>
  </si>
  <si>
    <t>Mar to Aug</t>
  </si>
  <si>
    <t>Total Average Receipt</t>
  </si>
  <si>
    <r>
      <t xml:space="preserve">Average Credit / Proposed EMI </t>
    </r>
    <r>
      <rPr>
        <b/>
        <sz val="11"/>
        <color rgb="FFFF0000"/>
        <rFont val="Times New Roman"/>
        <family val="1"/>
      </rPr>
      <t>(Minimum 5)</t>
    </r>
  </si>
  <si>
    <t>Maximum EMI</t>
  </si>
  <si>
    <t>Maximum Loan Amount</t>
  </si>
  <si>
    <t>EMI of running Loan</t>
  </si>
  <si>
    <t>Final Loan Amount</t>
  </si>
  <si>
    <t>Loan Details</t>
  </si>
  <si>
    <t>Banking</t>
  </si>
  <si>
    <t>Turnover Details</t>
  </si>
  <si>
    <t>Receipt Details</t>
  </si>
  <si>
    <t>Sr. No.</t>
  </si>
  <si>
    <t>Financer</t>
  </si>
  <si>
    <t>Loan Type</t>
  </si>
  <si>
    <t>Date of Sanction</t>
  </si>
  <si>
    <t>Tenor</t>
  </si>
  <si>
    <t>EMI Served</t>
  </si>
  <si>
    <t>Balace EMI</t>
  </si>
  <si>
    <t>Remark</t>
  </si>
  <si>
    <t>Jan</t>
  </si>
  <si>
    <t>Jan to Mar</t>
  </si>
  <si>
    <t>Feb</t>
  </si>
  <si>
    <t>Feb to Apr</t>
  </si>
  <si>
    <t>Mar to May</t>
  </si>
  <si>
    <t>Apr to June</t>
  </si>
  <si>
    <t>May to July</t>
  </si>
  <si>
    <t>Jul to Sep</t>
  </si>
  <si>
    <t>Aug to Oct</t>
  </si>
  <si>
    <t>Sep</t>
  </si>
  <si>
    <t>Sep to Nov</t>
  </si>
  <si>
    <t>Oct</t>
  </si>
  <si>
    <t>Oct to Dec</t>
  </si>
  <si>
    <t>Nov</t>
  </si>
  <si>
    <t>Nov to Jan</t>
  </si>
  <si>
    <t>Dec</t>
  </si>
  <si>
    <t>Dec to Feb</t>
  </si>
  <si>
    <t>Total Banking Receipt</t>
  </si>
  <si>
    <t>Turnover as per Financials</t>
  </si>
  <si>
    <t>Cheque returns</t>
  </si>
  <si>
    <t>Inward</t>
  </si>
  <si>
    <t>No of cheques</t>
  </si>
  <si>
    <t>%</t>
  </si>
  <si>
    <t>Outward</t>
  </si>
  <si>
    <t>Annualy</t>
  </si>
  <si>
    <t>Turnover Based Income Details</t>
  </si>
  <si>
    <t>ProjectedTurnover</t>
  </si>
  <si>
    <t>EBITDA</t>
  </si>
  <si>
    <t>Heads</t>
  </si>
  <si>
    <t>Monthly Imputed Income</t>
  </si>
  <si>
    <t>EMI on requested Loan Amount</t>
  </si>
  <si>
    <t>Proposed EMI on Applied Amount</t>
  </si>
  <si>
    <t>Jan to Jun</t>
  </si>
  <si>
    <t>Feb to Jul</t>
  </si>
  <si>
    <t>Apr to Sep</t>
  </si>
  <si>
    <t>May to Oct</t>
  </si>
  <si>
    <t>Jun to Nov</t>
  </si>
  <si>
    <t>Jul to Dec</t>
  </si>
  <si>
    <t>Aug to Jan</t>
  </si>
  <si>
    <t>Sep to Feb</t>
  </si>
  <si>
    <t>Oct to Mar</t>
  </si>
  <si>
    <t>Nov to Apr</t>
  </si>
  <si>
    <t>Dec to May</t>
  </si>
  <si>
    <t>Source</t>
  </si>
  <si>
    <t>ABB / EMI</t>
  </si>
  <si>
    <t>Loan Parameters</t>
  </si>
  <si>
    <t>Monthly Obligation</t>
  </si>
  <si>
    <t xml:space="preserve">Gross Turnover </t>
  </si>
  <si>
    <t>Important Link / Checks</t>
  </si>
  <si>
    <t>InstaFinancials</t>
  </si>
  <si>
    <t>Zauba</t>
  </si>
  <si>
    <t>Ministry of Corporate Affairs</t>
  </si>
  <si>
    <t>Profit &amp; Loss Account</t>
  </si>
  <si>
    <t>% Growth</t>
  </si>
  <si>
    <t>Audited</t>
  </si>
  <si>
    <t>Operating Income</t>
  </si>
  <si>
    <t>Gross Sales/Receipts</t>
  </si>
  <si>
    <t>Excise Duty/ Sales Tax, Other Indirect tax</t>
  </si>
  <si>
    <t>Net Sales</t>
  </si>
  <si>
    <t>Other Income (incidental to Business/Business income)</t>
  </si>
  <si>
    <t>Total Operating Income</t>
  </si>
  <si>
    <t>Cost of Goods Sold :</t>
  </si>
  <si>
    <t>Purchases</t>
  </si>
  <si>
    <t xml:space="preserve">Direct Expenses </t>
  </si>
  <si>
    <t>Total Cost of Goods Sold</t>
  </si>
  <si>
    <t>Indirect Expenses :</t>
  </si>
  <si>
    <t>Selling, General &amp; Admin Expenses</t>
  </si>
  <si>
    <t>Miscellaneous / Deferred Revenue Expenses written off</t>
  </si>
  <si>
    <t>Total Indirect Expenses</t>
  </si>
  <si>
    <t>OPBDIT</t>
  </si>
  <si>
    <t>Depreciation and amortisation</t>
  </si>
  <si>
    <t>OPBIT</t>
  </si>
  <si>
    <t>Interest and finance charges</t>
  </si>
  <si>
    <t>OPBT</t>
  </si>
  <si>
    <t>Non Operating Income</t>
  </si>
  <si>
    <t>Non Operating Expenses</t>
  </si>
  <si>
    <t>Profit Before Tax</t>
  </si>
  <si>
    <t xml:space="preserve">Tax </t>
  </si>
  <si>
    <t>PAT</t>
  </si>
  <si>
    <t>Cash Profits</t>
  </si>
  <si>
    <t>Dividend (Inclusive of dividend Tax)</t>
  </si>
  <si>
    <t>Salary to Partner/Director</t>
  </si>
  <si>
    <t>Interest Expenses paid to partners/director</t>
  </si>
  <si>
    <t>Transfer to Reserves</t>
  </si>
  <si>
    <t>Retained Profit</t>
  </si>
  <si>
    <t>General Reserve, Share Premium Reserve and Other reserves</t>
  </si>
  <si>
    <t>Net worth</t>
  </si>
  <si>
    <t>Revaluation Reserve</t>
  </si>
  <si>
    <t>Net Intangibles (Goodwill / Patents / Trademark)</t>
  </si>
  <si>
    <t>Miscellaneous / Deferred Revenue Expenses not written off</t>
  </si>
  <si>
    <t>Tangible Networth</t>
  </si>
  <si>
    <t>Borrowings from affiliates &amp; Associates</t>
  </si>
  <si>
    <t>Long Term Borrowings from Banks &amp; NBFCs - Payable within 1 yr</t>
  </si>
  <si>
    <t>Long Term Borrowings from Banks &amp; NBFCs - Payable beyond 1 yr</t>
  </si>
  <si>
    <t>Other Long term borrowings</t>
  </si>
  <si>
    <t>Total Long Term Debt</t>
  </si>
  <si>
    <t xml:space="preserve"> Short Term Borrowings from Affiliates &amp; Associates</t>
  </si>
  <si>
    <t>Creditors and Bills Payable</t>
  </si>
  <si>
    <t>Working Capital Limit from Banks</t>
  </si>
  <si>
    <t>Provision for Taxation</t>
  </si>
  <si>
    <t>Other Short Term Borrowings</t>
  </si>
  <si>
    <t>Total Current Liabilities</t>
  </si>
  <si>
    <t>Total Liabilities to Outsiders</t>
  </si>
  <si>
    <t>Gross Block of Fixed Assets</t>
  </si>
  <si>
    <t>Less: Depreciation</t>
  </si>
  <si>
    <t>Net Block of Fixed Assets</t>
  </si>
  <si>
    <t>Capital Work In Progress</t>
  </si>
  <si>
    <t>Miscellaneous/Deferred Revenue Expenditure not Written off</t>
  </si>
  <si>
    <t>Investments</t>
  </si>
  <si>
    <t>Current Assets:</t>
  </si>
  <si>
    <t>Deferred Tax Asset</t>
  </si>
  <si>
    <t>Inventories</t>
  </si>
  <si>
    <t>Receivables / Debtors</t>
  </si>
  <si>
    <t xml:space="preserve"> Debtors &gt; 6 months</t>
  </si>
  <si>
    <t xml:space="preserve"> Debtors &lt; 6 months</t>
  </si>
  <si>
    <t>Cash and Bank</t>
  </si>
  <si>
    <t>Loans &amp; Advances</t>
  </si>
  <si>
    <t>Loans &amp; Advances given to directors/partners etc</t>
  </si>
  <si>
    <t>Loans and Advances given to others</t>
  </si>
  <si>
    <t>TOL/TNW</t>
  </si>
  <si>
    <t>ROCE(%)</t>
  </si>
  <si>
    <t>EBIDTA / Net Sales(%)</t>
  </si>
  <si>
    <t>Asset Turnover Ratio</t>
  </si>
  <si>
    <t>Creditors Turnover (Days)</t>
  </si>
  <si>
    <t>Net Working Capital</t>
  </si>
  <si>
    <t>Avg  Collection Period / Avg Debtor days</t>
  </si>
  <si>
    <t>Average Days in Inventory</t>
  </si>
  <si>
    <t>Inventory to Cost of Goods Sold</t>
  </si>
  <si>
    <t>Current Ratio</t>
  </si>
  <si>
    <t>Liquidity Ratio</t>
  </si>
  <si>
    <t>Gross Profit Margin Ratio (%)</t>
  </si>
  <si>
    <t>Net Profit Margin Ratio (%)</t>
  </si>
  <si>
    <t>Cash Profit Ratio (%)</t>
  </si>
  <si>
    <t>Growth in Sales (%)</t>
  </si>
  <si>
    <t>Growth in PAT (%)</t>
  </si>
  <si>
    <t>Cash Accruals</t>
  </si>
  <si>
    <t>Net Profit After Tax</t>
  </si>
  <si>
    <t>Misc expenses written off/non cash expenses</t>
  </si>
  <si>
    <t>Salary paid to promoter/partners</t>
  </si>
  <si>
    <t>Interest paid to promoters</t>
  </si>
  <si>
    <t>Provision for tax</t>
  </si>
  <si>
    <t>Interest</t>
  </si>
  <si>
    <t>Trade and other receivables</t>
  </si>
  <si>
    <t>Other current liabilities</t>
  </si>
  <si>
    <t>Cash Generated from operations</t>
  </si>
  <si>
    <t>Less: Taxes paid</t>
  </si>
  <si>
    <t>Net Cash from Operations</t>
  </si>
  <si>
    <t>Groos Profit Based Income Details</t>
  </si>
  <si>
    <t>Limit (CC/OD)</t>
  </si>
  <si>
    <t>Observation Sheet</t>
  </si>
  <si>
    <t>No of entries</t>
  </si>
  <si>
    <t>Share Holding Pattern</t>
  </si>
  <si>
    <t>Part of Loan Structure</t>
  </si>
  <si>
    <t>TOTAL</t>
  </si>
  <si>
    <t>Inward (Debit)</t>
  </si>
  <si>
    <t>Outward (Credit)</t>
  </si>
  <si>
    <t>A/C Number</t>
  </si>
  <si>
    <t>A/C name / Type</t>
  </si>
  <si>
    <t>Bank Name</t>
  </si>
  <si>
    <t>Personal Loan</t>
  </si>
  <si>
    <t>Business Loan</t>
  </si>
  <si>
    <t>Auto Loan</t>
  </si>
  <si>
    <t>Home Loan</t>
  </si>
  <si>
    <t>Consumer Loan</t>
  </si>
  <si>
    <t>Gold Loan</t>
  </si>
  <si>
    <t>Two-Wheeler Loan</t>
  </si>
  <si>
    <t>LAP</t>
  </si>
  <si>
    <t>Commercial Vehicle Loan</t>
  </si>
  <si>
    <t>Construction Equipment Loan</t>
  </si>
  <si>
    <t>Term Loan</t>
  </si>
  <si>
    <t>Overdraft</t>
  </si>
  <si>
    <t>Cash Credit</t>
  </si>
  <si>
    <t>Other</t>
  </si>
  <si>
    <t>Number of EMI's Under Structure 1</t>
  </si>
  <si>
    <t>EMI under Structure 1</t>
  </si>
  <si>
    <t>Number of EMI's Under Structure 2</t>
  </si>
  <si>
    <t>EMI under Structure 2</t>
  </si>
  <si>
    <t>Number of EMI's Under Structure 3</t>
  </si>
  <si>
    <t>EMI under Structure 3</t>
  </si>
  <si>
    <t>Number of EMI's Under Structure 4</t>
  </si>
  <si>
    <t>EMI under Structure 4</t>
  </si>
  <si>
    <t>Number of EMI's Under Structure 5</t>
  </si>
  <si>
    <t>EMI under Structure 5</t>
  </si>
  <si>
    <t>Number of EMI's Paid</t>
  </si>
  <si>
    <r>
      <t>Regular EMI</t>
    </r>
    <r>
      <rPr>
        <b/>
        <sz val="12"/>
        <color rgb="FFFF0000"/>
        <rFont val="Times New Roman"/>
        <family val="1"/>
      </rPr>
      <t xml:space="preserve"> (9-36)</t>
    </r>
  </si>
  <si>
    <r>
      <t>Structured EMI</t>
    </r>
    <r>
      <rPr>
        <b/>
        <sz val="12"/>
        <color rgb="FFFF0000"/>
        <rFont val="Times New Roman"/>
        <family val="1"/>
      </rPr>
      <t xml:space="preserve"> (9-36)</t>
    </r>
  </si>
  <si>
    <t>Change %</t>
  </si>
  <si>
    <t>CRISIL Rating</t>
  </si>
  <si>
    <t>Watchout Investor</t>
  </si>
  <si>
    <t>R-system</t>
  </si>
  <si>
    <t>Whois Domain Check</t>
  </si>
  <si>
    <t>Email Checker</t>
  </si>
  <si>
    <t>Enter Details for latest two years</t>
  </si>
  <si>
    <t>LAN Number</t>
  </si>
  <si>
    <t>Paid From</t>
  </si>
  <si>
    <t>March</t>
  </si>
  <si>
    <t>April</t>
  </si>
  <si>
    <t>June</t>
  </si>
  <si>
    <t>July</t>
  </si>
  <si>
    <t>August</t>
  </si>
  <si>
    <t>September</t>
  </si>
  <si>
    <t>October</t>
  </si>
  <si>
    <t>November</t>
  </si>
  <si>
    <t>December</t>
  </si>
  <si>
    <t>January</t>
  </si>
  <si>
    <t>February</t>
  </si>
  <si>
    <t>Quarterly</t>
  </si>
  <si>
    <t>Apr-Jun</t>
  </si>
  <si>
    <t>Jul-Sep</t>
  </si>
  <si>
    <t>Oct-Dec</t>
  </si>
  <si>
    <t>Half yearly</t>
  </si>
  <si>
    <t>Apr-Sep</t>
  </si>
  <si>
    <t>Oct-Mar</t>
  </si>
  <si>
    <t>DEVIATIONS</t>
  </si>
  <si>
    <t>Bank Account #6</t>
  </si>
  <si>
    <t>Bank Account #7</t>
  </si>
  <si>
    <t>Bank Account #8</t>
  </si>
  <si>
    <t>Bank Account #9</t>
  </si>
  <si>
    <t>Bank Account #10</t>
  </si>
  <si>
    <t>Bank Account #11</t>
  </si>
  <si>
    <t>Bank Account #12</t>
  </si>
  <si>
    <t>Bank Account #13</t>
  </si>
  <si>
    <t>Bank Account #14</t>
  </si>
  <si>
    <t>Bank Account #15</t>
  </si>
  <si>
    <t>Bank Account #16</t>
  </si>
  <si>
    <t>Bank Account #17</t>
  </si>
  <si>
    <t>Bank Account #18</t>
  </si>
  <si>
    <t>Bank Account #19</t>
  </si>
  <si>
    <t>Bank Account #20</t>
  </si>
  <si>
    <t>No. of cheques</t>
  </si>
  <si>
    <t>Date of Incorporation</t>
  </si>
  <si>
    <t>Name of Firm / Company</t>
  </si>
  <si>
    <t>Vintage</t>
  </si>
  <si>
    <t>Firm / Company Type</t>
  </si>
  <si>
    <t>Borrower #6</t>
  </si>
  <si>
    <t>Borrower #7</t>
  </si>
  <si>
    <t>Borrower #8</t>
  </si>
  <si>
    <t>Borrower #9</t>
  </si>
  <si>
    <t>EMI Type</t>
  </si>
  <si>
    <t>Jan-Mar</t>
  </si>
  <si>
    <t>Eligiblity</t>
  </si>
  <si>
    <r>
      <t xml:space="preserve">FOIR </t>
    </r>
    <r>
      <rPr>
        <b/>
        <sz val="11"/>
        <color rgb="FFFF0000"/>
        <rFont val="Times New Roman"/>
        <family val="1"/>
      </rPr>
      <t>(Max 75%)</t>
    </r>
  </si>
  <si>
    <t>Proposed Obligation</t>
  </si>
  <si>
    <t>Total Other Income</t>
  </si>
  <si>
    <t>Eligible Monthly Income</t>
  </si>
  <si>
    <t>Gross Receipts (Current year)</t>
  </si>
  <si>
    <t>Income as per ITR</t>
  </si>
  <si>
    <t>Yearly</t>
  </si>
  <si>
    <t>Monthly T/O</t>
  </si>
  <si>
    <t>Turnover Track as per VAT / Service Tax Return</t>
  </si>
  <si>
    <t>Regular</t>
  </si>
  <si>
    <t>Equity Share Capital</t>
  </si>
  <si>
    <t>Long Term Debt</t>
  </si>
  <si>
    <t>Current Liabilities and Provisions</t>
  </si>
  <si>
    <t>Balance Sheet (Equity and Liability)</t>
  </si>
  <si>
    <t>Balance Sheet Total (Equity and Liability)</t>
  </si>
  <si>
    <t>Balance Sheet (Asset)</t>
  </si>
  <si>
    <t>Balance Sheet Total (Asset)</t>
  </si>
  <si>
    <t>Ratios</t>
  </si>
  <si>
    <t>Profit and Loss Account (Amount in ₹ Lacs)</t>
  </si>
  <si>
    <t>Balance Sheet (Amount in ₹ Lacs)</t>
  </si>
  <si>
    <t>Ratios and Cycles</t>
  </si>
  <si>
    <t>Cash Flow Statement</t>
  </si>
  <si>
    <t>Add</t>
  </si>
  <si>
    <t>Less</t>
  </si>
  <si>
    <t>Other income (non business income)</t>
  </si>
  <si>
    <t>Operating Cash Profit/Loss before working capital changes</t>
  </si>
  <si>
    <t>Working Capital Changes</t>
  </si>
  <si>
    <t>Name of Financial Institute</t>
  </si>
  <si>
    <t>Type of Loan</t>
  </si>
  <si>
    <t>Account #1</t>
  </si>
  <si>
    <t>Account #2</t>
  </si>
  <si>
    <t>Account #3</t>
  </si>
  <si>
    <t>Account #4</t>
  </si>
  <si>
    <t>Account #5</t>
  </si>
  <si>
    <t>Account #6</t>
  </si>
  <si>
    <t>Account #7</t>
  </si>
  <si>
    <t>Account #8</t>
  </si>
  <si>
    <t>Account #9</t>
  </si>
  <si>
    <t>Account #10</t>
  </si>
  <si>
    <t>Account #11</t>
  </si>
  <si>
    <t>Account #12</t>
  </si>
  <si>
    <t>Account #13</t>
  </si>
  <si>
    <t>Account #14</t>
  </si>
  <si>
    <t>Account #15</t>
  </si>
  <si>
    <t>Account #16</t>
  </si>
  <si>
    <t>Account #17</t>
  </si>
  <si>
    <t>Consolidated Banking Cashflow</t>
  </si>
  <si>
    <t>Ownership</t>
  </si>
  <si>
    <t>ITR filing Dates</t>
  </si>
  <si>
    <t>Recent Year</t>
  </si>
  <si>
    <t>Residence Norm</t>
  </si>
  <si>
    <t>Office Contact</t>
  </si>
  <si>
    <t>Residence Contact</t>
  </si>
  <si>
    <t>Existing Borrower Top-up</t>
  </si>
  <si>
    <t>Existing Loan Details</t>
  </si>
  <si>
    <t>EMI Amount</t>
  </si>
  <si>
    <t>Amount paid</t>
  </si>
  <si>
    <t>No. of EMI paid (Min. 9)</t>
  </si>
  <si>
    <t>EMI Multiplier</t>
  </si>
  <si>
    <t>Eligibility</t>
  </si>
  <si>
    <t>Max EMI</t>
  </si>
  <si>
    <t>Max. Loan Amount</t>
  </si>
  <si>
    <t>As per product</t>
  </si>
  <si>
    <t>Company / Firm Detail</t>
  </si>
  <si>
    <t>Banking Trend for the Year</t>
  </si>
  <si>
    <t>Other Current Assets:</t>
  </si>
  <si>
    <t>Other current Asset 1…..</t>
  </si>
  <si>
    <t>Other current Asset 3…..</t>
  </si>
  <si>
    <t>Other current Asset 2…..</t>
  </si>
  <si>
    <t>Other current Liability 1…..</t>
  </si>
  <si>
    <t>Other current Liability 2…..</t>
  </si>
  <si>
    <t>Other current Liability 3…..</t>
  </si>
  <si>
    <t>Account Number</t>
  </si>
  <si>
    <t>-</t>
  </si>
  <si>
    <t>Income post obligation</t>
  </si>
  <si>
    <t>POS</t>
  </si>
  <si>
    <t>Monthly Purchase Plotting</t>
  </si>
  <si>
    <t>Sales and Debtor figures collected for</t>
  </si>
  <si>
    <t>Purchase and Creditor figures collected for</t>
  </si>
  <si>
    <t>Creditor days</t>
  </si>
  <si>
    <t>Debtor days</t>
  </si>
  <si>
    <t>Till date Creditor</t>
  </si>
  <si>
    <t>Till date Debtor</t>
  </si>
  <si>
    <t>Till date Working Capital calculation</t>
  </si>
  <si>
    <t>From Date</t>
  </si>
  <si>
    <t>To Date</t>
  </si>
  <si>
    <t>Days</t>
  </si>
  <si>
    <t>Particulars</t>
  </si>
  <si>
    <t>indiankanoon</t>
  </si>
  <si>
    <t>Probe42</t>
  </si>
  <si>
    <t>MSME or not</t>
  </si>
  <si>
    <t>Categorization: Micro/Small/Medium</t>
  </si>
  <si>
    <t>GSTIN</t>
  </si>
  <si>
    <t>Turnover</t>
  </si>
  <si>
    <t>Gross Block of Plant &amp; Machinery - Value</t>
  </si>
  <si>
    <t>Aggregate exposure, including non-fund based facilities, of banks and NBFCs to the borrower does not exceed ₹ 250 million as on May 31, 2018</t>
  </si>
  <si>
    <t>Medium - Trader</t>
  </si>
  <si>
    <t>Micro - Manufacturing</t>
  </si>
  <si>
    <t>Small - Manufacturing</t>
  </si>
  <si>
    <t>Medium - Manufacturing</t>
  </si>
  <si>
    <t>Micro - Service</t>
  </si>
  <si>
    <t>Small - Service</t>
  </si>
  <si>
    <t>Medium - Service</t>
  </si>
  <si>
    <t>Micro - Trader</t>
  </si>
  <si>
    <t>Small - Trader</t>
  </si>
  <si>
    <t>Financial Year</t>
  </si>
  <si>
    <t>Sr no</t>
  </si>
  <si>
    <t>Name of the co-applicant</t>
  </si>
  <si>
    <t>Role</t>
  </si>
  <si>
    <t>Shareholding</t>
  </si>
  <si>
    <t>Beneficial owner</t>
  </si>
  <si>
    <t>TU score</t>
  </si>
  <si>
    <t>PL score</t>
  </si>
  <si>
    <t>KYC documented</t>
  </si>
  <si>
    <t>Number of Shares</t>
  </si>
  <si>
    <t>GST Turnover Surrogate</t>
  </si>
  <si>
    <t>GST / Monthly Sales Plotting</t>
  </si>
  <si>
    <t>Enterprises</t>
  </si>
  <si>
    <t>MICRO</t>
  </si>
  <si>
    <t>=&lt; Rs. 25 Lacs</t>
  </si>
  <si>
    <t>=&lt; Rs. 10 Lacs</t>
  </si>
  <si>
    <t>SMALL</t>
  </si>
  <si>
    <t>&gt; Rs. 25 Lacs but =&lt; 5 Cr.</t>
  </si>
  <si>
    <t>&gt; Rs. 10 Lacs but =&lt; 2 Cr.</t>
  </si>
  <si>
    <t>MEDIUM</t>
  </si>
  <si>
    <t>&gt; Rs. 5 Cr. but =&lt; 10 Cr.</t>
  </si>
  <si>
    <t>&gt; Rs. 2 Cr. but =&lt; 5 Cr.</t>
  </si>
  <si>
    <t>Investment in Plant and Machinery – Manufacturing Sector</t>
  </si>
  <si>
    <t>Investment in Equipment – Services Sector</t>
  </si>
  <si>
    <t>Guide for updating</t>
  </si>
  <si>
    <t>Type</t>
  </si>
  <si>
    <t>Other Professional</t>
  </si>
  <si>
    <t>Hospitals and Nursing Homes</t>
  </si>
  <si>
    <t>Check</t>
  </si>
  <si>
    <t>ABB / EMI (min.2) for Unaudited program</t>
  </si>
  <si>
    <t>Provisional</t>
  </si>
  <si>
    <t>Profile</t>
  </si>
  <si>
    <t>Dentist</t>
  </si>
  <si>
    <t>Multipllier</t>
  </si>
  <si>
    <t>Definition :</t>
  </si>
  <si>
    <r>
      <t>MSME</t>
    </r>
    <r>
      <rPr>
        <sz val="11"/>
        <color rgb="FF222222"/>
        <rFont val="Calibri"/>
        <family val="2"/>
        <scheme val="minor"/>
      </rPr>
      <t> stands for Micro, Small, and Medium Enterprises. In accordance with the Micro, Small, and Medium Enterprises Development (MSMED) Act in 2006,</t>
    </r>
    <r>
      <rPr>
        <b/>
        <sz val="11"/>
        <color rgb="FF222222"/>
        <rFont val="Calibri"/>
        <family val="2"/>
        <scheme val="minor"/>
      </rPr>
      <t xml:space="preserve"> the enterprises are classified into two divisions. Manufacturing enterprises – engaged in the manufacturing or production of goods in any industry</t>
    </r>
  </si>
  <si>
    <t>MSMEs will be defined on the basis of ‘annual turnover and investment'</t>
  </si>
  <si>
    <t xml:space="preserve">Categorization:drop downs - Micro/Small/Medium </t>
  </si>
  <si>
    <t>Turnover (in crs)</t>
  </si>
  <si>
    <t>Investment (in crs)</t>
  </si>
  <si>
    <t>Applicable - MSE Retail Trade under the ambit of CGTMSE shall be applicable to fresh credit facilities sanctioned by MLIs on or after April 01, 2018 and facilities eligible for guarantee coverage by MLIs on or after February 28, 2018 and refer below exposure</t>
  </si>
  <si>
    <t>CGTMSE - Scheme</t>
  </si>
  <si>
    <t>Composite criteria: Investment and Annual turnover</t>
  </si>
  <si>
    <t>Classification</t>
  </si>
  <si>
    <t>Micro</t>
  </si>
  <si>
    <t>Small</t>
  </si>
  <si>
    <t>Medium</t>
  </si>
  <si>
    <t>Manufacturing &amp; Services</t>
  </si>
  <si>
    <t>Investment &lt;1 cr and Turnover &lt; 5 crs</t>
  </si>
  <si>
    <t>Investment &lt;10 cr and Turnover &lt; 50 crs</t>
  </si>
  <si>
    <t>Investment &lt; 20 cr and Turnover &lt; 100crs</t>
  </si>
  <si>
    <t>Applicability *</t>
  </si>
  <si>
    <t xml:space="preserve">Coverage of Retail Trade under Credit Guarantee Scheme </t>
  </si>
  <si>
    <t xml:space="preserve">MSE Retail Trade will be an eligible activity under Credit Guarantee Scheme of CGTMSE included under Micro and Small Enterprises (MSE) sector. </t>
  </si>
  <si>
    <t xml:space="preserve">Member Lending Institutions “MLIs” can now cover the credit facility extended by them to MSE Retail Traders under Credit Guarantee Scheme of CGTMSE. </t>
  </si>
  <si>
    <t xml:space="preserve">The features of the Scheme are as under: </t>
  </si>
  <si>
    <r>
      <t>·</t>
    </r>
    <r>
      <rPr>
        <sz val="7"/>
        <color theme="1"/>
        <rFont val="Times New Roman"/>
        <family val="1"/>
      </rPr>
      <t xml:space="preserve">         </t>
    </r>
    <r>
      <rPr>
        <sz val="11"/>
        <color theme="1"/>
        <rFont val="Calibri"/>
        <family val="2"/>
        <scheme val="minor"/>
      </rPr>
      <t>Exposure limit for credit facility of retail trade segment will be from ₹10 lakh to ₹100 lakh per MSE borrower.</t>
    </r>
  </si>
  <si>
    <r>
      <t>·</t>
    </r>
    <r>
      <rPr>
        <sz val="7"/>
        <color theme="1"/>
        <rFont val="Times New Roman"/>
        <family val="1"/>
      </rPr>
      <t xml:space="preserve">         </t>
    </r>
    <r>
      <rPr>
        <sz val="11"/>
        <color theme="1"/>
        <rFont val="Calibri"/>
        <family val="2"/>
        <scheme val="minor"/>
      </rPr>
      <t>Extent of guarantee coverage to such credit facility would be 50% irrespective of the category of the borrower.</t>
    </r>
  </si>
  <si>
    <r>
      <t>·</t>
    </r>
    <r>
      <rPr>
        <sz val="7"/>
        <color theme="1"/>
        <rFont val="Times New Roman"/>
        <family val="1"/>
      </rPr>
      <t xml:space="preserve">         </t>
    </r>
    <r>
      <rPr>
        <sz val="11"/>
        <color theme="1"/>
        <rFont val="Calibri"/>
        <family val="2"/>
        <scheme val="minor"/>
      </rPr>
      <t>Applicable fee i.e. AGF will be charged at the rate of 2% of the guaranteed amount for the first year and on the outstanding amount for the remaining</t>
    </r>
  </si>
  <si>
    <t xml:space="preserve"> tenure of the credit facility. Differential pricing structure depending upon NPA / Claim payout ratio of the MLI will also be applicable on the AGF as per </t>
  </si>
  <si>
    <t>CGTMSE Circular No.107/2015-16 dated January 28, 2016.</t>
  </si>
  <si>
    <t>The above modification of including the MSE Retail Trade under the ambit of CGTMSE shall be applicable to fresh credit facilities sanctioned by MLIs on or</t>
  </si>
  <si>
    <t xml:space="preserve"> after April 01, 2018 and facilities eligible for guarantee coverage by MLIs on or after February 28, 2018. All the other covenants of the  current CGS</t>
  </si>
  <si>
    <t xml:space="preserve"> would apply mutatis mutandis to such credit proposals with regard to eligibility criteria and other operational modalities, etc. as modified from time to time.</t>
  </si>
  <si>
    <t>Classification :</t>
  </si>
  <si>
    <t xml:space="preserve">Micro, Small and Medium Enterprises (MSMEs) are classified into two categories: Manufacturing Enterprises and Service Enterprises. </t>
  </si>
  <si>
    <t>Now MSMEs are defined as per the “annual turnover instead of investment in Plant Machinery.</t>
  </si>
  <si>
    <t>As per MSME Act-2006, The MSMEs are classified into two categories;</t>
  </si>
  <si>
    <t xml:space="preserve">1.       </t>
  </si>
  <si>
    <t>Manufacturing Enterprises:-The enterprises engaged in the manufacture or production of goods (as per Development and Regulation) Act, 1951)</t>
  </si>
  <si>
    <t xml:space="preserve"> or employing plant and machinery in the process of value addition to the final product having a distinct name or character or use.</t>
  </si>
  <si>
    <t>Service Enterprises: -The enterprises engaged in providing or rendering of services and are defined in terms of investment in equipment.</t>
  </si>
  <si>
    <t xml:space="preserve"> In the month of February 2018, the Union Cabinet chaired by the Prime Minister Shri Narendra Modi has approved a change in the definition of the MSMEs.</t>
  </si>
  <si>
    <t>Manufacturing/Services</t>
  </si>
  <si>
    <t>Manufacturing</t>
  </si>
  <si>
    <t>MSME Validation</t>
  </si>
  <si>
    <t xml:space="preserve">·         Exposure limit for credit facility of retail trade segment will be from ₹10 lakh to ₹100 lakh per MSE borrower.
·         Extent of guarantee coverage to such credit facility would be 50% irrespective of the category of the borrower.
·         Applicable fee i.e. AGF </t>
  </si>
  <si>
    <t>1)  fresh credit facilities sanctioned by MLIs on or after April 01, 2018 
2) facilities eligible for guarantee coverage by MLIs on or after February 28, 2018</t>
  </si>
  <si>
    <t>Applicant Details</t>
  </si>
  <si>
    <t>Co-Applicant Details</t>
  </si>
  <si>
    <t>1st Co-Applicant Details</t>
  </si>
  <si>
    <t>2st Co-Applicant Details</t>
  </si>
  <si>
    <t>3st Co-Applicant Details</t>
  </si>
  <si>
    <t>4st Co-Applicant Details</t>
  </si>
  <si>
    <t>Login Date</t>
  </si>
  <si>
    <t>Name</t>
  </si>
  <si>
    <t>Father Name</t>
  </si>
  <si>
    <t>NA</t>
  </si>
  <si>
    <t>Mother Name</t>
  </si>
  <si>
    <t>Application Form No.</t>
  </si>
  <si>
    <t>DOI/DOB</t>
  </si>
  <si>
    <t>Address</t>
  </si>
  <si>
    <t>Address-1</t>
  </si>
  <si>
    <t>Address-2</t>
  </si>
  <si>
    <t>City</t>
  </si>
  <si>
    <t>State</t>
  </si>
  <si>
    <t>Pin Code</t>
  </si>
  <si>
    <t>Landline No.</t>
  </si>
  <si>
    <t>Mobile No.</t>
  </si>
  <si>
    <t>Pan No.</t>
  </si>
  <si>
    <t>Aadhar Card No.</t>
  </si>
  <si>
    <t>CIBIL Score TU</t>
  </si>
  <si>
    <t>CIBIL Score PU</t>
  </si>
  <si>
    <t>Company Type</t>
  </si>
  <si>
    <t>Proprietor</t>
  </si>
  <si>
    <t>Email ID</t>
  </si>
  <si>
    <t>GSTIN NUMBER</t>
  </si>
  <si>
    <t>US ID</t>
  </si>
  <si>
    <t>DSA NAME</t>
  </si>
  <si>
    <t>SALES MANAGER NAME</t>
  </si>
  <si>
    <t xml:space="preserve">Industry Type </t>
  </si>
  <si>
    <t>Profit</t>
  </si>
  <si>
    <t>Growth %</t>
  </si>
  <si>
    <t>Equity Share Capital / Share Application Money</t>
  </si>
  <si>
    <t>Quasi Equity (Promoter Loans not entailing repayment)</t>
  </si>
  <si>
    <t>Deferred Tax Liability- NEW FIELD</t>
  </si>
  <si>
    <t>Other long term Liabilities- NEW FIELD</t>
  </si>
  <si>
    <t>Total Other Non-Current Assets:</t>
  </si>
  <si>
    <t>Loans and Advances given to others/ Deposits with Banks and others-NEW FIELD</t>
  </si>
  <si>
    <t>Other non-current assets- NEW FIELD</t>
  </si>
  <si>
    <t>Difference</t>
  </si>
  <si>
    <t xml:space="preserve">EBIDTA/ Intrest </t>
  </si>
  <si>
    <t>Long term Debt Equity Ratio (With quasi)</t>
  </si>
  <si>
    <t>Long term Debt Equity Ratio (Without quasi)</t>
  </si>
  <si>
    <t>Interest Coverage Ratio (Including Non-operating income expense)</t>
  </si>
  <si>
    <t>Unaudited</t>
  </si>
  <si>
    <t>BL DL Calculator- v3.13</t>
  </si>
  <si>
    <t>Professional</t>
  </si>
  <si>
    <t>Risk categorisation</t>
  </si>
  <si>
    <t>High</t>
  </si>
  <si>
    <t>Low</t>
  </si>
  <si>
    <t>Risk Categorisation</t>
  </si>
  <si>
    <t>₹ 5L to ₹ 50L (Allowed only for low and medium risk industries. High risk not allowed)</t>
  </si>
  <si>
    <t>Consolidated GST / Monthly Sales Plotting</t>
  </si>
  <si>
    <t>FY</t>
  </si>
  <si>
    <t>2020-21</t>
  </si>
  <si>
    <t>Consolidated Monthly Purchase Plotting</t>
  </si>
  <si>
    <t xml:space="preserve">GST / Monthly Sales Plotting </t>
  </si>
  <si>
    <t>GSTIN No</t>
  </si>
  <si>
    <t>2019-20</t>
  </si>
  <si>
    <t>Company Profile</t>
  </si>
  <si>
    <t xml:space="preserve">CIN </t>
  </si>
  <si>
    <t>Company Name</t>
  </si>
  <si>
    <t>ROC Code</t>
  </si>
  <si>
    <t>Registration Number</t>
  </si>
  <si>
    <t>Company Category</t>
  </si>
  <si>
    <t>Company SubCategory</t>
  </si>
  <si>
    <t xml:space="preserve">Class of Company </t>
  </si>
  <si>
    <t>Authorised Capital (Rs)</t>
  </si>
  <si>
    <t>Paid up Capital (Rs)</t>
  </si>
  <si>
    <t>Number of Members(If Co. w/o Share Capital)</t>
  </si>
  <si>
    <t>Vintage:</t>
  </si>
  <si>
    <t xml:space="preserve">Registered Address </t>
  </si>
  <si>
    <t>Address other than R/o where all or any books of account and papers are maintained</t>
  </si>
  <si>
    <t>Email Id</t>
  </si>
  <si>
    <t>Whether Listed or not</t>
  </si>
  <si>
    <t>ACTIVE compliance</t>
  </si>
  <si>
    <t>Suspended at stock exchange</t>
  </si>
  <si>
    <t>Date of last AGM</t>
  </si>
  <si>
    <t>Date of Balance Sheet</t>
  </si>
  <si>
    <t>Company Status(for efiling)</t>
  </si>
  <si>
    <t>Verified on</t>
  </si>
  <si>
    <t>Active Loans</t>
  </si>
  <si>
    <t>Closed Loans</t>
  </si>
  <si>
    <t>Charges Registered</t>
  </si>
  <si>
    <t>Sl. No</t>
  </si>
  <si>
    <t>SRN</t>
  </si>
  <si>
    <t>Charge Id</t>
  </si>
  <si>
    <t>Charge Holder Name</t>
  </si>
  <si>
    <t>Date of Creation</t>
  </si>
  <si>
    <t>Date of Modification</t>
  </si>
  <si>
    <t>Date of Satisfaction</t>
  </si>
  <si>
    <t>Amount</t>
  </si>
  <si>
    <t>Signatory / Director Details</t>
  </si>
  <si>
    <t>DIN</t>
  </si>
  <si>
    <t>Position</t>
  </si>
  <si>
    <t>Registration Date</t>
  </si>
  <si>
    <t>DSC Registered</t>
  </si>
  <si>
    <t>Expiry Date</t>
  </si>
  <si>
    <t>Associated Companies</t>
  </si>
  <si>
    <t>Credit Information Report</t>
  </si>
  <si>
    <t>Applicant</t>
  </si>
  <si>
    <t>Co-Applicant 1</t>
  </si>
  <si>
    <t>Co-Applicant 2</t>
  </si>
  <si>
    <t>Co-Applicant 3</t>
  </si>
  <si>
    <t>Co-Applicant 4</t>
  </si>
  <si>
    <t>Co-Applicant 5</t>
  </si>
  <si>
    <t>Credit Information Company</t>
  </si>
  <si>
    <t>DOB/DOI</t>
  </si>
  <si>
    <t>PAN No</t>
  </si>
  <si>
    <t>No of Loan Accounts</t>
  </si>
  <si>
    <t>No of Active Loans</t>
  </si>
  <si>
    <t>Principal Outstanding (POS) as per Credit Report</t>
  </si>
  <si>
    <t>High Credit as per Credit Report</t>
  </si>
  <si>
    <t>POS to High Credit (%)</t>
  </si>
  <si>
    <t>Wilful Defaulter\Suit Filed</t>
  </si>
  <si>
    <t>SMA\SUB\DBT\LSS accounts</t>
  </si>
  <si>
    <t>No of Enquiries - No of Loans Sanctioned in Last 30 Days</t>
  </si>
  <si>
    <t>No of Enquiries - No of Loans Sanctioned in Last 3 Months</t>
  </si>
  <si>
    <t>No of Enquiries - No of Loans Sanctioned in Last 6 Months</t>
  </si>
  <si>
    <t>No of Enquiries - No of Loans Sanctioned in Last 12 Months</t>
  </si>
  <si>
    <t>No of Enquiries - No of Loans Sanctioned in Last 24 Months</t>
  </si>
  <si>
    <t>Remarks</t>
  </si>
  <si>
    <t>Repayment-Track</t>
  </si>
  <si>
    <t>Loan Type - Ownership</t>
  </si>
  <si>
    <t>Financier/Source</t>
  </si>
  <si>
    <t>Loan Credit/ Sanction Amt</t>
  </si>
  <si>
    <t>Loan Debit</t>
  </si>
  <si>
    <t>Start on</t>
  </si>
  <si>
    <t>Outstanding Bal</t>
  </si>
  <si>
    <t>Tenor Left</t>
  </si>
  <si>
    <t>EMI Obligation</t>
  </si>
  <si>
    <t>Bank Name (EMI running)</t>
  </si>
  <si>
    <t>Last 12 Months</t>
  </si>
  <si>
    <t>Remarks (Bounces/ DPD etc)</t>
  </si>
  <si>
    <t>EMI Paid</t>
  </si>
  <si>
    <t>EMI Bounce</t>
  </si>
  <si>
    <t>EMI Amt Paid</t>
  </si>
  <si>
    <t>Avg Previous Day Balance</t>
  </si>
  <si>
    <t>Date</t>
  </si>
  <si>
    <t>Previous Day Balance</t>
  </si>
  <si>
    <t>Previous 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</si>
</sst>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5" formatCode="&quot;₹&quot;\ #,##0;&quot;₹&quot;\ \-#,##0"/>
    <numFmt numFmtId="8" formatCode="&quot;₹&quot;\ #,##0.00;[Red]&quot;₹&quot;\ \-#,##0.00"/>
    <numFmt numFmtId="44" formatCode="_ &quot;₹&quot;\ * #,##0.00_ ;_ &quot;₹&quot;\ * \-#,##0.00_ ;_ &quot;₹&quot;\ * &quot;-&quot;??_ ;_ @_ "/>
    <numFmt numFmtId="43" formatCode="_ * #,##0.00_ ;_ * \-#,##0.00_ ;_ * &quot;-&quot;??_ ;_ @_ "/>
    <numFmt numFmtId="164" formatCode="_(&quot;$&quot;* #,##0.00_);_(&quot;$&quot;* \(#,##0.00\);_(&quot;$&quot;* &quot;-&quot;??_);_(@_)"/>
    <numFmt numFmtId="165" formatCode="_(* #,##0.00_);_(* \(#,##0.00\);_(* &quot;-&quot;??_);_(@_)"/>
    <numFmt numFmtId="166" formatCode="&quot;₹&quot;#,##0.00_);[Red]\(&quot;₹&quot;#,##0.00\)"/>
    <numFmt numFmtId="167" formatCode="_(* #,##0_);_(* \(#,##0\);_(* &quot;-&quot;??_);_(@_)"/>
    <numFmt numFmtId="168" formatCode="&quot;₹&quot;\ #,##0.00"/>
    <numFmt numFmtId="169" formatCode="[$-14009]dd/mm/yyyy;@"/>
    <numFmt numFmtId="170" formatCode="&quot;₹&quot;#,##0.00"/>
    <numFmt numFmtId="171" formatCode="_-* #,##0.00_-;\-* #,##0.00_-;_-* &quot;-&quot;??_-;_-@_-"/>
    <numFmt numFmtId="172" formatCode="&quot;FY&quot;yy"/>
    <numFmt numFmtId="173" formatCode="General;General;\-"/>
    <numFmt numFmtId="174" formatCode="&quot;₹&quot;\ #,##0;&quot;₹&quot;\ \-#,##0;\-"/>
    <numFmt numFmtId="175" formatCode="dd/mmm/yyyy"/>
    <numFmt numFmtId="176" formatCode="mmmm/yyyy"/>
    <numFmt numFmtId="177" formatCode="0;;;@"/>
    <numFmt numFmtId="178" formatCode="dd/mmm/yyyy;\-;\-"/>
  </numFmts>
  <fonts count="66" x14ac:knownFonts="1">
    <font>
      <sz val="11"/>
      <color theme="1"/>
      <name val="Calibri"/>
      <family val="2"/>
      <scheme val="minor"/>
    </font>
    <font>
      <sz val="11"/>
      <color theme="1"/>
      <name val="Calibri"/>
      <family val="2"/>
      <scheme val="minor"/>
    </font>
    <font>
      <sz val="9.5"/>
      <color theme="1"/>
      <name val="Arial"/>
      <family val="2"/>
    </font>
    <font>
      <sz val="9.5"/>
      <color rgb="FFFF0000"/>
      <name val="Arial"/>
      <family val="2"/>
    </font>
    <font>
      <b/>
      <sz val="9.5"/>
      <color theme="1"/>
      <name val="Arial"/>
      <family val="2"/>
    </font>
    <font>
      <sz val="9.5"/>
      <color theme="1"/>
      <name val="Calibri"/>
      <family val="2"/>
      <scheme val="minor"/>
    </font>
    <font>
      <b/>
      <sz val="16"/>
      <color theme="0"/>
      <name val="Times New Roman"/>
      <family val="1"/>
    </font>
    <font>
      <b/>
      <sz val="11"/>
      <name val="Times New Roman"/>
      <family val="1"/>
    </font>
    <font>
      <b/>
      <sz val="12"/>
      <color theme="4"/>
      <name val="Times New Roman"/>
      <family val="1"/>
    </font>
    <font>
      <b/>
      <sz val="10"/>
      <color theme="4"/>
      <name val="Times New Roman"/>
      <family val="1"/>
    </font>
    <font>
      <b/>
      <sz val="12"/>
      <color rgb="FF000000"/>
      <name val="Times New Roman"/>
      <family val="1"/>
    </font>
    <font>
      <b/>
      <sz val="10"/>
      <color rgb="FF000000"/>
      <name val="Times New Roman"/>
      <family val="1"/>
    </font>
    <font>
      <b/>
      <sz val="9"/>
      <color rgb="FF000000"/>
      <name val="Times New Roman"/>
      <family val="1"/>
    </font>
    <font>
      <sz val="10"/>
      <color rgb="FF000000"/>
      <name val="Times New Roman"/>
      <family val="1"/>
    </font>
    <font>
      <b/>
      <sz val="8"/>
      <color rgb="FF000000"/>
      <name val="Times New Roman"/>
      <family val="1"/>
    </font>
    <font>
      <b/>
      <sz val="11"/>
      <color theme="1"/>
      <name val="Times New Roman"/>
      <family val="1"/>
    </font>
    <font>
      <b/>
      <sz val="10"/>
      <color theme="1"/>
      <name val="Times New Roman"/>
      <family val="1"/>
    </font>
    <font>
      <sz val="11"/>
      <color theme="1"/>
      <name val="Calibri"/>
      <family val="2"/>
    </font>
    <font>
      <b/>
      <sz val="14"/>
      <color theme="0"/>
      <name val="Times New Roman"/>
      <family val="1"/>
    </font>
    <font>
      <u/>
      <sz val="11"/>
      <color theme="10"/>
      <name val="Calibri"/>
      <family val="2"/>
      <scheme val="minor"/>
    </font>
    <font>
      <b/>
      <sz val="14"/>
      <name val="Times New Roman"/>
      <family val="1"/>
    </font>
    <font>
      <b/>
      <sz val="10"/>
      <name val="Times New Roman"/>
      <family val="1"/>
    </font>
    <font>
      <sz val="10"/>
      <name val="Times New Roman"/>
      <family val="1"/>
    </font>
    <font>
      <b/>
      <sz val="11"/>
      <color rgb="FFFF0000"/>
      <name val="Times New Roman"/>
      <family val="1"/>
    </font>
    <font>
      <b/>
      <sz val="12"/>
      <color theme="8" tint="0.79998168889431442"/>
      <name val="Times New Roman"/>
      <family val="1"/>
    </font>
    <font>
      <b/>
      <sz val="16"/>
      <color theme="8" tint="0.79998168889431442"/>
      <name val="Times New Roman"/>
      <family val="1"/>
    </font>
    <font>
      <b/>
      <sz val="14"/>
      <color rgb="FFFFFF00"/>
      <name val="Times New Roman"/>
      <family val="1"/>
    </font>
    <font>
      <sz val="10"/>
      <color theme="1"/>
      <name val="Times New Roman"/>
      <family val="1"/>
    </font>
    <font>
      <b/>
      <sz val="12"/>
      <color rgb="FF002060"/>
      <name val="Times New Roman"/>
      <family val="1"/>
    </font>
    <font>
      <b/>
      <sz val="12"/>
      <color rgb="FFFF0000"/>
      <name val="Times New Roman"/>
      <family val="1"/>
    </font>
    <font>
      <b/>
      <sz val="10"/>
      <color theme="2"/>
      <name val="Times New Roman"/>
      <family val="1"/>
    </font>
    <font>
      <b/>
      <sz val="12"/>
      <color theme="0"/>
      <name val="Times New Roman"/>
      <family val="1"/>
    </font>
    <font>
      <sz val="9"/>
      <color theme="1"/>
      <name val="Times New Roman"/>
      <family val="1"/>
    </font>
    <font>
      <sz val="9"/>
      <name val="Times New Roman"/>
      <family val="1"/>
    </font>
    <font>
      <b/>
      <sz val="14"/>
      <color theme="5" tint="-0.499984740745262"/>
      <name val="Times New Roman"/>
      <family val="1"/>
    </font>
    <font>
      <b/>
      <sz val="14"/>
      <color theme="8" tint="0.79998168889431442"/>
      <name val="Times New Roman"/>
      <family val="1"/>
    </font>
    <font>
      <b/>
      <sz val="10"/>
      <color theme="3" tint="-0.499984740745262"/>
      <name val="Times New Roman"/>
      <family val="1"/>
    </font>
    <font>
      <sz val="10"/>
      <color theme="3" tint="-0.499984740745262"/>
      <name val="Times New Roman"/>
      <family val="1"/>
    </font>
    <font>
      <sz val="9"/>
      <color theme="3" tint="-0.499984740745262"/>
      <name val="Times New Roman"/>
      <family val="1"/>
    </font>
    <font>
      <b/>
      <sz val="9"/>
      <color theme="1"/>
      <name val="Times New Roman"/>
      <family val="1"/>
    </font>
    <font>
      <sz val="9"/>
      <color rgb="FF000000"/>
      <name val="Times New Roman"/>
      <family val="1"/>
    </font>
    <font>
      <b/>
      <sz val="11"/>
      <color theme="1"/>
      <name val="Calibri"/>
      <family val="2"/>
      <scheme val="minor"/>
    </font>
    <font>
      <b/>
      <sz val="11"/>
      <color rgb="FF222222"/>
      <name val="Calibri"/>
      <family val="2"/>
      <scheme val="minor"/>
    </font>
    <font>
      <sz val="11"/>
      <color rgb="FF222222"/>
      <name val="Calibri"/>
      <family val="2"/>
      <scheme val="minor"/>
    </font>
    <font>
      <b/>
      <sz val="11"/>
      <color rgb="FF000000"/>
      <name val="Calibri"/>
      <family val="2"/>
    </font>
    <font>
      <sz val="11"/>
      <name val="Calibri"/>
      <family val="2"/>
    </font>
    <font>
      <sz val="11"/>
      <color theme="1"/>
      <name val="Symbol"/>
      <family val="1"/>
      <charset val="2"/>
    </font>
    <font>
      <sz val="7"/>
      <color theme="1"/>
      <name val="Times New Roman"/>
      <family val="1"/>
    </font>
    <font>
      <b/>
      <sz val="9"/>
      <color theme="3" tint="0.39997558519241921"/>
      <name val="Times New Roman"/>
      <family val="1"/>
    </font>
    <font>
      <i/>
      <sz val="11"/>
      <color theme="10"/>
      <name val="Calibri"/>
      <family val="2"/>
      <scheme val="minor"/>
    </font>
    <font>
      <b/>
      <sz val="11"/>
      <color theme="0"/>
      <name val="Calibri"/>
      <family val="2"/>
      <scheme val="minor"/>
    </font>
    <font>
      <sz val="11"/>
      <color theme="0"/>
      <name val="Calibri"/>
      <family val="2"/>
      <scheme val="minor"/>
    </font>
    <font>
      <b/>
      <sz val="11"/>
      <color theme="0"/>
      <name val="Times New Roman"/>
      <family val="1"/>
    </font>
    <font>
      <b/>
      <sz val="10"/>
      <color theme="1"/>
      <name val="Calibri"/>
      <family val="2"/>
      <scheme val="minor"/>
    </font>
    <font>
      <sz val="11"/>
      <color theme="1"/>
      <name val="Times New Roman"/>
      <family val="1"/>
    </font>
    <font>
      <sz val="9"/>
      <color theme="1"/>
      <name val="Calibri"/>
      <family val="2"/>
      <scheme val="minor"/>
    </font>
    <font>
      <sz val="10"/>
      <color theme="1"/>
      <name val="Calibri"/>
      <family val="2"/>
      <scheme val="minor"/>
    </font>
    <font>
      <b/>
      <sz val="12"/>
      <color theme="1"/>
      <name val="Times New Roman"/>
      <family val="1"/>
    </font>
    <font>
      <b/>
      <sz val="14"/>
      <color theme="4"/>
      <name val="Times New Roman"/>
      <family val="1"/>
    </font>
    <font>
      <b/>
      <sz val="14"/>
      <color theme="0"/>
      <name val="Calibri"/>
      <family val="2"/>
      <scheme val="minor"/>
    </font>
    <font>
      <sz val="10"/>
      <color theme="1"/>
      <name val="Arial"/>
      <family val="2"/>
    </font>
    <font>
      <sz val="10"/>
      <color theme="0"/>
      <name val="Calibri"/>
      <family val="2"/>
      <scheme val="minor"/>
    </font>
    <font>
      <b/>
      <sz val="13"/>
      <color theme="0"/>
      <name val="Calibri"/>
      <family val="2"/>
      <scheme val="minor"/>
    </font>
    <font>
      <b/>
      <sz val="10"/>
      <color theme="0"/>
      <name val="Calibri"/>
      <family val="2"/>
      <scheme val="minor"/>
    </font>
    <font>
      <b/>
      <sz val="12"/>
      <color theme="1"/>
      <name val="Calibri"/>
      <family val="2"/>
      <scheme val="minor"/>
    </font>
    <font>
      <sz val="10"/>
      <name val="Calibri"/>
      <family val="2"/>
      <scheme val="minor"/>
    </font>
  </fonts>
  <fills count="3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79998168889431442"/>
        <bgColor indexed="22"/>
      </patternFill>
    </fill>
    <fill>
      <patternFill patternType="solid">
        <fgColor theme="6" tint="0.59999389629810485"/>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0" tint="-4.9989318521683403E-2"/>
        <bgColor indexed="22"/>
      </patternFill>
    </fill>
    <fill>
      <patternFill patternType="solid">
        <fgColor theme="3" tint="0.79998168889431442"/>
        <bgColor indexed="41"/>
      </patternFill>
    </fill>
    <fill>
      <patternFill patternType="solid">
        <fgColor theme="0" tint="-4.9989318521683403E-2"/>
        <bgColor indexed="27"/>
      </patternFill>
    </fill>
    <fill>
      <patternFill patternType="solid">
        <fgColor theme="6" tint="0.59999389629810485"/>
        <bgColor indexed="41"/>
      </patternFill>
    </fill>
    <fill>
      <patternFill patternType="solid">
        <fgColor theme="6" tint="0.59999389629810485"/>
        <bgColor indexed="27"/>
      </patternFill>
    </fill>
    <fill>
      <patternFill patternType="solid">
        <fgColor theme="4"/>
        <bgColor indexed="64"/>
      </patternFill>
    </fill>
    <fill>
      <patternFill patternType="solid">
        <fgColor rgb="FF92D050"/>
        <bgColor indexed="64"/>
      </patternFill>
    </fill>
    <fill>
      <patternFill patternType="solid">
        <fgColor theme="2" tint="-9.9978637043366805E-2"/>
        <bgColor indexed="64"/>
      </patternFill>
    </fill>
    <fill>
      <patternFill patternType="solid">
        <fgColor rgb="FFA7D971"/>
        <bgColor indexed="27"/>
      </patternFill>
    </fill>
    <fill>
      <patternFill patternType="solid">
        <fgColor rgb="FFA7D971"/>
        <bgColor indexed="41"/>
      </patternFill>
    </fill>
    <fill>
      <patternFill patternType="solid">
        <fgColor theme="3" tint="0.59999389629810485"/>
        <bgColor indexed="64"/>
      </patternFill>
    </fill>
    <fill>
      <patternFill patternType="solid">
        <fgColor rgb="FFDEEAF6"/>
        <bgColor indexed="64"/>
      </patternFill>
    </fill>
    <fill>
      <patternFill patternType="solid">
        <fgColor rgb="FFFFC000"/>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2"/>
        <bgColor indexed="64"/>
      </patternFill>
    </fill>
    <fill>
      <patternFill patternType="solid">
        <fgColor theme="2" tint="-0.89999084444715716"/>
        <bgColor indexed="64"/>
      </patternFill>
    </fill>
    <fill>
      <patternFill patternType="solid">
        <fgColor rgb="FFEBF6F9"/>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rgb="FFB4C6E7"/>
        <bgColor indexed="64"/>
      </patternFill>
    </fill>
    <fill>
      <patternFill patternType="solid">
        <fgColor rgb="FFEDF1F9"/>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auto="1"/>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0"/>
      </left>
      <right style="thin">
        <color theme="0"/>
      </right>
      <top style="thin">
        <color theme="0"/>
      </top>
      <bottom style="thin">
        <color theme="0"/>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thin">
        <color indexed="64"/>
      </left>
      <right style="thin">
        <color indexed="64"/>
      </right>
      <top style="medium">
        <color theme="1"/>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theme="1"/>
      </left>
      <right style="thin">
        <color theme="1"/>
      </right>
      <top/>
      <bottom style="thin">
        <color theme="1"/>
      </bottom>
      <diagonal/>
    </border>
    <border>
      <left style="medium">
        <color theme="1"/>
      </left>
      <right style="thin">
        <color indexed="64"/>
      </right>
      <top style="medium">
        <color theme="1"/>
      </top>
      <bottom style="medium">
        <color theme="1"/>
      </bottom>
      <diagonal/>
    </border>
    <border>
      <left style="thin">
        <color indexed="64"/>
      </left>
      <right style="thin">
        <color indexed="64"/>
      </right>
      <top style="medium">
        <color theme="1"/>
      </top>
      <bottom style="medium">
        <color theme="1"/>
      </bottom>
      <diagonal/>
    </border>
    <border>
      <left style="thin">
        <color indexed="64"/>
      </left>
      <right style="medium">
        <color theme="1"/>
      </right>
      <top style="medium">
        <color theme="1"/>
      </top>
      <bottom style="medium">
        <color theme="1"/>
      </bottom>
      <diagonal/>
    </border>
  </borders>
  <cellStyleXfs count="10">
    <xf numFmtId="0" fontId="0" fillId="0" borderId="0"/>
    <xf numFmtId="165"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9" fillId="0" borderId="0" applyNumberFormat="0" applyFill="0" applyBorder="0" applyAlignment="0" applyProtection="0"/>
    <xf numFmtId="171" fontId="1" fillId="0" borderId="0" applyFont="0" applyFill="0" applyBorder="0" applyAlignment="0" applyProtection="0"/>
    <xf numFmtId="0" fontId="1" fillId="0" borderId="0"/>
    <xf numFmtId="0" fontId="1" fillId="0" borderId="0"/>
  </cellStyleXfs>
  <cellXfs count="719">
    <xf numFmtId="0" fontId="0" fillId="0" borderId="0" xfId="0"/>
    <xf numFmtId="0" fontId="3" fillId="2" borderId="0" xfId="0" applyFont="1" applyFill="1" applyAlignment="1" applyProtection="1">
      <alignment vertical="center"/>
      <protection hidden="1"/>
    </xf>
    <xf numFmtId="0" fontId="2" fillId="0" borderId="0" xfId="0" applyFont="1" applyProtection="1">
      <protection hidden="1"/>
    </xf>
    <xf numFmtId="167" fontId="2" fillId="2" borderId="0" xfId="1" applyNumberFormat="1" applyFont="1" applyFill="1" applyProtection="1">
      <protection hidden="1"/>
    </xf>
    <xf numFmtId="165" fontId="21" fillId="6" borderId="1" xfId="4" applyNumberFormat="1" applyFont="1" applyFill="1" applyBorder="1" applyAlignment="1" applyProtection="1">
      <alignment horizontal="center" vertical="center" wrapText="1"/>
      <protection hidden="1"/>
    </xf>
    <xf numFmtId="17" fontId="9" fillId="3" borderId="1" xfId="0" applyNumberFormat="1" applyFont="1" applyFill="1" applyBorder="1" applyAlignment="1" applyProtection="1">
      <alignment horizontal="center" vertical="center"/>
      <protection locked="0"/>
    </xf>
    <xf numFmtId="38" fontId="21" fillId="13" borderId="1" xfId="0" applyNumberFormat="1" applyFont="1" applyFill="1" applyBorder="1" applyAlignment="1" applyProtection="1">
      <alignment horizontal="center" vertical="center" wrapText="1"/>
      <protection hidden="1"/>
    </xf>
    <xf numFmtId="1" fontId="22" fillId="14" borderId="1" xfId="3" applyNumberFormat="1" applyFont="1" applyFill="1" applyBorder="1" applyAlignment="1" applyProtection="1">
      <alignment horizontal="center" vertical="center"/>
      <protection locked="0"/>
    </xf>
    <xf numFmtId="1" fontId="22" fillId="15" borderId="1" xfId="3" applyNumberFormat="1" applyFont="1" applyFill="1" applyBorder="1" applyAlignment="1" applyProtection="1">
      <alignment horizontal="center" vertical="center"/>
      <protection hidden="1"/>
    </xf>
    <xf numFmtId="0" fontId="13" fillId="4" borderId="1" xfId="0" applyFont="1" applyFill="1" applyBorder="1" applyAlignment="1" applyProtection="1">
      <alignment horizontal="center" vertical="center"/>
      <protection hidden="1"/>
    </xf>
    <xf numFmtId="0" fontId="22" fillId="15" borderId="1" xfId="3" applyNumberFormat="1" applyFont="1" applyFill="1" applyBorder="1" applyAlignment="1" applyProtection="1">
      <alignment horizontal="center" vertical="center"/>
      <protection hidden="1"/>
    </xf>
    <xf numFmtId="0" fontId="21" fillId="13" borderId="1" xfId="0" applyFont="1" applyFill="1" applyBorder="1" applyAlignment="1" applyProtection="1">
      <alignment horizontal="center" vertical="center" wrapText="1"/>
      <protection hidden="1"/>
    </xf>
    <xf numFmtId="0" fontId="21" fillId="13" borderId="1" xfId="0" applyFont="1" applyFill="1" applyBorder="1" applyAlignment="1" applyProtection="1">
      <alignment horizontal="center" vertical="center"/>
      <protection hidden="1"/>
    </xf>
    <xf numFmtId="0" fontId="0" fillId="0" borderId="0" xfId="0" applyProtection="1">
      <protection hidden="1"/>
    </xf>
    <xf numFmtId="0" fontId="15" fillId="9" borderId="1" xfId="0" applyFont="1" applyFill="1" applyBorder="1" applyAlignment="1" applyProtection="1">
      <alignment vertical="center" wrapText="1"/>
      <protection hidden="1"/>
    </xf>
    <xf numFmtId="0" fontId="17" fillId="0" borderId="0" xfId="0" applyFont="1" applyProtection="1">
      <protection hidden="1"/>
    </xf>
    <xf numFmtId="0" fontId="12" fillId="7" borderId="1" xfId="0" applyFont="1" applyFill="1" applyBorder="1" applyAlignment="1" applyProtection="1">
      <alignment horizontal="center" vertical="center" wrapText="1"/>
      <protection hidden="1"/>
    </xf>
    <xf numFmtId="0" fontId="11" fillId="4" borderId="1" xfId="0" applyFont="1" applyFill="1" applyBorder="1" applyAlignment="1" applyProtection="1">
      <alignment vertical="center"/>
      <protection hidden="1"/>
    </xf>
    <xf numFmtId="0" fontId="2" fillId="2" borderId="0" xfId="0" applyFont="1" applyFill="1" applyProtection="1">
      <protection hidden="1"/>
    </xf>
    <xf numFmtId="0" fontId="0" fillId="2" borderId="0" xfId="0" applyFill="1" applyProtection="1">
      <protection hidden="1"/>
    </xf>
    <xf numFmtId="167" fontId="0" fillId="2" borderId="0" xfId="1" applyNumberFormat="1" applyFont="1" applyFill="1" applyProtection="1">
      <protection hidden="1"/>
    </xf>
    <xf numFmtId="0" fontId="2" fillId="2" borderId="0" xfId="0" applyFont="1" applyFill="1" applyAlignment="1" applyProtection="1">
      <protection hidden="1"/>
    </xf>
    <xf numFmtId="9" fontId="2" fillId="2" borderId="0" xfId="2" applyFont="1" applyFill="1" applyProtection="1">
      <protection hidden="1"/>
    </xf>
    <xf numFmtId="0" fontId="5" fillId="2" borderId="0" xfId="0" applyFont="1" applyFill="1" applyProtection="1">
      <protection hidden="1"/>
    </xf>
    <xf numFmtId="43" fontId="2" fillId="2" borderId="0" xfId="0" applyNumberFormat="1" applyFont="1" applyFill="1" applyProtection="1">
      <protection hidden="1"/>
    </xf>
    <xf numFmtId="167" fontId="2" fillId="2" borderId="0" xfId="0" applyNumberFormat="1" applyFont="1" applyFill="1" applyProtection="1">
      <protection hidden="1"/>
    </xf>
    <xf numFmtId="0" fontId="4" fillId="2" borderId="19" xfId="0" applyFont="1" applyFill="1" applyBorder="1" applyAlignment="1" applyProtection="1">
      <alignment horizontal="center"/>
      <protection hidden="1"/>
    </xf>
    <xf numFmtId="0" fontId="4" fillId="2" borderId="20" xfId="0" applyFont="1" applyFill="1" applyBorder="1" applyAlignment="1" applyProtection="1">
      <alignment horizontal="center"/>
      <protection hidden="1"/>
    </xf>
    <xf numFmtId="0" fontId="4" fillId="2" borderId="5" xfId="0" applyFont="1" applyFill="1" applyBorder="1" applyAlignment="1" applyProtection="1">
      <alignment horizontal="center"/>
      <protection hidden="1"/>
    </xf>
    <xf numFmtId="0" fontId="2" fillId="2" borderId="4" xfId="0" applyFont="1" applyFill="1" applyBorder="1" applyAlignment="1" applyProtection="1">
      <alignment horizontal="center"/>
      <protection hidden="1"/>
    </xf>
    <xf numFmtId="0" fontId="4" fillId="2" borderId="3" xfId="0" applyFont="1" applyFill="1" applyBorder="1" applyAlignment="1" applyProtection="1">
      <alignment horizontal="center"/>
      <protection hidden="1"/>
    </xf>
    <xf numFmtId="0" fontId="2" fillId="2" borderId="2" xfId="0" applyFont="1" applyFill="1" applyBorder="1" applyAlignment="1" applyProtection="1">
      <alignment horizontal="center"/>
      <protection hidden="1"/>
    </xf>
    <xf numFmtId="0" fontId="4" fillId="2" borderId="21" xfId="0" applyFont="1" applyFill="1" applyBorder="1" applyAlignment="1" applyProtection="1">
      <alignment horizontal="center"/>
      <protection hidden="1"/>
    </xf>
    <xf numFmtId="0" fontId="2" fillId="2" borderId="22" xfId="0" applyFont="1" applyFill="1" applyBorder="1" applyAlignment="1" applyProtection="1">
      <alignment horizontal="center"/>
      <protection hidden="1"/>
    </xf>
    <xf numFmtId="0" fontId="4" fillId="2" borderId="0" xfId="0" applyFont="1" applyFill="1" applyBorder="1" applyAlignment="1" applyProtection="1">
      <alignment horizontal="center"/>
      <protection hidden="1"/>
    </xf>
    <xf numFmtId="0" fontId="2" fillId="2" borderId="0" xfId="0" applyFont="1" applyFill="1" applyBorder="1" applyAlignment="1" applyProtection="1">
      <alignment horizontal="center"/>
      <protection hidden="1"/>
    </xf>
    <xf numFmtId="0" fontId="2" fillId="0" borderId="16" xfId="0" applyFont="1" applyBorder="1" applyAlignment="1" applyProtection="1">
      <alignment vertical="top" wrapText="1"/>
      <protection hidden="1"/>
    </xf>
    <xf numFmtId="0" fontId="2" fillId="0" borderId="17" xfId="0" applyFont="1" applyBorder="1" applyAlignment="1" applyProtection="1">
      <alignment vertical="top" wrapText="1"/>
      <protection hidden="1"/>
    </xf>
    <xf numFmtId="0" fontId="2" fillId="0" borderId="10" xfId="0" applyFont="1" applyBorder="1" applyAlignment="1" applyProtection="1">
      <alignment vertical="top" wrapText="1"/>
      <protection hidden="1"/>
    </xf>
    <xf numFmtId="0" fontId="2" fillId="0" borderId="11" xfId="0" applyFont="1" applyBorder="1" applyAlignment="1" applyProtection="1">
      <alignment vertical="top" wrapText="1"/>
      <protection hidden="1"/>
    </xf>
    <xf numFmtId="0" fontId="21" fillId="13" borderId="1" xfId="0" applyFont="1" applyFill="1" applyBorder="1" applyAlignment="1" applyProtection="1">
      <alignment horizontal="center" vertical="center" wrapText="1"/>
      <protection hidden="1"/>
    </xf>
    <xf numFmtId="0" fontId="21" fillId="13" borderId="1" xfId="0" applyFont="1" applyFill="1" applyBorder="1" applyAlignment="1" applyProtection="1">
      <alignment horizontal="center" vertical="center"/>
      <protection hidden="1"/>
    </xf>
    <xf numFmtId="168" fontId="22" fillId="15" borderId="1" xfId="3" applyNumberFormat="1" applyFont="1" applyFill="1" applyBorder="1" applyAlignment="1" applyProtection="1">
      <alignment horizontal="center" vertical="center"/>
      <protection hidden="1"/>
    </xf>
    <xf numFmtId="168" fontId="22" fillId="14" borderId="1" xfId="3" applyNumberFormat="1" applyFont="1" applyFill="1" applyBorder="1" applyAlignment="1" applyProtection="1">
      <alignment horizontal="center" vertical="center"/>
      <protection locked="0"/>
    </xf>
    <xf numFmtId="168" fontId="22" fillId="3" borderId="1" xfId="3" applyNumberFormat="1" applyFont="1" applyFill="1" applyBorder="1" applyAlignment="1" applyProtection="1">
      <alignment horizontal="center" vertical="center"/>
      <protection locked="0"/>
    </xf>
    <xf numFmtId="168" fontId="22" fillId="16" borderId="1" xfId="3" applyNumberFormat="1" applyFont="1" applyFill="1" applyBorder="1" applyAlignment="1" applyProtection="1">
      <alignment horizontal="center" vertical="center"/>
      <protection hidden="1"/>
    </xf>
    <xf numFmtId="165" fontId="21" fillId="6" borderId="6" xfId="4" applyNumberFormat="1" applyFont="1" applyFill="1" applyBorder="1" applyAlignment="1" applyProtection="1">
      <alignment horizontal="center" vertical="center"/>
      <protection hidden="1"/>
    </xf>
    <xf numFmtId="165" fontId="21" fillId="6" borderId="6" xfId="4" applyNumberFormat="1" applyFont="1" applyFill="1" applyBorder="1" applyAlignment="1" applyProtection="1">
      <alignment horizontal="center" vertical="center"/>
      <protection hidden="1"/>
    </xf>
    <xf numFmtId="1" fontId="8" fillId="3" borderId="1" xfId="0" quotePrefix="1" applyNumberFormat="1" applyFont="1" applyFill="1" applyBorder="1" applyAlignment="1" applyProtection="1">
      <alignment vertical="center"/>
      <protection locked="0"/>
    </xf>
    <xf numFmtId="168" fontId="13" fillId="3" borderId="1" xfId="3" applyNumberFormat="1" applyFont="1" applyFill="1" applyBorder="1" applyAlignment="1" applyProtection="1">
      <alignment horizontal="center" vertical="center"/>
      <protection locked="0"/>
    </xf>
    <xf numFmtId="0" fontId="30" fillId="17" borderId="1" xfId="0" applyFont="1" applyFill="1" applyBorder="1" applyAlignment="1" applyProtection="1">
      <alignment horizontal="center" vertical="center"/>
      <protection hidden="1"/>
    </xf>
    <xf numFmtId="0" fontId="21" fillId="13" borderId="1" xfId="0" applyFont="1" applyFill="1" applyBorder="1" applyAlignment="1" applyProtection="1">
      <alignment horizontal="center" vertical="center" wrapText="1"/>
      <protection hidden="1"/>
    </xf>
    <xf numFmtId="165" fontId="21" fillId="6" borderId="6" xfId="4" applyNumberFormat="1" applyFont="1" applyFill="1" applyBorder="1" applyAlignment="1" applyProtection="1">
      <alignment horizontal="center" vertical="center"/>
      <protection hidden="1"/>
    </xf>
    <xf numFmtId="10" fontId="22" fillId="15" borderId="1" xfId="4" applyNumberFormat="1" applyFont="1" applyFill="1" applyBorder="1" applyAlignment="1" applyProtection="1">
      <alignment horizontal="center" vertical="center"/>
      <protection hidden="1"/>
    </xf>
    <xf numFmtId="17" fontId="9" fillId="3" borderId="1" xfId="0" applyNumberFormat="1" applyFont="1" applyFill="1" applyBorder="1" applyAlignment="1" applyProtection="1">
      <alignment horizontal="center" vertical="center"/>
      <protection hidden="1"/>
    </xf>
    <xf numFmtId="168" fontId="22" fillId="14" borderId="1" xfId="3" applyNumberFormat="1" applyFont="1" applyFill="1" applyBorder="1" applyAlignment="1" applyProtection="1">
      <alignment horizontal="center" vertical="center"/>
      <protection hidden="1"/>
    </xf>
    <xf numFmtId="0" fontId="16" fillId="9" borderId="1" xfId="0" applyFont="1" applyFill="1" applyBorder="1" applyAlignment="1" applyProtection="1">
      <alignment horizontal="center" vertical="center" wrapText="1"/>
      <protection hidden="1"/>
    </xf>
    <xf numFmtId="0" fontId="21" fillId="13" borderId="1" xfId="0" applyFont="1" applyFill="1" applyBorder="1" applyAlignment="1" applyProtection="1">
      <alignment horizontal="center" vertical="center" wrapText="1"/>
      <protection hidden="1"/>
    </xf>
    <xf numFmtId="0" fontId="21" fillId="13" borderId="1" xfId="0" applyFont="1" applyFill="1" applyBorder="1" applyAlignment="1" applyProtection="1">
      <alignment horizontal="center" vertical="center"/>
      <protection hidden="1"/>
    </xf>
    <xf numFmtId="165" fontId="21" fillId="6" borderId="1" xfId="4" applyNumberFormat="1" applyFont="1" applyFill="1" applyBorder="1" applyAlignment="1" applyProtection="1">
      <alignment horizontal="center" vertical="center"/>
      <protection hidden="1"/>
    </xf>
    <xf numFmtId="0" fontId="11" fillId="4" borderId="1" xfId="0" applyFont="1" applyFill="1" applyBorder="1" applyAlignment="1" applyProtection="1">
      <alignment horizontal="center" vertical="center" wrapText="1"/>
      <protection hidden="1"/>
    </xf>
    <xf numFmtId="0" fontId="14" fillId="4" borderId="1" xfId="0" applyFont="1" applyFill="1" applyBorder="1" applyAlignment="1" applyProtection="1">
      <alignment horizontal="center" vertical="center" wrapText="1"/>
      <protection hidden="1"/>
    </xf>
    <xf numFmtId="0" fontId="2" fillId="2" borderId="0" xfId="0" applyFont="1" applyFill="1" applyAlignment="1" applyProtection="1">
      <alignment horizontal="center"/>
      <protection hidden="1"/>
    </xf>
    <xf numFmtId="168" fontId="21" fillId="20" borderId="1" xfId="3" applyNumberFormat="1" applyFont="1" applyFill="1" applyBorder="1" applyAlignment="1" applyProtection="1">
      <alignment horizontal="center" vertical="center"/>
      <protection hidden="1"/>
    </xf>
    <xf numFmtId="168" fontId="21" fillId="21" borderId="1" xfId="3" applyNumberFormat="1" applyFont="1" applyFill="1" applyBorder="1" applyAlignment="1" applyProtection="1">
      <alignment horizontal="center" vertical="center"/>
      <protection hidden="1"/>
    </xf>
    <xf numFmtId="49" fontId="0" fillId="0" borderId="0" xfId="0" applyNumberFormat="1" applyProtection="1">
      <protection hidden="1"/>
    </xf>
    <xf numFmtId="1" fontId="0" fillId="0" borderId="0" xfId="0" applyNumberFormat="1" applyProtection="1">
      <protection hidden="1"/>
    </xf>
    <xf numFmtId="1" fontId="8" fillId="3" borderId="1" xfId="0" quotePrefix="1" applyNumberFormat="1" applyFont="1" applyFill="1" applyBorder="1" applyAlignment="1" applyProtection="1">
      <alignment horizontal="center" vertical="center"/>
      <protection locked="0"/>
    </xf>
    <xf numFmtId="0" fontId="13" fillId="4" borderId="1" xfId="0" applyFont="1" applyFill="1" applyBorder="1" applyAlignment="1" applyProtection="1">
      <alignment horizontal="center" vertical="center"/>
      <protection locked="0"/>
    </xf>
    <xf numFmtId="169" fontId="11" fillId="3" borderId="1" xfId="0" applyNumberFormat="1" applyFont="1" applyFill="1" applyBorder="1" applyAlignment="1" applyProtection="1">
      <alignment horizontal="center" vertical="center"/>
      <protection locked="0" hidden="1"/>
    </xf>
    <xf numFmtId="168" fontId="13" fillId="3" borderId="1" xfId="3" applyNumberFormat="1" applyFont="1" applyFill="1" applyBorder="1" applyAlignment="1" applyProtection="1">
      <alignment horizontal="center" vertical="center"/>
      <protection locked="0" hidden="1"/>
    </xf>
    <xf numFmtId="0" fontId="37" fillId="4" borderId="1" xfId="0" applyFont="1" applyFill="1" applyBorder="1" applyAlignment="1" applyProtection="1">
      <alignment horizontal="center" vertical="center"/>
      <protection hidden="1"/>
    </xf>
    <xf numFmtId="0" fontId="38" fillId="4" borderId="1" xfId="0" applyFont="1" applyFill="1" applyBorder="1" applyAlignment="1" applyProtection="1">
      <alignment horizontal="center" vertical="center"/>
      <protection hidden="1"/>
    </xf>
    <xf numFmtId="0" fontId="36" fillId="4" borderId="1" xfId="0" applyFont="1" applyFill="1" applyBorder="1" applyAlignment="1" applyProtection="1">
      <alignment horizontal="center" vertical="center"/>
      <protection hidden="1"/>
    </xf>
    <xf numFmtId="1" fontId="38" fillId="11" borderId="1" xfId="0" applyNumberFormat="1" applyFont="1" applyFill="1" applyBorder="1" applyAlignment="1" applyProtection="1">
      <alignment horizontal="center" vertical="center"/>
      <protection hidden="1"/>
    </xf>
    <xf numFmtId="0" fontId="37" fillId="4" borderId="1" xfId="0" applyFont="1" applyFill="1" applyBorder="1" applyAlignment="1" applyProtection="1">
      <alignment vertical="center"/>
      <protection hidden="1"/>
    </xf>
    <xf numFmtId="0" fontId="0" fillId="0" borderId="0" xfId="0" applyBorder="1" applyProtection="1">
      <protection hidden="1"/>
    </xf>
    <xf numFmtId="14" fontId="32" fillId="3" borderId="1" xfId="0" applyNumberFormat="1" applyFont="1" applyFill="1" applyBorder="1" applyAlignment="1" applyProtection="1">
      <alignment horizontal="center" vertical="center"/>
      <protection locked="0"/>
    </xf>
    <xf numFmtId="0" fontId="11" fillId="4" borderId="1" xfId="0" applyFont="1" applyFill="1" applyBorder="1" applyAlignment="1" applyProtection="1">
      <alignment horizontal="center" vertical="center"/>
      <protection hidden="1"/>
    </xf>
    <xf numFmtId="0" fontId="13" fillId="3" borderId="1" xfId="0" applyFont="1" applyFill="1" applyBorder="1" applyAlignment="1" applyProtection="1">
      <alignment horizontal="center" vertical="center"/>
      <protection locked="0"/>
    </xf>
    <xf numFmtId="168" fontId="11" fillId="11" borderId="1" xfId="3" applyNumberFormat="1" applyFont="1" applyFill="1" applyBorder="1" applyAlignment="1" applyProtection="1">
      <alignment horizontal="center" vertical="center"/>
      <protection hidden="1"/>
    </xf>
    <xf numFmtId="0" fontId="12" fillId="11" borderId="6" xfId="3" applyNumberFormat="1" applyFont="1" applyFill="1" applyBorder="1" applyAlignment="1" applyProtection="1">
      <alignment vertical="center"/>
      <protection hidden="1"/>
    </xf>
    <xf numFmtId="0" fontId="12" fillId="11" borderId="8" xfId="3" applyNumberFormat="1" applyFont="1" applyFill="1" applyBorder="1" applyAlignment="1" applyProtection="1">
      <alignment vertical="center"/>
      <protection hidden="1"/>
    </xf>
    <xf numFmtId="0" fontId="12" fillId="11" borderId="7" xfId="3" applyNumberFormat="1" applyFont="1" applyFill="1" applyBorder="1" applyAlignment="1" applyProtection="1">
      <alignment vertical="center"/>
      <protection hidden="1"/>
    </xf>
    <xf numFmtId="0" fontId="27" fillId="4" borderId="1" xfId="0" applyFont="1" applyFill="1" applyBorder="1" applyAlignment="1" applyProtection="1">
      <alignment vertical="center"/>
      <protection hidden="1"/>
    </xf>
    <xf numFmtId="169" fontId="13" fillId="3" borderId="1" xfId="0" applyNumberFormat="1" applyFont="1" applyFill="1" applyBorder="1" applyAlignment="1" applyProtection="1">
      <alignment horizontal="center" vertical="center"/>
      <protection locked="0"/>
    </xf>
    <xf numFmtId="0" fontId="13" fillId="3" borderId="1" xfId="0" applyFont="1" applyFill="1" applyBorder="1" applyAlignment="1" applyProtection="1">
      <alignment vertical="center"/>
      <protection locked="0"/>
    </xf>
    <xf numFmtId="0" fontId="11" fillId="4" borderId="1" xfId="0" applyFont="1" applyFill="1" applyBorder="1" applyAlignment="1" applyProtection="1">
      <alignment horizontal="center" vertical="center"/>
      <protection locked="0"/>
    </xf>
    <xf numFmtId="0" fontId="13" fillId="4" borderId="6" xfId="0" applyFont="1" applyFill="1" applyBorder="1" applyAlignment="1" applyProtection="1">
      <alignment horizontal="center" vertical="center"/>
      <protection locked="0"/>
    </xf>
    <xf numFmtId="0" fontId="11" fillId="4" borderId="6" xfId="0" applyFont="1" applyFill="1" applyBorder="1" applyAlignment="1" applyProtection="1">
      <alignment vertical="center"/>
      <protection locked="0"/>
    </xf>
    <xf numFmtId="0" fontId="11" fillId="4" borderId="7" xfId="0" applyFont="1" applyFill="1" applyBorder="1" applyAlignment="1" applyProtection="1">
      <alignment vertical="center"/>
      <protection locked="0"/>
    </xf>
    <xf numFmtId="9" fontId="13" fillId="3" borderId="1" xfId="2" applyFont="1" applyFill="1" applyBorder="1" applyAlignment="1" applyProtection="1">
      <alignment horizontal="center" vertical="center"/>
    </xf>
    <xf numFmtId="0" fontId="39" fillId="23" borderId="1" xfId="0" applyFont="1" applyFill="1" applyBorder="1" applyAlignment="1" applyProtection="1">
      <alignment horizontal="center" vertical="center" wrapText="1"/>
      <protection hidden="1"/>
    </xf>
    <xf numFmtId="168" fontId="16" fillId="3" borderId="1" xfId="5" applyNumberFormat="1" applyFont="1" applyFill="1" applyBorder="1" applyAlignment="1" applyProtection="1">
      <alignment horizontal="right" vertical="center"/>
      <protection locked="0"/>
    </xf>
    <xf numFmtId="10" fontId="16" fillId="3" borderId="1" xfId="0" applyNumberFormat="1" applyFont="1" applyFill="1" applyBorder="1" applyAlignment="1" applyProtection="1">
      <alignment horizontal="right" vertical="center"/>
      <protection locked="0"/>
    </xf>
    <xf numFmtId="0" fontId="16" fillId="3" borderId="1" xfId="0" applyFont="1" applyFill="1" applyBorder="1" applyAlignment="1" applyProtection="1">
      <alignment horizontal="right"/>
      <protection locked="0"/>
    </xf>
    <xf numFmtId="168" fontId="16" fillId="11" borderId="1" xfId="5" applyNumberFormat="1" applyFont="1" applyFill="1" applyBorder="1" applyAlignment="1" applyProtection="1">
      <alignment horizontal="right" vertical="center"/>
      <protection hidden="1"/>
    </xf>
    <xf numFmtId="0" fontId="15" fillId="9" borderId="1" xfId="0" applyFont="1" applyFill="1" applyBorder="1" applyAlignment="1" applyProtection="1">
      <alignment horizontal="left" vertical="center" wrapText="1"/>
      <protection hidden="1"/>
    </xf>
    <xf numFmtId="170" fontId="16" fillId="11" borderId="1" xfId="5" applyNumberFormat="1" applyFont="1" applyFill="1" applyBorder="1" applyAlignment="1" applyProtection="1">
      <alignment horizontal="right" vertical="center"/>
      <protection hidden="1"/>
    </xf>
    <xf numFmtId="0" fontId="16" fillId="11" borderId="1" xfId="5" applyNumberFormat="1" applyFont="1" applyFill="1" applyBorder="1" applyAlignment="1" applyProtection="1">
      <alignment horizontal="right" vertical="center"/>
      <protection hidden="1"/>
    </xf>
    <xf numFmtId="0" fontId="0" fillId="0" borderId="14" xfId="0" applyBorder="1" applyProtection="1">
      <protection hidden="1"/>
    </xf>
    <xf numFmtId="0" fontId="39" fillId="11" borderId="1" xfId="0" applyFont="1" applyFill="1" applyBorder="1" applyAlignment="1" applyProtection="1">
      <alignment horizontal="center" vertical="center" wrapText="1"/>
      <protection hidden="1"/>
    </xf>
    <xf numFmtId="0" fontId="32" fillId="3" borderId="1" xfId="0" applyFont="1" applyFill="1" applyBorder="1" applyAlignment="1" applyProtection="1">
      <alignment horizontal="center" vertical="center" wrapText="1"/>
      <protection hidden="1"/>
    </xf>
    <xf numFmtId="0" fontId="40" fillId="3" borderId="1" xfId="0" applyFont="1" applyFill="1" applyBorder="1" applyAlignment="1" applyProtection="1">
      <alignment horizontal="center" vertical="center" wrapText="1"/>
      <protection hidden="1"/>
    </xf>
    <xf numFmtId="0" fontId="32" fillId="3" borderId="1" xfId="0" applyFont="1" applyFill="1" applyBorder="1" applyAlignment="1" applyProtection="1">
      <alignment horizontal="center" vertical="center" wrapText="1"/>
      <protection locked="0"/>
    </xf>
    <xf numFmtId="10" fontId="16" fillId="9" borderId="1" xfId="0" applyNumberFormat="1" applyFont="1" applyFill="1" applyBorder="1" applyAlignment="1" applyProtection="1">
      <alignment horizontal="center" vertical="center"/>
      <protection hidden="1"/>
    </xf>
    <xf numFmtId="168" fontId="16" fillId="3" borderId="6" xfId="5" applyNumberFormat="1" applyFont="1" applyFill="1" applyBorder="1" applyAlignment="1" applyProtection="1">
      <alignment horizontal="center" vertical="center"/>
      <protection locked="0"/>
    </xf>
    <xf numFmtId="168" fontId="16" fillId="3" borderId="1" xfId="5" applyNumberFormat="1" applyFont="1" applyFill="1" applyBorder="1" applyAlignment="1" applyProtection="1">
      <alignment horizontal="center" vertical="center"/>
      <protection locked="0"/>
    </xf>
    <xf numFmtId="168" fontId="16" fillId="3" borderId="1" xfId="5" applyNumberFormat="1" applyFont="1" applyFill="1" applyBorder="1" applyAlignment="1" applyProtection="1">
      <alignment horizontal="right" vertical="center"/>
      <protection locked="0"/>
    </xf>
    <xf numFmtId="10" fontId="16" fillId="3" borderId="1" xfId="0" applyNumberFormat="1" applyFont="1" applyFill="1" applyBorder="1" applyAlignment="1" applyProtection="1">
      <alignment horizontal="right" vertical="center"/>
      <protection locked="0"/>
    </xf>
    <xf numFmtId="0" fontId="16" fillId="3" borderId="1" xfId="0" applyFont="1" applyFill="1" applyBorder="1" applyAlignment="1" applyProtection="1">
      <alignment horizontal="right"/>
      <protection locked="0"/>
    </xf>
    <xf numFmtId="0" fontId="16" fillId="9" borderId="1" xfId="0" applyFont="1" applyFill="1" applyBorder="1" applyAlignment="1" applyProtection="1">
      <alignment horizontal="center" vertical="center" wrapText="1"/>
      <protection hidden="1"/>
    </xf>
    <xf numFmtId="0" fontId="15" fillId="9" borderId="6" xfId="0" applyFont="1" applyFill="1" applyBorder="1" applyAlignment="1" applyProtection="1">
      <alignment horizontal="center" vertical="center" wrapText="1"/>
      <protection hidden="1"/>
    </xf>
    <xf numFmtId="168" fontId="16" fillId="3" borderId="6" xfId="5" applyNumberFormat="1" applyFont="1" applyFill="1" applyBorder="1" applyAlignment="1" applyProtection="1">
      <alignment horizontal="right" vertical="center"/>
      <protection locked="0"/>
    </xf>
    <xf numFmtId="0" fontId="15" fillId="9" borderId="1" xfId="0" applyFont="1" applyFill="1" applyBorder="1" applyAlignment="1" applyProtection="1">
      <alignment horizontal="center" vertical="center" wrapText="1"/>
      <protection hidden="1"/>
    </xf>
    <xf numFmtId="168" fontId="16" fillId="11" borderId="1" xfId="5" applyNumberFormat="1" applyFont="1" applyFill="1" applyBorder="1" applyAlignment="1" applyProtection="1">
      <alignment horizontal="right" vertical="center"/>
      <protection hidden="1"/>
    </xf>
    <xf numFmtId="0" fontId="13" fillId="3" borderId="1" xfId="0" applyFont="1" applyFill="1" applyBorder="1" applyAlignment="1" applyProtection="1">
      <alignment horizontal="left" vertical="center"/>
      <protection locked="0"/>
    </xf>
    <xf numFmtId="0" fontId="36" fillId="4" borderId="6" xfId="0" applyFont="1" applyFill="1" applyBorder="1" applyAlignment="1" applyProtection="1">
      <alignment horizontal="center" vertical="center"/>
      <protection hidden="1"/>
    </xf>
    <xf numFmtId="0" fontId="37" fillId="4" borderId="6" xfId="0" applyFont="1" applyFill="1" applyBorder="1" applyAlignment="1" applyProtection="1">
      <alignment horizontal="left" vertical="center"/>
      <protection hidden="1"/>
    </xf>
    <xf numFmtId="168" fontId="11" fillId="11" borderId="1" xfId="0" applyNumberFormat="1" applyFont="1" applyFill="1" applyBorder="1" applyAlignment="1" applyProtection="1">
      <alignment horizontal="center" vertical="center"/>
      <protection hidden="1"/>
    </xf>
    <xf numFmtId="168" fontId="38" fillId="3" borderId="6" xfId="0" applyNumberFormat="1" applyFont="1" applyFill="1" applyBorder="1" applyAlignment="1" applyProtection="1">
      <alignment horizontal="center" vertical="center"/>
      <protection locked="0"/>
    </xf>
    <xf numFmtId="168" fontId="11" fillId="11" borderId="6" xfId="0" applyNumberFormat="1" applyFont="1" applyFill="1" applyBorder="1" applyAlignment="1" applyProtection="1">
      <alignment horizontal="center" vertical="center"/>
      <protection hidden="1"/>
    </xf>
    <xf numFmtId="168" fontId="16" fillId="11" borderId="6" xfId="5" applyNumberFormat="1" applyFont="1" applyFill="1" applyBorder="1" applyAlignment="1" applyProtection="1">
      <alignment horizontal="center" vertical="center"/>
      <protection hidden="1"/>
    </xf>
    <xf numFmtId="0" fontId="15" fillId="9" borderId="6" xfId="0" applyFont="1" applyFill="1" applyBorder="1" applyAlignment="1" applyProtection="1">
      <alignment horizontal="left" vertical="center" wrapText="1"/>
      <protection hidden="1"/>
    </xf>
    <xf numFmtId="0" fontId="16" fillId="9" borderId="6" xfId="0" applyFont="1" applyFill="1" applyBorder="1" applyAlignment="1" applyProtection="1">
      <alignment horizontal="center" vertical="center" wrapText="1"/>
      <protection hidden="1"/>
    </xf>
    <xf numFmtId="0" fontId="16" fillId="9" borderId="7" xfId="0" applyFont="1" applyFill="1" applyBorder="1" applyAlignment="1" applyProtection="1">
      <alignment horizontal="center" vertical="center" wrapText="1"/>
      <protection hidden="1"/>
    </xf>
    <xf numFmtId="168" fontId="16" fillId="11" borderId="1" xfId="5" applyNumberFormat="1" applyFont="1" applyFill="1" applyBorder="1" applyAlignment="1" applyProtection="1">
      <alignment horizontal="center" vertical="center"/>
      <protection hidden="1"/>
    </xf>
    <xf numFmtId="10" fontId="16" fillId="3" borderId="1" xfId="5" applyNumberFormat="1" applyFont="1" applyFill="1" applyBorder="1" applyAlignment="1" applyProtection="1">
      <alignment horizontal="center" vertical="center"/>
      <protection locked="0"/>
    </xf>
    <xf numFmtId="0" fontId="16" fillId="3" borderId="1" xfId="5" applyNumberFormat="1" applyFont="1" applyFill="1" applyBorder="1" applyAlignment="1" applyProtection="1">
      <alignment horizontal="center" vertical="center"/>
      <protection locked="0"/>
    </xf>
    <xf numFmtId="0" fontId="15" fillId="9" borderId="1" xfId="0" applyFont="1" applyFill="1" applyBorder="1" applyAlignment="1" applyProtection="1">
      <alignment horizontal="left" vertical="center" wrapText="1"/>
      <protection hidden="1"/>
    </xf>
    <xf numFmtId="0" fontId="16" fillId="11" borderId="1" xfId="5" applyNumberFormat="1" applyFont="1" applyFill="1" applyBorder="1" applyAlignment="1" applyProtection="1">
      <alignment horizontal="right" vertical="center"/>
      <protection hidden="1"/>
    </xf>
    <xf numFmtId="8" fontId="16" fillId="11" borderId="1" xfId="0" applyNumberFormat="1" applyFont="1" applyFill="1" applyBorder="1" applyAlignment="1" applyProtection="1">
      <alignment horizontal="right"/>
      <protection hidden="1"/>
    </xf>
    <xf numFmtId="49" fontId="16" fillId="3" borderId="1" xfId="0" applyNumberFormat="1" applyFont="1" applyFill="1" applyBorder="1" applyAlignment="1" applyProtection="1">
      <alignment horizontal="right"/>
      <protection locked="0"/>
    </xf>
    <xf numFmtId="8" fontId="16" fillId="11" borderId="6" xfId="0" applyNumberFormat="1" applyFont="1" applyFill="1" applyBorder="1" applyAlignment="1" applyProtection="1">
      <alignment horizontal="right"/>
      <protection locked="0"/>
    </xf>
    <xf numFmtId="170" fontId="16" fillId="3" borderId="1" xfId="0" applyNumberFormat="1" applyFont="1" applyFill="1" applyBorder="1" applyAlignment="1" applyProtection="1">
      <alignment horizontal="right"/>
      <protection locked="0"/>
    </xf>
    <xf numFmtId="0" fontId="4" fillId="2" borderId="1" xfId="0" applyFont="1" applyFill="1" applyBorder="1" applyAlignment="1" applyProtection="1">
      <alignment horizontal="center"/>
      <protection hidden="1"/>
    </xf>
    <xf numFmtId="0" fontId="2" fillId="2" borderId="1" xfId="0" applyFont="1" applyFill="1" applyBorder="1" applyAlignment="1" applyProtection="1">
      <alignment horizontal="left"/>
      <protection hidden="1"/>
    </xf>
    <xf numFmtId="0" fontId="2" fillId="2" borderId="1" xfId="0" applyFont="1" applyFill="1" applyBorder="1" applyProtection="1">
      <protection hidden="1"/>
    </xf>
    <xf numFmtId="10" fontId="16" fillId="11" borderId="1" xfId="2" applyNumberFormat="1" applyFont="1" applyFill="1" applyBorder="1" applyAlignment="1" applyProtection="1">
      <alignment horizontal="right" vertical="center"/>
      <protection hidden="1"/>
    </xf>
    <xf numFmtId="168" fontId="16" fillId="3" borderId="6" xfId="5" applyNumberFormat="1" applyFont="1" applyFill="1" applyBorder="1" applyAlignment="1" applyProtection="1">
      <alignment horizontal="center" vertical="center"/>
      <protection locked="0"/>
    </xf>
    <xf numFmtId="9" fontId="16" fillId="7" borderId="1" xfId="2" applyFont="1" applyFill="1" applyBorder="1" applyAlignment="1" applyProtection="1">
      <alignment horizontal="center" vertical="center"/>
      <protection hidden="1"/>
    </xf>
    <xf numFmtId="0" fontId="37" fillId="4" borderId="6" xfId="0" applyFont="1" applyFill="1" applyBorder="1" applyAlignment="1" applyProtection="1">
      <alignment horizontal="center" vertical="center"/>
      <protection hidden="1"/>
    </xf>
    <xf numFmtId="9" fontId="16" fillId="3" borderId="1" xfId="5" applyNumberFormat="1" applyFont="1" applyFill="1" applyBorder="1" applyAlignment="1" applyProtection="1">
      <alignment horizontal="center" vertical="center"/>
      <protection locked="0"/>
    </xf>
    <xf numFmtId="168" fontId="16" fillId="3" borderId="1" xfId="5" applyNumberFormat="1" applyFont="1" applyFill="1" applyBorder="1" applyAlignment="1" applyProtection="1">
      <alignment horizontal="right" vertical="center"/>
      <protection locked="0"/>
    </xf>
    <xf numFmtId="10" fontId="16" fillId="3" borderId="1" xfId="0" applyNumberFormat="1" applyFont="1" applyFill="1" applyBorder="1" applyAlignment="1" applyProtection="1">
      <alignment horizontal="right" vertical="center"/>
      <protection locked="0"/>
    </xf>
    <xf numFmtId="0" fontId="16" fillId="3" borderId="1" xfId="0" applyFont="1" applyFill="1" applyBorder="1" applyAlignment="1" applyProtection="1">
      <alignment horizontal="right"/>
      <protection locked="0"/>
    </xf>
    <xf numFmtId="168" fontId="16" fillId="11" borderId="1" xfId="5" applyNumberFormat="1" applyFont="1" applyFill="1" applyBorder="1" applyAlignment="1" applyProtection="1">
      <alignment horizontal="right" vertical="center"/>
      <protection hidden="1"/>
    </xf>
    <xf numFmtId="0" fontId="16" fillId="11" borderId="1" xfId="5" applyNumberFormat="1" applyFont="1" applyFill="1" applyBorder="1" applyAlignment="1" applyProtection="1">
      <alignment horizontal="right" vertical="center"/>
      <protection hidden="1"/>
    </xf>
    <xf numFmtId="0" fontId="15" fillId="9" borderId="1" xfId="0" applyFont="1" applyFill="1" applyBorder="1" applyAlignment="1" applyProtection="1">
      <alignment horizontal="left" vertical="center" wrapText="1"/>
      <protection hidden="1"/>
    </xf>
    <xf numFmtId="170" fontId="16" fillId="11" borderId="1" xfId="0" applyNumberFormat="1" applyFont="1" applyFill="1" applyBorder="1" applyAlignment="1" applyProtection="1">
      <alignment horizontal="right"/>
      <protection hidden="1"/>
    </xf>
    <xf numFmtId="0" fontId="41" fillId="0" borderId="0" xfId="0" applyFont="1" applyProtection="1">
      <protection hidden="1"/>
    </xf>
    <xf numFmtId="0" fontId="39" fillId="23" borderId="1" xfId="0" applyFont="1" applyFill="1" applyBorder="1" applyAlignment="1" applyProtection="1">
      <alignment horizontal="left" vertical="center" wrapText="1"/>
      <protection hidden="1"/>
    </xf>
    <xf numFmtId="0" fontId="32" fillId="3" borderId="1" xfId="0" applyFont="1" applyFill="1" applyBorder="1" applyAlignment="1" applyProtection="1">
      <alignment horizontal="left" vertical="center" wrapText="1"/>
      <protection locked="0"/>
    </xf>
    <xf numFmtId="0" fontId="0" fillId="0" borderId="0" xfId="0" applyAlignment="1">
      <alignment horizontal="left" vertical="center" indent="5"/>
    </xf>
    <xf numFmtId="0" fontId="41" fillId="0" borderId="30" xfId="0" applyFont="1" applyBorder="1" applyAlignment="1">
      <alignment horizontal="center" vertical="center" wrapText="1"/>
    </xf>
    <xf numFmtId="0" fontId="41" fillId="0" borderId="31" xfId="0" applyFont="1" applyBorder="1" applyAlignment="1">
      <alignment horizontal="center" vertical="center" wrapText="1"/>
    </xf>
    <xf numFmtId="0" fontId="41" fillId="0" borderId="32" xfId="0" applyFont="1" applyBorder="1" applyAlignment="1">
      <alignment horizontal="center" vertical="center" wrapText="1"/>
    </xf>
    <xf numFmtId="0" fontId="41" fillId="0" borderId="30" xfId="0" applyFont="1" applyBorder="1" applyAlignment="1">
      <alignment vertical="center" wrapText="1"/>
    </xf>
    <xf numFmtId="0" fontId="0" fillId="0" borderId="31" xfId="0" applyBorder="1" applyAlignment="1">
      <alignment vertical="center" wrapText="1"/>
    </xf>
    <xf numFmtId="0" fontId="0" fillId="0" borderId="30" xfId="0" applyBorder="1" applyAlignment="1">
      <alignment vertical="center" wrapText="1"/>
    </xf>
    <xf numFmtId="0" fontId="44" fillId="0" borderId="0" xfId="0" applyFont="1" applyAlignment="1">
      <alignment vertical="center"/>
    </xf>
    <xf numFmtId="0" fontId="45" fillId="0" borderId="0" xfId="0" applyFont="1" applyAlignment="1">
      <alignment vertical="center"/>
    </xf>
    <xf numFmtId="0" fontId="46" fillId="0" borderId="0" xfId="0" applyFont="1" applyAlignment="1">
      <alignment horizontal="left" vertical="center" indent="5"/>
    </xf>
    <xf numFmtId="0" fontId="0" fillId="0" borderId="0" xfId="0" applyAlignment="1">
      <alignment vertical="center"/>
    </xf>
    <xf numFmtId="0" fontId="43" fillId="0" borderId="0" xfId="0" applyFont="1" applyAlignment="1">
      <alignment vertical="center"/>
    </xf>
    <xf numFmtId="0" fontId="0" fillId="0" borderId="0" xfId="0" applyAlignment="1" applyProtection="1">
      <alignment horizontal="left"/>
      <protection hidden="1"/>
    </xf>
    <xf numFmtId="0" fontId="0" fillId="0" borderId="0" xfId="0" applyAlignment="1">
      <alignment horizontal="left" vertical="top" indent="5"/>
    </xf>
    <xf numFmtId="0" fontId="0" fillId="0" borderId="0" xfId="0" applyAlignment="1">
      <alignment horizontal="left" vertical="top"/>
    </xf>
    <xf numFmtId="0" fontId="0" fillId="0" borderId="0" xfId="0" applyAlignment="1" applyProtection="1">
      <alignment horizontal="left" vertical="top"/>
      <protection hidden="1"/>
    </xf>
    <xf numFmtId="2" fontId="9" fillId="3" borderId="1" xfId="0" applyNumberFormat="1" applyFont="1" applyFill="1" applyBorder="1" applyAlignment="1" applyProtection="1">
      <alignment horizontal="center" vertical="center"/>
      <protection locked="0"/>
    </xf>
    <xf numFmtId="0" fontId="48" fillId="3" borderId="1" xfId="0" applyFont="1" applyFill="1" applyBorder="1" applyAlignment="1" applyProtection="1">
      <alignment horizontal="center" vertical="center" wrapText="1"/>
      <protection locked="0"/>
    </xf>
    <xf numFmtId="0" fontId="0" fillId="25" borderId="1" xfId="0" applyFill="1" applyBorder="1" applyAlignment="1" applyProtection="1">
      <alignment vertical="center" wrapText="1"/>
      <protection hidden="1"/>
    </xf>
    <xf numFmtId="0" fontId="0" fillId="26" borderId="1" xfId="0" applyFill="1" applyBorder="1" applyAlignment="1">
      <alignment horizontal="center"/>
    </xf>
    <xf numFmtId="0" fontId="0" fillId="19" borderId="1" xfId="0" applyFill="1" applyBorder="1" applyAlignment="1">
      <alignment horizontal="left"/>
    </xf>
    <xf numFmtId="15" fontId="0" fillId="19" borderId="1" xfId="0" applyNumberFormat="1" applyFill="1" applyBorder="1" applyAlignment="1">
      <alignment horizontal="left"/>
    </xf>
    <xf numFmtId="0" fontId="0" fillId="19" borderId="1" xfId="0" quotePrefix="1" applyFill="1" applyBorder="1" applyAlignment="1">
      <alignment horizontal="left"/>
    </xf>
    <xf numFmtId="15" fontId="0" fillId="19" borderId="1" xfId="0" quotePrefix="1" applyNumberFormat="1" applyFill="1" applyBorder="1" applyAlignment="1">
      <alignment horizontal="left"/>
    </xf>
    <xf numFmtId="0" fontId="0" fillId="19" borderId="1" xfId="0" applyFill="1" applyBorder="1" applyAlignment="1">
      <alignment horizontal="left" vertical="center" wrapText="1"/>
    </xf>
    <xf numFmtId="0" fontId="0" fillId="19" borderId="1" xfId="0" applyFill="1" applyBorder="1" applyAlignment="1">
      <alignment horizontal="left" vertical="center"/>
    </xf>
    <xf numFmtId="0" fontId="0" fillId="19" borderId="1" xfId="0" applyFill="1" applyBorder="1"/>
    <xf numFmtId="0" fontId="19" fillId="19" borderId="1" xfId="6" applyFill="1" applyBorder="1" applyAlignment="1">
      <alignment horizontal="left"/>
    </xf>
    <xf numFmtId="0" fontId="49" fillId="19" borderId="1" xfId="6" applyFont="1" applyFill="1" applyBorder="1" applyAlignment="1">
      <alignment horizontal="left"/>
    </xf>
    <xf numFmtId="0" fontId="0" fillId="0" borderId="1" xfId="0" applyBorder="1"/>
    <xf numFmtId="0" fontId="21" fillId="13" borderId="1" xfId="0" applyFont="1" applyFill="1" applyBorder="1" applyAlignment="1" applyProtection="1">
      <alignment horizontal="center" vertical="center" wrapText="1"/>
      <protection hidden="1"/>
    </xf>
    <xf numFmtId="0" fontId="41" fillId="0" borderId="0" xfId="0" applyFont="1"/>
    <xf numFmtId="0" fontId="18" fillId="26" borderId="6" xfId="0" applyFont="1" applyFill="1" applyBorder="1"/>
    <xf numFmtId="0" fontId="52" fillId="26" borderId="7" xfId="0" applyFont="1" applyFill="1" applyBorder="1"/>
    <xf numFmtId="0" fontId="52" fillId="26" borderId="8" xfId="0" applyFont="1" applyFill="1" applyBorder="1"/>
    <xf numFmtId="0" fontId="16" fillId="22" borderId="1" xfId="0" applyFont="1" applyFill="1" applyBorder="1" applyAlignment="1">
      <alignment horizontal="center"/>
    </xf>
    <xf numFmtId="0" fontId="15" fillId="27" borderId="6" xfId="0" applyFont="1" applyFill="1" applyBorder="1"/>
    <xf numFmtId="0" fontId="15" fillId="27" borderId="7" xfId="0" applyFont="1" applyFill="1" applyBorder="1"/>
    <xf numFmtId="0" fontId="15" fillId="27" borderId="8" xfId="0" applyFont="1" applyFill="1" applyBorder="1"/>
    <xf numFmtId="0" fontId="32" fillId="3" borderId="1" xfId="0" applyFont="1" applyFill="1" applyBorder="1"/>
    <xf numFmtId="168" fontId="32" fillId="3" borderId="1" xfId="7" applyNumberFormat="1" applyFont="1" applyFill="1" applyBorder="1" applyAlignment="1" applyProtection="1">
      <alignment horizontal="right" vertical="center"/>
      <protection locked="0"/>
    </xf>
    <xf numFmtId="9" fontId="32" fillId="3" borderId="1" xfId="2" applyFont="1" applyFill="1" applyBorder="1" applyAlignment="1">
      <alignment horizontal="center"/>
    </xf>
    <xf numFmtId="168" fontId="33" fillId="3" borderId="1" xfId="7" applyNumberFormat="1" applyFont="1" applyFill="1" applyBorder="1" applyAlignment="1" applyProtection="1">
      <alignment horizontal="right" vertical="center"/>
      <protection locked="0"/>
    </xf>
    <xf numFmtId="0" fontId="16" fillId="10" borderId="1" xfId="0" applyFont="1" applyFill="1" applyBorder="1"/>
    <xf numFmtId="9" fontId="16" fillId="10" borderId="1" xfId="2" applyFont="1" applyFill="1" applyBorder="1" applyAlignment="1">
      <alignment horizontal="center"/>
    </xf>
    <xf numFmtId="0" fontId="53" fillId="0" borderId="0" xfId="0" applyFont="1"/>
    <xf numFmtId="2" fontId="32" fillId="3" borderId="1" xfId="0" applyNumberFormat="1" applyFont="1" applyFill="1" applyBorder="1" applyProtection="1">
      <protection locked="0"/>
    </xf>
    <xf numFmtId="2" fontId="15" fillId="27" borderId="7" xfId="0" applyNumberFormat="1" applyFont="1" applyFill="1" applyBorder="1"/>
    <xf numFmtId="0" fontId="15" fillId="18" borderId="1" xfId="0" applyFont="1" applyFill="1" applyBorder="1"/>
    <xf numFmtId="0" fontId="7" fillId="18" borderId="1" xfId="0" applyFont="1" applyFill="1" applyBorder="1"/>
    <xf numFmtId="0" fontId="55" fillId="0" borderId="0" xfId="0" applyFont="1"/>
    <xf numFmtId="0" fontId="31" fillId="28" borderId="1" xfId="0" applyFont="1" applyFill="1" applyBorder="1"/>
    <xf numFmtId="0" fontId="52" fillId="28" borderId="1" xfId="0" applyFont="1" applyFill="1" applyBorder="1"/>
    <xf numFmtId="0" fontId="18" fillId="26" borderId="1" xfId="0" applyFont="1" applyFill="1" applyBorder="1"/>
    <xf numFmtId="0" fontId="51" fillId="26" borderId="7" xfId="0" applyFont="1" applyFill="1" applyBorder="1"/>
    <xf numFmtId="0" fontId="51" fillId="26" borderId="8" xfId="0" applyFont="1" applyFill="1" applyBorder="1"/>
    <xf numFmtId="0" fontId="33" fillId="3" borderId="1" xfId="0" applyFont="1" applyFill="1" applyBorder="1"/>
    <xf numFmtId="9" fontId="33" fillId="3" borderId="1" xfId="2" applyFont="1" applyFill="1" applyBorder="1" applyAlignment="1">
      <alignment horizontal="center"/>
    </xf>
    <xf numFmtId="0" fontId="16" fillId="10" borderId="6" xfId="0" applyFont="1" applyFill="1" applyBorder="1"/>
    <xf numFmtId="2" fontId="27" fillId="10" borderId="7" xfId="0" applyNumberFormat="1" applyFont="1" applyFill="1" applyBorder="1"/>
    <xf numFmtId="0" fontId="27" fillId="10" borderId="7" xfId="0" applyFont="1" applyFill="1" applyBorder="1" applyAlignment="1">
      <alignment horizontal="center"/>
    </xf>
    <xf numFmtId="0" fontId="27" fillId="10" borderId="8" xfId="0" applyFont="1" applyFill="1" applyBorder="1" applyAlignment="1">
      <alignment horizontal="center"/>
    </xf>
    <xf numFmtId="0" fontId="56" fillId="0" borderId="0" xfId="0" applyFont="1"/>
    <xf numFmtId="0" fontId="50" fillId="0" borderId="0" xfId="0" applyFont="1"/>
    <xf numFmtId="0" fontId="16" fillId="22" borderId="1" xfId="0" applyFont="1" applyFill="1" applyBorder="1" applyAlignment="1" applyProtection="1">
      <alignment horizontal="center"/>
      <protection locked="0"/>
    </xf>
    <xf numFmtId="0" fontId="25" fillId="0" borderId="0" xfId="0" applyFont="1" applyFill="1" applyBorder="1" applyAlignment="1" applyProtection="1">
      <alignment horizontal="center"/>
      <protection hidden="1"/>
    </xf>
    <xf numFmtId="168" fontId="16" fillId="0" borderId="0" xfId="5" applyNumberFormat="1" applyFont="1" applyFill="1" applyBorder="1" applyAlignment="1" applyProtection="1">
      <alignment horizontal="right" vertical="center"/>
      <protection locked="0"/>
    </xf>
    <xf numFmtId="10" fontId="16" fillId="0" borderId="0" xfId="0" applyNumberFormat="1" applyFont="1" applyFill="1" applyBorder="1" applyAlignment="1" applyProtection="1">
      <alignment horizontal="right" vertical="center"/>
      <protection locked="0"/>
    </xf>
    <xf numFmtId="0" fontId="16" fillId="0" borderId="0" xfId="0" applyFont="1" applyFill="1" applyBorder="1" applyAlignment="1" applyProtection="1">
      <alignment horizontal="right"/>
      <protection locked="0"/>
    </xf>
    <xf numFmtId="8" fontId="16" fillId="0" borderId="0" xfId="0" applyNumberFormat="1" applyFont="1" applyFill="1" applyBorder="1" applyAlignment="1" applyProtection="1">
      <alignment horizontal="right"/>
      <protection hidden="1"/>
    </xf>
    <xf numFmtId="168" fontId="16" fillId="0" borderId="0" xfId="0" applyNumberFormat="1" applyFont="1" applyFill="1" applyBorder="1" applyAlignment="1" applyProtection="1">
      <alignment horizontal="right"/>
      <protection hidden="1"/>
    </xf>
    <xf numFmtId="2" fontId="16" fillId="0" borderId="0" xfId="0" applyNumberFormat="1" applyFont="1" applyFill="1" applyBorder="1" applyAlignment="1" applyProtection="1">
      <alignment horizontal="right"/>
      <protection hidden="1"/>
    </xf>
    <xf numFmtId="0" fontId="16" fillId="0" borderId="0" xfId="5" applyNumberFormat="1" applyFont="1" applyFill="1" applyBorder="1" applyAlignment="1" applyProtection="1">
      <alignment horizontal="center" vertical="center"/>
      <protection hidden="1"/>
    </xf>
    <xf numFmtId="9" fontId="16" fillId="0" borderId="0" xfId="2" applyFont="1" applyFill="1" applyBorder="1" applyAlignment="1" applyProtection="1">
      <alignment horizontal="center" vertical="center"/>
      <protection hidden="1"/>
    </xf>
    <xf numFmtId="165" fontId="20" fillId="0" borderId="0" xfId="4" applyNumberFormat="1" applyFont="1" applyFill="1" applyBorder="1" applyAlignment="1" applyProtection="1">
      <alignment horizontal="center" vertical="center"/>
      <protection hidden="1"/>
    </xf>
    <xf numFmtId="165" fontId="8" fillId="0" borderId="0" xfId="4" applyNumberFormat="1" applyFont="1" applyFill="1" applyBorder="1" applyAlignment="1" applyProtection="1">
      <alignment horizontal="center" vertical="center" wrapText="1"/>
      <protection locked="0"/>
    </xf>
    <xf numFmtId="0" fontId="21" fillId="0" borderId="0" xfId="0" applyFont="1" applyFill="1" applyBorder="1" applyAlignment="1" applyProtection="1">
      <alignment horizontal="center" vertical="center" wrapText="1"/>
      <protection hidden="1"/>
    </xf>
    <xf numFmtId="1" fontId="22" fillId="0" borderId="0" xfId="3" applyNumberFormat="1" applyFont="1" applyFill="1" applyBorder="1" applyAlignment="1" applyProtection="1">
      <alignment horizontal="center" vertical="center"/>
      <protection locked="0"/>
    </xf>
    <xf numFmtId="1" fontId="22" fillId="0" borderId="0" xfId="3" applyNumberFormat="1" applyFont="1" applyFill="1" applyBorder="1" applyAlignment="1" applyProtection="1">
      <alignment horizontal="center" vertical="center"/>
      <protection hidden="1"/>
    </xf>
    <xf numFmtId="10" fontId="22" fillId="0" borderId="0" xfId="4" applyNumberFormat="1" applyFont="1" applyFill="1" applyBorder="1" applyAlignment="1" applyProtection="1">
      <alignment horizontal="center" vertical="center"/>
      <protection hidden="1"/>
    </xf>
    <xf numFmtId="38" fontId="21" fillId="0" borderId="0" xfId="0" applyNumberFormat="1" applyFont="1" applyFill="1" applyBorder="1" applyAlignment="1" applyProtection="1">
      <alignment horizontal="center" vertical="center" wrapText="1"/>
      <protection hidden="1"/>
    </xf>
    <xf numFmtId="1" fontId="22" fillId="14" borderId="6" xfId="3" applyNumberFormat="1" applyFont="1" applyFill="1" applyBorder="1" applyAlignment="1" applyProtection="1">
      <alignment horizontal="center" vertical="center"/>
      <protection locked="0"/>
    </xf>
    <xf numFmtId="38" fontId="21" fillId="13" borderId="6" xfId="0" applyNumberFormat="1" applyFont="1" applyFill="1" applyBorder="1" applyAlignment="1" applyProtection="1">
      <alignment horizontal="center" vertical="center" wrapText="1"/>
      <protection hidden="1"/>
    </xf>
    <xf numFmtId="0" fontId="0" fillId="0" borderId="0" xfId="0" applyFill="1" applyBorder="1" applyProtection="1">
      <protection hidden="1"/>
    </xf>
    <xf numFmtId="3" fontId="22" fillId="15" borderId="1" xfId="3" applyNumberFormat="1" applyFont="1" applyFill="1" applyBorder="1" applyAlignment="1" applyProtection="1">
      <alignment horizontal="center" vertical="center"/>
      <protection hidden="1"/>
    </xf>
    <xf numFmtId="9" fontId="16" fillId="18" borderId="1" xfId="2" applyFont="1" applyFill="1" applyBorder="1" applyAlignment="1">
      <alignment horizontal="center"/>
    </xf>
    <xf numFmtId="9" fontId="21" fillId="18" borderId="1" xfId="2" applyFont="1" applyFill="1" applyBorder="1" applyAlignment="1">
      <alignment horizontal="center"/>
    </xf>
    <xf numFmtId="0" fontId="32" fillId="3" borderId="1" xfId="0" applyFont="1" applyFill="1" applyBorder="1" applyProtection="1">
      <protection locked="0"/>
    </xf>
    <xf numFmtId="0" fontId="54" fillId="3" borderId="1" xfId="0" applyFont="1" applyFill="1" applyBorder="1" applyProtection="1">
      <protection locked="0"/>
    </xf>
    <xf numFmtId="0" fontId="27" fillId="29" borderId="1" xfId="0" applyFont="1" applyFill="1" applyBorder="1"/>
    <xf numFmtId="2" fontId="16" fillId="29" borderId="1" xfId="0" applyNumberFormat="1" applyFont="1" applyFill="1" applyBorder="1" applyAlignment="1">
      <alignment horizontal="center"/>
    </xf>
    <xf numFmtId="9" fontId="32" fillId="29" borderId="1" xfId="2" applyFont="1" applyFill="1" applyBorder="1" applyAlignment="1">
      <alignment horizontal="center"/>
    </xf>
    <xf numFmtId="10" fontId="16" fillId="29" borderId="1" xfId="2" applyNumberFormat="1" applyFont="1" applyFill="1" applyBorder="1" applyAlignment="1">
      <alignment horizontal="center"/>
    </xf>
    <xf numFmtId="165" fontId="16" fillId="10" borderId="1" xfId="1" applyFont="1" applyFill="1" applyBorder="1"/>
    <xf numFmtId="9" fontId="39" fillId="10" borderId="1" xfId="2" applyFont="1" applyFill="1" applyBorder="1" applyAlignment="1">
      <alignment horizontal="center"/>
    </xf>
    <xf numFmtId="0" fontId="39" fillId="27" borderId="7" xfId="0" applyFont="1" applyFill="1" applyBorder="1" applyAlignment="1">
      <alignment horizontal="center"/>
    </xf>
    <xf numFmtId="0" fontId="39" fillId="27" borderId="8" xfId="0" applyFont="1" applyFill="1" applyBorder="1" applyAlignment="1">
      <alignment horizontal="center"/>
    </xf>
    <xf numFmtId="9" fontId="39" fillId="18" borderId="1" xfId="2" applyFont="1" applyFill="1" applyBorder="1" applyAlignment="1">
      <alignment horizontal="center"/>
    </xf>
    <xf numFmtId="165" fontId="16" fillId="18" borderId="1" xfId="1" applyFont="1" applyFill="1" applyBorder="1"/>
    <xf numFmtId="165" fontId="21" fillId="18" borderId="1" xfId="1" applyFont="1" applyFill="1" applyBorder="1"/>
    <xf numFmtId="165" fontId="52" fillId="28" borderId="1" xfId="1" applyFont="1" applyFill="1" applyBorder="1"/>
    <xf numFmtId="165" fontId="33" fillId="3" borderId="1" xfId="1" applyFont="1" applyFill="1" applyBorder="1"/>
    <xf numFmtId="165" fontId="32" fillId="3" borderId="1" xfId="1" applyFont="1" applyFill="1" applyBorder="1"/>
    <xf numFmtId="165" fontId="16" fillId="29" borderId="1" xfId="1" applyFont="1" applyFill="1" applyBorder="1" applyAlignment="1">
      <alignment horizontal="center"/>
    </xf>
    <xf numFmtId="0" fontId="16" fillId="22" borderId="1" xfId="0" applyFont="1" applyFill="1" applyBorder="1" applyAlignment="1" applyProtection="1">
      <alignment horizontal="center"/>
      <protection hidden="1"/>
    </xf>
    <xf numFmtId="0" fontId="15" fillId="9" borderId="1" xfId="0" applyFont="1" applyFill="1" applyBorder="1" applyAlignment="1" applyProtection="1">
      <alignment horizontal="left" vertical="center" wrapText="1"/>
      <protection hidden="1"/>
    </xf>
    <xf numFmtId="168" fontId="16" fillId="11" borderId="1" xfId="5" applyNumberFormat="1" applyFont="1" applyFill="1" applyBorder="1" applyAlignment="1" applyProtection="1">
      <alignment horizontal="center" vertical="center"/>
      <protection hidden="1"/>
    </xf>
    <xf numFmtId="168" fontId="16" fillId="11" borderId="1" xfId="5" applyNumberFormat="1" applyFont="1" applyFill="1" applyBorder="1" applyAlignment="1" applyProtection="1">
      <alignment horizontal="center" vertical="center"/>
      <protection hidden="1"/>
    </xf>
    <xf numFmtId="168" fontId="16" fillId="11" borderId="1" xfId="5" applyNumberFormat="1" applyFont="1" applyFill="1" applyBorder="1" applyAlignment="1" applyProtection="1">
      <alignment horizontal="center" vertical="center"/>
      <protection hidden="1"/>
    </xf>
    <xf numFmtId="9" fontId="16" fillId="3" borderId="14" xfId="5" applyNumberFormat="1" applyFont="1" applyFill="1" applyBorder="1" applyAlignment="1" applyProtection="1">
      <alignment horizontal="center" vertical="center"/>
      <protection locked="0"/>
    </xf>
    <xf numFmtId="0" fontId="15" fillId="9" borderId="1" xfId="0" applyFont="1" applyFill="1" applyBorder="1" applyAlignment="1" applyProtection="1">
      <alignment horizontal="left" vertical="center" wrapText="1"/>
      <protection hidden="1"/>
    </xf>
    <xf numFmtId="10" fontId="16" fillId="3" borderId="6" xfId="5" applyNumberFormat="1" applyFont="1" applyFill="1" applyBorder="1" applyAlignment="1" applyProtection="1">
      <alignment horizontal="center" vertical="center"/>
      <protection locked="0"/>
    </xf>
    <xf numFmtId="10" fontId="16" fillId="3" borderId="7" xfId="5" applyNumberFormat="1" applyFont="1" applyFill="1" applyBorder="1" applyAlignment="1" applyProtection="1">
      <alignment horizontal="center" vertical="center"/>
      <protection locked="0"/>
    </xf>
    <xf numFmtId="0" fontId="15" fillId="9" borderId="6" xfId="0" applyFont="1" applyFill="1" applyBorder="1" applyAlignment="1" applyProtection="1">
      <alignment horizontal="left" vertical="center" wrapText="1"/>
      <protection hidden="1"/>
    </xf>
    <xf numFmtId="168" fontId="16" fillId="11" borderId="1" xfId="5" applyNumberFormat="1" applyFont="1" applyFill="1" applyBorder="1" applyAlignment="1" applyProtection="1">
      <alignment horizontal="center" vertical="center"/>
      <protection locked="0"/>
    </xf>
    <xf numFmtId="168" fontId="16" fillId="3" borderId="6" xfId="5" applyNumberFormat="1" applyFont="1" applyFill="1" applyBorder="1" applyAlignment="1" applyProtection="1">
      <alignment horizontal="center" vertical="center"/>
      <protection locked="0"/>
    </xf>
    <xf numFmtId="0" fontId="13" fillId="3" borderId="1" xfId="0" applyFont="1" applyFill="1" applyBorder="1" applyAlignment="1" applyProtection="1">
      <alignment horizontal="center" vertical="center"/>
      <protection locked="0"/>
    </xf>
    <xf numFmtId="0" fontId="36" fillId="4" borderId="6" xfId="0" applyFont="1" applyFill="1" applyBorder="1" applyAlignment="1" applyProtection="1">
      <alignment horizontal="center" vertical="center"/>
      <protection hidden="1"/>
    </xf>
    <xf numFmtId="168" fontId="11" fillId="11" borderId="6" xfId="0" applyNumberFormat="1" applyFont="1" applyFill="1" applyBorder="1" applyAlignment="1" applyProtection="1">
      <alignment horizontal="center" vertical="center"/>
      <protection hidden="1"/>
    </xf>
    <xf numFmtId="0" fontId="36" fillId="4" borderId="1" xfId="0" applyFont="1" applyFill="1" applyBorder="1" applyAlignment="1" applyProtection="1">
      <alignment horizontal="center" vertical="center"/>
      <protection hidden="1"/>
    </xf>
    <xf numFmtId="172" fontId="16" fillId="22" borderId="1" xfId="0" applyNumberFormat="1" applyFont="1" applyFill="1" applyBorder="1" applyAlignment="1" applyProtection="1">
      <alignment horizontal="center"/>
      <protection locked="0"/>
    </xf>
    <xf numFmtId="172" fontId="16" fillId="22" borderId="1" xfId="0" applyNumberFormat="1" applyFont="1" applyFill="1" applyBorder="1" applyAlignment="1">
      <alignment horizontal="center"/>
    </xf>
    <xf numFmtId="172" fontId="16" fillId="22" borderId="1" xfId="0" applyNumberFormat="1" applyFont="1" applyFill="1" applyBorder="1" applyAlignment="1" applyProtection="1">
      <alignment horizontal="center"/>
    </xf>
    <xf numFmtId="0" fontId="35" fillId="17" borderId="1" xfId="0" applyFont="1" applyFill="1" applyBorder="1" applyAlignment="1">
      <alignment vertical="center"/>
    </xf>
    <xf numFmtId="168" fontId="38" fillId="3" borderId="6" xfId="0" applyNumberFormat="1" applyFont="1" applyFill="1" applyBorder="1" applyAlignment="1" applyProtection="1">
      <alignment horizontal="center" vertical="center"/>
      <protection hidden="1"/>
    </xf>
    <xf numFmtId="0" fontId="37" fillId="4" borderId="1" xfId="0" applyFont="1" applyFill="1" applyBorder="1" applyAlignment="1">
      <alignment horizontal="center" vertical="center"/>
    </xf>
    <xf numFmtId="0" fontId="30" fillId="17" borderId="1" xfId="0" applyFont="1" applyFill="1" applyBorder="1" applyAlignment="1">
      <alignment horizontal="center" vertical="center"/>
    </xf>
    <xf numFmtId="0" fontId="35" fillId="17" borderId="6" xfId="0" applyFont="1" applyFill="1" applyBorder="1" applyAlignment="1">
      <alignment vertical="center"/>
    </xf>
    <xf numFmtId="0" fontId="35" fillId="17" borderId="7" xfId="0" applyFont="1" applyFill="1" applyBorder="1" applyAlignment="1" applyProtection="1">
      <alignment vertical="center"/>
      <protection hidden="1"/>
    </xf>
    <xf numFmtId="0" fontId="38" fillId="4" borderId="1" xfId="0" applyFont="1" applyFill="1" applyBorder="1" applyAlignment="1">
      <alignment horizontal="center" vertical="center"/>
    </xf>
    <xf numFmtId="168" fontId="38" fillId="3" borderId="1" xfId="0" applyNumberFormat="1" applyFont="1" applyFill="1" applyBorder="1" applyAlignment="1" applyProtection="1">
      <alignment horizontal="center" vertical="center"/>
      <protection locked="0"/>
    </xf>
    <xf numFmtId="0" fontId="1" fillId="2" borderId="0" xfId="8" applyFill="1"/>
    <xf numFmtId="14" fontId="1" fillId="2" borderId="1" xfId="8" applyNumberFormat="1" applyFill="1" applyBorder="1" applyAlignment="1">
      <alignment horizontal="right" vertical="center"/>
    </xf>
    <xf numFmtId="14" fontId="41" fillId="9" borderId="1" xfId="8" applyNumberFormat="1" applyFont="1" applyFill="1" applyBorder="1" applyAlignment="1">
      <alignment horizontal="left" vertical="center"/>
    </xf>
    <xf numFmtId="1" fontId="1" fillId="2" borderId="36" xfId="8" applyNumberFormat="1" applyFill="1" applyBorder="1" applyAlignment="1">
      <alignment horizontal="right" vertical="center"/>
    </xf>
    <xf numFmtId="173" fontId="60" fillId="2" borderId="1" xfId="8" applyNumberFormat="1" applyFont="1" applyFill="1" applyBorder="1"/>
    <xf numFmtId="174" fontId="60" fillId="2" borderId="36" xfId="8" applyNumberFormat="1" applyFont="1" applyFill="1" applyBorder="1"/>
    <xf numFmtId="173" fontId="60" fillId="31" borderId="47" xfId="8" applyNumberFormat="1" applyFont="1" applyFill="1" applyBorder="1"/>
    <xf numFmtId="174" fontId="60" fillId="31" borderId="19" xfId="8" applyNumberFormat="1" applyFont="1" applyFill="1" applyBorder="1"/>
    <xf numFmtId="0" fontId="41" fillId="9" borderId="22" xfId="8" applyFont="1" applyFill="1" applyBorder="1" applyAlignment="1">
      <alignment horizontal="center" vertical="center" wrapText="1"/>
    </xf>
    <xf numFmtId="0" fontId="41" fillId="9" borderId="13" xfId="8" applyFont="1" applyFill="1" applyBorder="1" applyAlignment="1">
      <alignment horizontal="center" vertical="center" wrapText="1"/>
    </xf>
    <xf numFmtId="0" fontId="41" fillId="9" borderId="21" xfId="8" applyFont="1" applyFill="1" applyBorder="1" applyAlignment="1">
      <alignment horizontal="center" vertical="center" wrapText="1"/>
    </xf>
    <xf numFmtId="0" fontId="55" fillId="2" borderId="46" xfId="8" applyFont="1" applyFill="1" applyBorder="1" applyAlignment="1">
      <alignment horizontal="center" vertical="center" wrapText="1"/>
    </xf>
    <xf numFmtId="0" fontId="55" fillId="2" borderId="1" xfId="8" applyFont="1" applyFill="1" applyBorder="1" applyAlignment="1">
      <alignment horizontal="center" vertical="center" wrapText="1"/>
    </xf>
    <xf numFmtId="14" fontId="55" fillId="2" borderId="1" xfId="8" applyNumberFormat="1" applyFont="1" applyFill="1" applyBorder="1" applyAlignment="1">
      <alignment horizontal="center" vertical="center" wrapText="1"/>
    </xf>
    <xf numFmtId="5" fontId="55" fillId="2" borderId="1" xfId="8" applyNumberFormat="1" applyFont="1" applyFill="1" applyBorder="1" applyAlignment="1">
      <alignment horizontal="center" vertical="center" wrapText="1"/>
    </xf>
    <xf numFmtId="0" fontId="55" fillId="2" borderId="36" xfId="8" applyFont="1" applyFill="1" applyBorder="1" applyAlignment="1">
      <alignment horizontal="center" vertical="center" wrapText="1"/>
    </xf>
    <xf numFmtId="0" fontId="55" fillId="2" borderId="20" xfId="8" applyFont="1" applyFill="1" applyBorder="1" applyAlignment="1">
      <alignment horizontal="center" vertical="center" wrapText="1"/>
    </xf>
    <xf numFmtId="0" fontId="55" fillId="2" borderId="47" xfId="8" applyFont="1" applyFill="1" applyBorder="1" applyAlignment="1">
      <alignment horizontal="center" vertical="center" wrapText="1"/>
    </xf>
    <xf numFmtId="14" fontId="55" fillId="2" borderId="47" xfId="8" applyNumberFormat="1" applyFont="1" applyFill="1" applyBorder="1" applyAlignment="1">
      <alignment horizontal="center" vertical="center" wrapText="1"/>
    </xf>
    <xf numFmtId="5" fontId="55" fillId="2" borderId="47" xfId="8" applyNumberFormat="1" applyFont="1" applyFill="1" applyBorder="1" applyAlignment="1">
      <alignment horizontal="center" vertical="center" wrapText="1"/>
    </xf>
    <xf numFmtId="0" fontId="55" fillId="2" borderId="19" xfId="8" applyFont="1" applyFill="1" applyBorder="1" applyAlignment="1">
      <alignment horizontal="center" vertical="center" wrapText="1"/>
    </xf>
    <xf numFmtId="0" fontId="1" fillId="2" borderId="0" xfId="8" applyFill="1" applyAlignment="1">
      <alignment wrapText="1"/>
    </xf>
    <xf numFmtId="0" fontId="41" fillId="9" borderId="49" xfId="8" applyFont="1" applyFill="1" applyBorder="1" applyAlignment="1">
      <alignment horizontal="center" vertical="center" wrapText="1"/>
    </xf>
    <xf numFmtId="0" fontId="41" fillId="9" borderId="50" xfId="8" applyFont="1" applyFill="1" applyBorder="1" applyAlignment="1">
      <alignment horizontal="center" vertical="center" wrapText="1"/>
    </xf>
    <xf numFmtId="0" fontId="1" fillId="2" borderId="0" xfId="8" applyFill="1" applyAlignment="1">
      <alignment horizontal="center"/>
    </xf>
    <xf numFmtId="1" fontId="55" fillId="2" borderId="46" xfId="8" applyNumberFormat="1" applyFont="1" applyFill="1" applyBorder="1" applyAlignment="1">
      <alignment horizontal="center" vertical="center" wrapText="1"/>
    </xf>
    <xf numFmtId="49" fontId="55" fillId="2" borderId="1" xfId="8" applyNumberFormat="1" applyFont="1" applyFill="1" applyBorder="1" applyAlignment="1">
      <alignment horizontal="center" vertical="center" wrapText="1"/>
    </xf>
    <xf numFmtId="1" fontId="55" fillId="2" borderId="20" xfId="8" applyNumberFormat="1" applyFont="1" applyFill="1" applyBorder="1" applyAlignment="1">
      <alignment horizontal="center" vertical="center" wrapText="1"/>
    </xf>
    <xf numFmtId="49" fontId="55" fillId="2" borderId="47" xfId="8" applyNumberFormat="1" applyFont="1" applyFill="1" applyBorder="1" applyAlignment="1">
      <alignment horizontal="center" vertical="center" wrapText="1"/>
    </xf>
    <xf numFmtId="0" fontId="61" fillId="2" borderId="0" xfId="9" applyFont="1" applyFill="1"/>
    <xf numFmtId="0" fontId="56" fillId="2" borderId="0" xfId="9" applyFont="1" applyFill="1"/>
    <xf numFmtId="0" fontId="56" fillId="2" borderId="52" xfId="9" applyFont="1" applyFill="1" applyBorder="1"/>
    <xf numFmtId="0" fontId="61" fillId="2" borderId="0" xfId="9" applyFont="1" applyFill="1" applyAlignment="1">
      <alignment vertical="center"/>
    </xf>
    <xf numFmtId="0" fontId="56" fillId="2" borderId="0" xfId="9" applyFont="1" applyFill="1" applyAlignment="1">
      <alignment vertical="center"/>
    </xf>
    <xf numFmtId="0" fontId="56" fillId="2" borderId="52" xfId="9" applyFont="1" applyFill="1" applyBorder="1" applyAlignment="1">
      <alignment vertical="center"/>
    </xf>
    <xf numFmtId="0" fontId="63" fillId="2" borderId="0" xfId="9" applyFont="1" applyFill="1"/>
    <xf numFmtId="0" fontId="64" fillId="2" borderId="0" xfId="9" applyFont="1" applyFill="1"/>
    <xf numFmtId="0" fontId="64" fillId="2" borderId="52" xfId="9" applyFont="1" applyFill="1" applyBorder="1"/>
    <xf numFmtId="17" fontId="41" fillId="34" borderId="23" xfId="9" applyNumberFormat="1" applyFont="1" applyFill="1" applyBorder="1" applyAlignment="1">
      <alignment horizontal="center" vertical="center" wrapText="1"/>
    </xf>
    <xf numFmtId="0" fontId="41" fillId="34" borderId="12" xfId="9" applyFont="1" applyFill="1" applyBorder="1" applyAlignment="1">
      <alignment horizontal="center" vertical="center" wrapText="1"/>
    </xf>
    <xf numFmtId="0" fontId="41" fillId="34" borderId="37" xfId="9" applyFont="1" applyFill="1" applyBorder="1" applyAlignment="1">
      <alignment horizontal="center" vertical="center" wrapText="1"/>
    </xf>
    <xf numFmtId="17" fontId="41" fillId="34" borderId="23" xfId="9" applyNumberFormat="1" applyFont="1" applyFill="1" applyBorder="1" applyAlignment="1">
      <alignment horizontal="center" vertical="center"/>
    </xf>
    <xf numFmtId="0" fontId="41" fillId="34" borderId="12" xfId="9" applyFont="1" applyFill="1" applyBorder="1" applyAlignment="1">
      <alignment horizontal="center" vertical="center"/>
    </xf>
    <xf numFmtId="17" fontId="41" fillId="34" borderId="58" xfId="9" applyNumberFormat="1" applyFont="1" applyFill="1" applyBorder="1" applyAlignment="1">
      <alignment horizontal="center" vertical="center"/>
    </xf>
    <xf numFmtId="0" fontId="41" fillId="34" borderId="37" xfId="9" applyFont="1" applyFill="1" applyBorder="1" applyAlignment="1">
      <alignment horizontal="center" vertical="center"/>
    </xf>
    <xf numFmtId="0" fontId="56" fillId="2" borderId="24" xfId="9" applyFont="1" applyFill="1" applyBorder="1" applyAlignment="1">
      <alignment vertical="center"/>
    </xf>
    <xf numFmtId="0" fontId="56" fillId="2" borderId="13" xfId="9" applyFont="1" applyFill="1" applyBorder="1" applyAlignment="1">
      <alignment vertical="center"/>
    </xf>
    <xf numFmtId="3" fontId="56" fillId="2" borderId="13" xfId="9" applyNumberFormat="1" applyFont="1" applyFill="1" applyBorder="1" applyAlignment="1">
      <alignment vertical="center"/>
    </xf>
    <xf numFmtId="3" fontId="65" fillId="0" borderId="59" xfId="9" applyNumberFormat="1" applyFont="1" applyBorder="1" applyAlignment="1">
      <alignment vertical="center"/>
    </xf>
    <xf numFmtId="14" fontId="56" fillId="2" borderId="13" xfId="9" applyNumberFormat="1" applyFont="1" applyFill="1" applyBorder="1" applyAlignment="1">
      <alignment vertical="center"/>
    </xf>
    <xf numFmtId="1" fontId="56" fillId="35" borderId="13" xfId="9" applyNumberFormat="1" applyFont="1" applyFill="1" applyBorder="1" applyAlignment="1">
      <alignment vertical="center"/>
    </xf>
    <xf numFmtId="0" fontId="56" fillId="2" borderId="13" xfId="9" applyFont="1" applyFill="1" applyBorder="1" applyAlignment="1">
      <alignment horizontal="center" vertical="center"/>
    </xf>
    <xf numFmtId="0" fontId="56" fillId="35" borderId="13" xfId="9" applyFont="1" applyFill="1" applyBorder="1" applyAlignment="1">
      <alignment vertical="center"/>
    </xf>
    <xf numFmtId="177" fontId="56" fillId="35" borderId="13" xfId="9" applyNumberFormat="1" applyFont="1" applyFill="1" applyBorder="1" applyAlignment="1">
      <alignment vertical="center"/>
    </xf>
    <xf numFmtId="3" fontId="56" fillId="35" borderId="13" xfId="9" applyNumberFormat="1" applyFont="1" applyFill="1" applyBorder="1" applyAlignment="1">
      <alignment vertical="center"/>
    </xf>
    <xf numFmtId="3" fontId="56" fillId="35" borderId="9" xfId="9" applyNumberFormat="1" applyFont="1" applyFill="1" applyBorder="1" applyAlignment="1">
      <alignment vertical="center"/>
    </xf>
    <xf numFmtId="0" fontId="56" fillId="2" borderId="15" xfId="9" applyFont="1" applyFill="1" applyBorder="1" applyAlignment="1">
      <alignment vertical="center"/>
    </xf>
    <xf numFmtId="0" fontId="56" fillId="2" borderId="9" xfId="9" applyFont="1" applyFill="1" applyBorder="1" applyAlignment="1">
      <alignment vertical="center"/>
    </xf>
    <xf numFmtId="3" fontId="56" fillId="2" borderId="9" xfId="9" applyNumberFormat="1" applyFont="1" applyFill="1" applyBorder="1" applyAlignment="1">
      <alignment vertical="center"/>
    </xf>
    <xf numFmtId="3" fontId="65" fillId="0" borderId="0" xfId="9" applyNumberFormat="1" applyFont="1" applyAlignment="1">
      <alignment vertical="center"/>
    </xf>
    <xf numFmtId="14" fontId="56" fillId="2" borderId="9" xfId="9" applyNumberFormat="1" applyFont="1" applyFill="1" applyBorder="1" applyAlignment="1">
      <alignment vertical="center"/>
    </xf>
    <xf numFmtId="0" fontId="56" fillId="2" borderId="9" xfId="9" applyFont="1" applyFill="1" applyBorder="1" applyAlignment="1">
      <alignment horizontal="center" vertical="center"/>
    </xf>
    <xf numFmtId="0" fontId="56" fillId="2" borderId="25" xfId="9" applyFont="1" applyFill="1" applyBorder="1" applyAlignment="1">
      <alignment vertical="center"/>
    </xf>
    <xf numFmtId="0" fontId="0" fillId="9" borderId="60" xfId="0" applyFill="1" applyBorder="1" applyAlignment="1">
      <alignment vertical="center"/>
    </xf>
    <xf numFmtId="0" fontId="0" fillId="9" borderId="61" xfId="0" applyFill="1" applyBorder="1" applyAlignment="1">
      <alignment vertical="center"/>
    </xf>
    <xf numFmtId="177" fontId="0" fillId="9" borderId="61" xfId="0" applyNumberFormat="1" applyFill="1" applyBorder="1" applyAlignment="1">
      <alignment vertical="center"/>
    </xf>
    <xf numFmtId="3" fontId="0" fillId="9" borderId="61" xfId="0" applyNumberFormat="1" applyFill="1" applyBorder="1" applyAlignment="1">
      <alignment vertical="center"/>
    </xf>
    <xf numFmtId="3" fontId="0" fillId="9" borderId="54" xfId="0" applyNumberFormat="1" applyFill="1" applyBorder="1" applyAlignment="1">
      <alignment vertical="center"/>
    </xf>
    <xf numFmtId="177" fontId="0" fillId="9" borderId="62" xfId="0" applyNumberFormat="1" applyFill="1" applyBorder="1" applyAlignment="1">
      <alignment vertical="center"/>
    </xf>
    <xf numFmtId="178" fontId="13" fillId="3" borderId="1" xfId="0" applyNumberFormat="1" applyFont="1" applyFill="1" applyBorder="1" applyAlignment="1" applyProtection="1">
      <alignment horizontal="center" vertical="center"/>
      <protection locked="0"/>
    </xf>
    <xf numFmtId="17" fontId="11" fillId="4" borderId="1" xfId="0" applyNumberFormat="1" applyFont="1" applyFill="1" applyBorder="1" applyAlignment="1" applyProtection="1">
      <alignment horizontal="center" vertical="center"/>
      <protection locked="0"/>
    </xf>
    <xf numFmtId="0" fontId="13" fillId="3" borderId="1" xfId="0" applyNumberFormat="1" applyFont="1" applyFill="1" applyBorder="1" applyAlignment="1" applyProtection="1">
      <alignment horizontal="center" vertical="center"/>
      <protection locked="0"/>
    </xf>
    <xf numFmtId="0" fontId="0" fillId="26" borderId="1" xfId="0" applyFill="1" applyBorder="1" applyAlignment="1">
      <alignment horizontal="center"/>
    </xf>
    <xf numFmtId="0" fontId="34" fillId="18" borderId="1" xfId="0" applyFont="1" applyFill="1" applyBorder="1" applyAlignment="1" applyProtection="1">
      <alignment horizontal="center" vertical="center" wrapText="1"/>
      <protection hidden="1"/>
    </xf>
    <xf numFmtId="0" fontId="7" fillId="9" borderId="1" xfId="6" applyFont="1" applyFill="1" applyBorder="1" applyAlignment="1" applyProtection="1">
      <alignment horizontal="center" vertical="center" wrapText="1"/>
      <protection hidden="1"/>
    </xf>
    <xf numFmtId="0" fontId="16" fillId="7" borderId="1" xfId="0" applyNumberFormat="1" applyFont="1" applyFill="1" applyBorder="1" applyAlignment="1" applyProtection="1">
      <alignment horizontal="center" vertical="center"/>
      <protection hidden="1"/>
    </xf>
    <xf numFmtId="168" fontId="16" fillId="7" borderId="1" xfId="0" applyNumberFormat="1" applyFont="1" applyFill="1" applyBorder="1" applyAlignment="1" applyProtection="1">
      <alignment horizontal="right" vertical="center"/>
      <protection hidden="1"/>
    </xf>
    <xf numFmtId="168" fontId="16" fillId="7" borderId="6" xfId="0" applyNumberFormat="1" applyFont="1" applyFill="1" applyBorder="1" applyAlignment="1" applyProtection="1">
      <alignment horizontal="right" vertical="center"/>
      <protection hidden="1"/>
    </xf>
    <xf numFmtId="168" fontId="16" fillId="7" borderId="7" xfId="0" applyNumberFormat="1" applyFont="1" applyFill="1" applyBorder="1" applyAlignment="1" applyProtection="1">
      <alignment horizontal="right" vertical="center"/>
      <protection hidden="1"/>
    </xf>
    <xf numFmtId="168" fontId="16" fillId="7" borderId="1" xfId="0" applyNumberFormat="1" applyFont="1" applyFill="1" applyBorder="1" applyAlignment="1" applyProtection="1">
      <alignment horizontal="center" vertical="center"/>
      <protection hidden="1"/>
    </xf>
    <xf numFmtId="0" fontId="31" fillId="17" borderId="6" xfId="0" applyFont="1" applyFill="1" applyBorder="1" applyAlignment="1" applyProtection="1">
      <alignment horizontal="center" vertical="center" wrapText="1"/>
      <protection hidden="1"/>
    </xf>
    <xf numFmtId="0" fontId="31" fillId="17" borderId="7" xfId="0" applyFont="1" applyFill="1" applyBorder="1" applyAlignment="1" applyProtection="1">
      <alignment horizontal="center" vertical="center" wrapText="1"/>
      <protection hidden="1"/>
    </xf>
    <xf numFmtId="10" fontId="16" fillId="9" borderId="1" xfId="0" applyNumberFormat="1" applyFont="1" applyFill="1" applyBorder="1" applyAlignment="1" applyProtection="1">
      <alignment horizontal="left" vertical="center"/>
      <protection hidden="1"/>
    </xf>
    <xf numFmtId="168" fontId="16" fillId="3" borderId="1" xfId="5" applyNumberFormat="1" applyFont="1" applyFill="1" applyBorder="1" applyAlignment="1" applyProtection="1">
      <alignment horizontal="center" vertical="center"/>
      <protection locked="0"/>
    </xf>
    <xf numFmtId="0" fontId="18" fillId="17" borderId="6" xfId="0" applyFont="1" applyFill="1" applyBorder="1" applyAlignment="1" applyProtection="1">
      <alignment horizontal="center" vertical="center" wrapText="1"/>
      <protection hidden="1"/>
    </xf>
    <xf numFmtId="0" fontId="18" fillId="17" borderId="7" xfId="0" applyFont="1" applyFill="1" applyBorder="1" applyAlignment="1" applyProtection="1">
      <alignment horizontal="center" vertical="center" wrapText="1"/>
      <protection hidden="1"/>
    </xf>
    <xf numFmtId="0" fontId="7" fillId="9" borderId="12" xfId="6" applyFont="1" applyFill="1" applyBorder="1" applyAlignment="1" applyProtection="1">
      <alignment horizontal="center" vertical="center" wrapText="1"/>
      <protection hidden="1"/>
    </xf>
    <xf numFmtId="0" fontId="7" fillId="9" borderId="13" xfId="6" applyFont="1" applyFill="1" applyBorder="1" applyAlignment="1" applyProtection="1">
      <alignment horizontal="center" vertical="center" wrapText="1"/>
      <protection hidden="1"/>
    </xf>
    <xf numFmtId="168" fontId="16" fillId="7" borderId="6" xfId="0" applyNumberFormat="1" applyFont="1" applyFill="1" applyBorder="1" applyAlignment="1" applyProtection="1">
      <alignment horizontal="center" vertical="center"/>
      <protection hidden="1"/>
    </xf>
    <xf numFmtId="168" fontId="16" fillId="7" borderId="7" xfId="0" applyNumberFormat="1" applyFont="1" applyFill="1" applyBorder="1" applyAlignment="1" applyProtection="1">
      <alignment horizontal="center" vertical="center"/>
      <protection hidden="1"/>
    </xf>
    <xf numFmtId="10" fontId="16" fillId="9" borderId="6" xfId="0" applyNumberFormat="1" applyFont="1" applyFill="1" applyBorder="1" applyAlignment="1" applyProtection="1">
      <alignment horizontal="center" vertical="center"/>
      <protection hidden="1"/>
    </xf>
    <xf numFmtId="10" fontId="16" fillId="9" borderId="7" xfId="0" applyNumberFormat="1" applyFont="1" applyFill="1" applyBorder="1" applyAlignment="1" applyProtection="1">
      <alignment horizontal="center" vertical="center"/>
      <protection hidden="1"/>
    </xf>
    <xf numFmtId="0" fontId="18" fillId="17" borderId="1" xfId="0" applyFont="1" applyFill="1" applyBorder="1" applyAlignment="1" applyProtection="1">
      <alignment horizontal="center" vertical="center" wrapText="1"/>
      <protection hidden="1"/>
    </xf>
    <xf numFmtId="0" fontId="7" fillId="9" borderId="9" xfId="6" applyFont="1" applyFill="1" applyBorder="1" applyAlignment="1" applyProtection="1">
      <alignment horizontal="center" vertical="center" wrapText="1"/>
      <protection hidden="1"/>
    </xf>
    <xf numFmtId="2" fontId="16" fillId="7" borderId="1" xfId="0" applyNumberFormat="1" applyFont="1" applyFill="1" applyBorder="1" applyAlignment="1" applyProtection="1">
      <alignment horizontal="right"/>
      <protection hidden="1"/>
    </xf>
    <xf numFmtId="8" fontId="16" fillId="7" borderId="1" xfId="0" applyNumberFormat="1" applyFont="1" applyFill="1" applyBorder="1" applyAlignment="1" applyProtection="1">
      <alignment horizontal="right"/>
      <protection hidden="1"/>
    </xf>
    <xf numFmtId="0" fontId="16" fillId="7" borderId="1" xfId="0" applyFont="1" applyFill="1" applyBorder="1" applyAlignment="1" applyProtection="1">
      <alignment horizontal="right"/>
      <protection hidden="1"/>
    </xf>
    <xf numFmtId="168" fontId="16" fillId="3" borderId="1" xfId="5" applyNumberFormat="1" applyFont="1" applyFill="1" applyBorder="1" applyAlignment="1" applyProtection="1">
      <alignment horizontal="right" vertical="center"/>
      <protection locked="0"/>
    </xf>
    <xf numFmtId="10" fontId="16" fillId="3" borderId="1" xfId="0" applyNumberFormat="1" applyFont="1" applyFill="1" applyBorder="1" applyAlignment="1" applyProtection="1">
      <alignment horizontal="right" vertical="center"/>
      <protection locked="0"/>
    </xf>
    <xf numFmtId="0" fontId="16" fillId="3" borderId="1" xfId="0" applyFont="1" applyFill="1" applyBorder="1" applyAlignment="1" applyProtection="1">
      <alignment horizontal="right"/>
      <protection locked="0"/>
    </xf>
    <xf numFmtId="10" fontId="16" fillId="7" borderId="1" xfId="2" applyNumberFormat="1" applyFont="1" applyFill="1" applyBorder="1" applyAlignment="1" applyProtection="1">
      <alignment horizontal="center" vertical="center"/>
      <protection hidden="1"/>
    </xf>
    <xf numFmtId="10" fontId="16" fillId="7" borderId="1" xfId="0" applyNumberFormat="1" applyFont="1" applyFill="1" applyBorder="1" applyAlignment="1" applyProtection="1">
      <alignment horizontal="center" vertical="center"/>
      <protection hidden="1"/>
    </xf>
    <xf numFmtId="10" fontId="16" fillId="9" borderId="6" xfId="0" applyNumberFormat="1" applyFont="1" applyFill="1" applyBorder="1" applyAlignment="1" applyProtection="1">
      <alignment horizontal="left" vertical="center"/>
      <protection hidden="1"/>
    </xf>
    <xf numFmtId="10" fontId="16" fillId="9" borderId="8" xfId="0" applyNumberFormat="1" applyFont="1" applyFill="1" applyBorder="1" applyAlignment="1" applyProtection="1">
      <alignment horizontal="left" vertical="center"/>
      <protection hidden="1"/>
    </xf>
    <xf numFmtId="168" fontId="16" fillId="3" borderId="6" xfId="5" applyNumberFormat="1" applyFont="1" applyFill="1" applyBorder="1" applyAlignment="1" applyProtection="1">
      <alignment horizontal="center" vertical="center"/>
      <protection locked="0"/>
    </xf>
    <xf numFmtId="168" fontId="16" fillId="3" borderId="7" xfId="5" applyNumberFormat="1" applyFont="1" applyFill="1" applyBorder="1" applyAlignment="1" applyProtection="1">
      <alignment horizontal="center" vertical="center"/>
      <protection locked="0"/>
    </xf>
    <xf numFmtId="168" fontId="16" fillId="3" borderId="8" xfId="5" applyNumberFormat="1" applyFont="1" applyFill="1" applyBorder="1" applyAlignment="1" applyProtection="1">
      <alignment horizontal="center" vertical="center"/>
      <protection locked="0"/>
    </xf>
    <xf numFmtId="2" fontId="16" fillId="7" borderId="1" xfId="0" applyNumberFormat="1" applyFont="1" applyFill="1" applyBorder="1" applyAlignment="1" applyProtection="1">
      <alignment horizontal="center" vertical="center"/>
      <protection hidden="1"/>
    </xf>
    <xf numFmtId="0" fontId="42" fillId="0" borderId="0" xfId="0" applyFont="1" applyAlignment="1">
      <alignment horizontal="left" vertical="top" wrapText="1"/>
    </xf>
    <xf numFmtId="0" fontId="0" fillId="0" borderId="0" xfId="0" applyAlignment="1">
      <alignment horizontal="left"/>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29" xfId="0" applyFont="1" applyBorder="1" applyAlignment="1">
      <alignment horizontal="center" vertical="center" wrapText="1"/>
    </xf>
    <xf numFmtId="0" fontId="15" fillId="11" borderId="1" xfId="0" applyFont="1" applyFill="1" applyBorder="1" applyAlignment="1" applyProtection="1">
      <alignment horizontal="center" vertical="center" wrapText="1"/>
      <protection hidden="1"/>
    </xf>
    <xf numFmtId="0" fontId="15" fillId="10" borderId="6" xfId="0" applyFont="1" applyFill="1" applyBorder="1" applyAlignment="1" applyProtection="1">
      <alignment horizontal="center" vertical="center" wrapText="1"/>
      <protection hidden="1"/>
    </xf>
    <xf numFmtId="0" fontId="15" fillId="10" borderId="7" xfId="0" applyFont="1" applyFill="1" applyBorder="1" applyAlignment="1" applyProtection="1">
      <alignment horizontal="center" vertical="center" wrapText="1"/>
      <protection hidden="1"/>
    </xf>
    <xf numFmtId="0" fontId="15" fillId="10" borderId="8" xfId="0" applyFont="1" applyFill="1" applyBorder="1" applyAlignment="1" applyProtection="1">
      <alignment horizontal="center" vertical="center" wrapText="1"/>
      <protection hidden="1"/>
    </xf>
    <xf numFmtId="0" fontId="16" fillId="7" borderId="1" xfId="5" applyNumberFormat="1" applyFont="1" applyFill="1" applyBorder="1" applyAlignment="1" applyProtection="1">
      <alignment horizontal="center" vertical="center"/>
      <protection hidden="1"/>
    </xf>
    <xf numFmtId="1" fontId="16" fillId="7" borderId="1" xfId="5" applyNumberFormat="1" applyFont="1" applyFill="1" applyBorder="1" applyAlignment="1" applyProtection="1">
      <alignment horizontal="center" vertical="center"/>
      <protection hidden="1"/>
    </xf>
    <xf numFmtId="0" fontId="16" fillId="10" borderId="6" xfId="5" applyNumberFormat="1" applyFont="1" applyFill="1" applyBorder="1" applyAlignment="1" applyProtection="1">
      <alignment horizontal="center" vertical="center"/>
      <protection hidden="1"/>
    </xf>
    <xf numFmtId="0" fontId="16" fillId="10" borderId="7" xfId="5" applyNumberFormat="1" applyFont="1" applyFill="1" applyBorder="1" applyAlignment="1" applyProtection="1">
      <alignment horizontal="center" vertical="center"/>
      <protection hidden="1"/>
    </xf>
    <xf numFmtId="0" fontId="16" fillId="10" borderId="8" xfId="5" applyNumberFormat="1" applyFont="1" applyFill="1" applyBorder="1" applyAlignment="1" applyProtection="1">
      <alignment horizontal="center" vertical="center"/>
      <protection hidden="1"/>
    </xf>
    <xf numFmtId="9" fontId="16" fillId="7" borderId="6" xfId="2" applyFont="1" applyFill="1" applyBorder="1" applyAlignment="1" applyProtection="1">
      <alignment horizontal="center" vertical="center"/>
      <protection hidden="1"/>
    </xf>
    <xf numFmtId="9" fontId="16" fillId="7" borderId="7" xfId="2" applyFont="1" applyFill="1" applyBorder="1" applyAlignment="1" applyProtection="1">
      <alignment horizontal="center" vertical="center"/>
      <protection hidden="1"/>
    </xf>
    <xf numFmtId="9" fontId="16" fillId="7" borderId="8" xfId="2" applyFont="1" applyFill="1" applyBorder="1" applyAlignment="1" applyProtection="1">
      <alignment horizontal="center" vertical="center"/>
      <protection hidden="1"/>
    </xf>
    <xf numFmtId="0" fontId="15" fillId="9" borderId="6" xfId="0" applyFont="1" applyFill="1" applyBorder="1" applyAlignment="1" applyProtection="1">
      <alignment horizontal="center" vertical="center" wrapText="1"/>
      <protection hidden="1"/>
    </xf>
    <xf numFmtId="0" fontId="15" fillId="9" borderId="7" xfId="0" applyFont="1" applyFill="1" applyBorder="1" applyAlignment="1" applyProtection="1">
      <alignment horizontal="center" vertical="center" wrapText="1"/>
      <protection hidden="1"/>
    </xf>
    <xf numFmtId="0" fontId="15" fillId="9" borderId="8" xfId="0" applyFont="1" applyFill="1" applyBorder="1" applyAlignment="1" applyProtection="1">
      <alignment horizontal="center" vertical="center" wrapText="1"/>
      <protection hidden="1"/>
    </xf>
    <xf numFmtId="0" fontId="16" fillId="10" borderId="1" xfId="5" applyNumberFormat="1" applyFont="1" applyFill="1" applyBorder="1" applyAlignment="1" applyProtection="1">
      <alignment horizontal="center" vertical="center"/>
      <protection hidden="1"/>
    </xf>
    <xf numFmtId="1" fontId="16" fillId="7" borderId="6" xfId="5" applyNumberFormat="1" applyFont="1" applyFill="1" applyBorder="1" applyAlignment="1" applyProtection="1">
      <alignment horizontal="center" vertical="center"/>
      <protection hidden="1"/>
    </xf>
    <xf numFmtId="0" fontId="16" fillId="7" borderId="7" xfId="5" applyNumberFormat="1" applyFont="1" applyFill="1" applyBorder="1" applyAlignment="1" applyProtection="1">
      <alignment horizontal="center" vertical="center"/>
      <protection hidden="1"/>
    </xf>
    <xf numFmtId="0" fontId="16" fillId="7" borderId="8" xfId="5" applyNumberFormat="1" applyFont="1" applyFill="1" applyBorder="1" applyAlignment="1" applyProtection="1">
      <alignment horizontal="center" vertical="center"/>
      <protection hidden="1"/>
    </xf>
    <xf numFmtId="165" fontId="8" fillId="12" borderId="6" xfId="4" applyNumberFormat="1" applyFont="1" applyFill="1" applyBorder="1" applyAlignment="1" applyProtection="1">
      <alignment horizontal="center" vertical="center" wrapText="1"/>
      <protection locked="0"/>
    </xf>
    <xf numFmtId="165" fontId="8" fillId="12" borderId="7" xfId="4" applyNumberFormat="1" applyFont="1" applyFill="1" applyBorder="1" applyAlignment="1" applyProtection="1">
      <alignment horizontal="center" vertical="center" wrapText="1"/>
      <protection locked="0"/>
    </xf>
    <xf numFmtId="165" fontId="8" fillId="12" borderId="8" xfId="4" applyNumberFormat="1" applyFont="1" applyFill="1" applyBorder="1" applyAlignment="1" applyProtection="1">
      <alignment horizontal="center" vertical="center" wrapText="1"/>
      <protection locked="0"/>
    </xf>
    <xf numFmtId="0" fontId="21" fillId="13" borderId="1" xfId="0" applyFont="1" applyFill="1" applyBorder="1" applyAlignment="1" applyProtection="1">
      <alignment horizontal="center" vertical="center" wrapText="1"/>
      <protection hidden="1"/>
    </xf>
    <xf numFmtId="167" fontId="22" fillId="13" borderId="6" xfId="4" applyNumberFormat="1" applyFont="1" applyFill="1" applyBorder="1" applyAlignment="1" applyProtection="1">
      <alignment horizontal="center" vertical="center"/>
      <protection hidden="1"/>
    </xf>
    <xf numFmtId="167" fontId="22" fillId="13" borderId="7" xfId="4" applyNumberFormat="1" applyFont="1" applyFill="1" applyBorder="1" applyAlignment="1" applyProtection="1">
      <alignment horizontal="center" vertical="center"/>
      <protection hidden="1"/>
    </xf>
    <xf numFmtId="167" fontId="22" fillId="13" borderId="8" xfId="4" applyNumberFormat="1" applyFont="1" applyFill="1" applyBorder="1" applyAlignment="1" applyProtection="1">
      <alignment horizontal="center" vertical="center"/>
      <protection hidden="1"/>
    </xf>
    <xf numFmtId="0" fontId="21" fillId="13" borderId="6" xfId="0" applyFont="1" applyFill="1" applyBorder="1" applyAlignment="1" applyProtection="1">
      <alignment horizontal="center" vertical="center" wrapText="1"/>
      <protection hidden="1"/>
    </xf>
    <xf numFmtId="165" fontId="20" fillId="6" borderId="1" xfId="4" applyNumberFormat="1" applyFont="1" applyFill="1" applyBorder="1" applyAlignment="1" applyProtection="1">
      <alignment horizontal="center" vertical="center"/>
      <protection hidden="1"/>
    </xf>
    <xf numFmtId="165" fontId="21" fillId="6" borderId="6" xfId="4" applyNumberFormat="1" applyFont="1" applyFill="1" applyBorder="1" applyAlignment="1" applyProtection="1">
      <alignment horizontal="center" vertical="center"/>
      <protection hidden="1"/>
    </xf>
    <xf numFmtId="165" fontId="21" fillId="6" borderId="7" xfId="4" applyNumberFormat="1" applyFont="1" applyFill="1" applyBorder="1" applyAlignment="1" applyProtection="1">
      <alignment horizontal="center" vertical="center"/>
      <protection hidden="1"/>
    </xf>
    <xf numFmtId="165" fontId="21" fillId="6" borderId="8" xfId="4" applyNumberFormat="1" applyFont="1" applyFill="1" applyBorder="1" applyAlignment="1" applyProtection="1">
      <alignment horizontal="center" vertical="center"/>
      <protection hidden="1"/>
    </xf>
    <xf numFmtId="49" fontId="8" fillId="12" borderId="6" xfId="4" applyNumberFormat="1" applyFont="1" applyFill="1" applyBorder="1" applyAlignment="1" applyProtection="1">
      <alignment horizontal="center" vertical="center" wrapText="1"/>
      <protection locked="0"/>
    </xf>
    <xf numFmtId="49" fontId="8" fillId="12" borderId="7" xfId="4" applyNumberFormat="1" applyFont="1" applyFill="1" applyBorder="1" applyAlignment="1" applyProtection="1">
      <alignment horizontal="center" vertical="center" wrapText="1"/>
      <protection locked="0"/>
    </xf>
    <xf numFmtId="49" fontId="8" fillId="12" borderId="8" xfId="4" applyNumberFormat="1" applyFont="1" applyFill="1" applyBorder="1" applyAlignment="1" applyProtection="1">
      <alignment horizontal="center" vertical="center" wrapText="1"/>
      <protection locked="0"/>
    </xf>
    <xf numFmtId="1" fontId="8" fillId="3" borderId="6" xfId="0" quotePrefix="1" applyNumberFormat="1" applyFont="1" applyFill="1" applyBorder="1" applyAlignment="1" applyProtection="1">
      <alignment horizontal="center" vertical="center"/>
      <protection locked="0"/>
    </xf>
    <xf numFmtId="1" fontId="8" fillId="3" borderId="8" xfId="0" quotePrefix="1" applyNumberFormat="1" applyFont="1" applyFill="1" applyBorder="1" applyAlignment="1" applyProtection="1">
      <alignment horizontal="center" vertical="center"/>
      <protection locked="0"/>
    </xf>
    <xf numFmtId="8" fontId="16" fillId="11" borderId="6" xfId="0" applyNumberFormat="1" applyFont="1" applyFill="1" applyBorder="1" applyAlignment="1" applyProtection="1">
      <alignment horizontal="right"/>
      <protection hidden="1"/>
    </xf>
    <xf numFmtId="8" fontId="16" fillId="11" borderId="7" xfId="0" applyNumberFormat="1" applyFont="1" applyFill="1" applyBorder="1" applyAlignment="1" applyProtection="1">
      <alignment horizontal="right"/>
      <protection hidden="1"/>
    </xf>
    <xf numFmtId="8" fontId="16" fillId="11" borderId="8" xfId="0" applyNumberFormat="1" applyFont="1" applyFill="1" applyBorder="1" applyAlignment="1" applyProtection="1">
      <alignment horizontal="right"/>
      <protection hidden="1"/>
    </xf>
    <xf numFmtId="2" fontId="16" fillId="11" borderId="6" xfId="0" applyNumberFormat="1" applyFont="1" applyFill="1" applyBorder="1" applyAlignment="1" applyProtection="1">
      <alignment horizontal="right"/>
      <protection hidden="1"/>
    </xf>
    <xf numFmtId="2" fontId="16" fillId="11" borderId="7" xfId="0" applyNumberFormat="1" applyFont="1" applyFill="1" applyBorder="1" applyAlignment="1" applyProtection="1">
      <alignment horizontal="right"/>
      <protection hidden="1"/>
    </xf>
    <xf numFmtId="2" fontId="16" fillId="11" borderId="8" xfId="0" applyNumberFormat="1" applyFont="1" applyFill="1" applyBorder="1" applyAlignment="1" applyProtection="1">
      <alignment horizontal="right"/>
      <protection hidden="1"/>
    </xf>
    <xf numFmtId="0" fontId="25" fillId="17" borderId="1" xfId="0" applyFont="1" applyFill="1" applyBorder="1" applyAlignment="1" applyProtection="1">
      <alignment horizontal="center"/>
      <protection hidden="1"/>
    </xf>
    <xf numFmtId="8" fontId="16" fillId="11" borderId="1" xfId="0" applyNumberFormat="1" applyFont="1" applyFill="1" applyBorder="1" applyAlignment="1" applyProtection="1">
      <alignment horizontal="right"/>
      <protection hidden="1"/>
    </xf>
    <xf numFmtId="168" fontId="16" fillId="11" borderId="1" xfId="0" applyNumberFormat="1" applyFont="1" applyFill="1" applyBorder="1" applyAlignment="1" applyProtection="1">
      <alignment horizontal="right"/>
      <protection hidden="1"/>
    </xf>
    <xf numFmtId="2" fontId="16" fillId="11" borderId="1" xfId="0" applyNumberFormat="1" applyFont="1" applyFill="1" applyBorder="1" applyAlignment="1" applyProtection="1">
      <alignment horizontal="right"/>
      <protection hidden="1"/>
    </xf>
    <xf numFmtId="0" fontId="15" fillId="9" borderId="1" xfId="0" applyFont="1" applyFill="1" applyBorder="1" applyAlignment="1" applyProtection="1">
      <alignment horizontal="center" vertical="center" wrapText="1"/>
      <protection hidden="1"/>
    </xf>
    <xf numFmtId="0" fontId="21" fillId="13" borderId="1" xfId="0" applyFont="1" applyFill="1" applyBorder="1" applyAlignment="1" applyProtection="1">
      <alignment horizontal="center" vertical="center"/>
      <protection hidden="1"/>
    </xf>
    <xf numFmtId="0" fontId="15" fillId="24" borderId="1" xfId="0" applyFont="1" applyFill="1" applyBorder="1" applyAlignment="1" applyProtection="1">
      <alignment horizontal="center" vertical="center" wrapText="1"/>
      <protection hidden="1"/>
    </xf>
    <xf numFmtId="0" fontId="21" fillId="13" borderId="12" xfId="0" applyFont="1" applyFill="1" applyBorder="1" applyAlignment="1" applyProtection="1">
      <alignment horizontal="center" vertical="center" wrapText="1"/>
      <protection hidden="1"/>
    </xf>
    <xf numFmtId="0" fontId="21" fillId="13" borderId="13" xfId="0" applyFont="1" applyFill="1" applyBorder="1" applyAlignment="1" applyProtection="1">
      <alignment horizontal="center" vertical="center" wrapText="1"/>
      <protection hidden="1"/>
    </xf>
    <xf numFmtId="0" fontId="21" fillId="13" borderId="6" xfId="0" applyFont="1" applyFill="1" applyBorder="1" applyAlignment="1" applyProtection="1">
      <alignment horizontal="center" vertical="center"/>
      <protection hidden="1"/>
    </xf>
    <xf numFmtId="0" fontId="21" fillId="13" borderId="8" xfId="0" applyFont="1" applyFill="1" applyBorder="1" applyAlignment="1" applyProtection="1">
      <alignment horizontal="center" vertical="center"/>
      <protection hidden="1"/>
    </xf>
    <xf numFmtId="168" fontId="22" fillId="14" borderId="6" xfId="3" applyNumberFormat="1" applyFont="1" applyFill="1" applyBorder="1" applyAlignment="1" applyProtection="1">
      <alignment horizontal="center" vertical="center"/>
      <protection locked="0"/>
    </xf>
    <xf numFmtId="168" fontId="22" fillId="14" borderId="8" xfId="3" applyNumberFormat="1" applyFont="1" applyFill="1" applyBorder="1" applyAlignment="1" applyProtection="1">
      <alignment horizontal="center" vertical="center"/>
      <protection locked="0"/>
    </xf>
    <xf numFmtId="168" fontId="22" fillId="15" borderId="6" xfId="3" applyNumberFormat="1" applyFont="1" applyFill="1" applyBorder="1" applyAlignment="1" applyProtection="1">
      <alignment horizontal="center" vertical="center"/>
      <protection hidden="1"/>
    </xf>
    <xf numFmtId="168" fontId="22" fillId="15" borderId="8" xfId="3" applyNumberFormat="1" applyFont="1" applyFill="1" applyBorder="1" applyAlignment="1" applyProtection="1">
      <alignment horizontal="center" vertical="center"/>
      <protection hidden="1"/>
    </xf>
    <xf numFmtId="168" fontId="16" fillId="3" borderId="6" xfId="5" applyNumberFormat="1" applyFont="1" applyFill="1" applyBorder="1" applyAlignment="1" applyProtection="1">
      <alignment horizontal="right" vertical="center"/>
      <protection locked="0"/>
    </xf>
    <xf numFmtId="168" fontId="16" fillId="3" borderId="7" xfId="5" applyNumberFormat="1" applyFont="1" applyFill="1" applyBorder="1" applyAlignment="1" applyProtection="1">
      <alignment horizontal="right" vertical="center"/>
      <protection locked="0"/>
    </xf>
    <xf numFmtId="168" fontId="16" fillId="3" borderId="8" xfId="5" applyNumberFormat="1" applyFont="1" applyFill="1" applyBorder="1" applyAlignment="1" applyProtection="1">
      <alignment horizontal="right" vertical="center"/>
      <protection locked="0"/>
    </xf>
    <xf numFmtId="10" fontId="16" fillId="11" borderId="6" xfId="5" applyNumberFormat="1" applyFont="1" applyFill="1" applyBorder="1" applyAlignment="1" applyProtection="1">
      <alignment horizontal="right" vertical="center"/>
      <protection hidden="1"/>
    </xf>
    <xf numFmtId="10" fontId="16" fillId="11" borderId="7" xfId="5" applyNumberFormat="1" applyFont="1" applyFill="1" applyBorder="1" applyAlignment="1" applyProtection="1">
      <alignment horizontal="right" vertical="center"/>
      <protection hidden="1"/>
    </xf>
    <xf numFmtId="10" fontId="16" fillId="11" borderId="8" xfId="5" applyNumberFormat="1" applyFont="1" applyFill="1" applyBorder="1" applyAlignment="1" applyProtection="1">
      <alignment horizontal="right" vertical="center"/>
      <protection hidden="1"/>
    </xf>
    <xf numFmtId="9" fontId="16" fillId="7" borderId="1" xfId="2" applyFont="1" applyFill="1" applyBorder="1" applyAlignment="1" applyProtection="1">
      <alignment horizontal="center" vertical="center"/>
      <protection hidden="1"/>
    </xf>
    <xf numFmtId="168" fontId="16" fillId="11" borderId="6" xfId="5" applyNumberFormat="1" applyFont="1" applyFill="1" applyBorder="1" applyAlignment="1" applyProtection="1">
      <alignment horizontal="right" vertical="center"/>
      <protection hidden="1"/>
    </xf>
    <xf numFmtId="168" fontId="16" fillId="11" borderId="7" xfId="5" applyNumberFormat="1" applyFont="1" applyFill="1" applyBorder="1" applyAlignment="1" applyProtection="1">
      <alignment horizontal="right" vertical="center"/>
      <protection hidden="1"/>
    </xf>
    <xf numFmtId="168" fontId="16" fillId="11" borderId="8" xfId="5" applyNumberFormat="1" applyFont="1" applyFill="1" applyBorder="1" applyAlignment="1" applyProtection="1">
      <alignment horizontal="right" vertical="center"/>
      <protection hidden="1"/>
    </xf>
    <xf numFmtId="0" fontId="55" fillId="2" borderId="47" xfId="8" applyFont="1" applyFill="1" applyBorder="1" applyAlignment="1">
      <alignment horizontal="center" vertical="center" wrapText="1"/>
    </xf>
    <xf numFmtId="0" fontId="55" fillId="2" borderId="19" xfId="8" applyFont="1" applyFill="1" applyBorder="1" applyAlignment="1">
      <alignment horizontal="center" vertical="center" wrapText="1"/>
    </xf>
    <xf numFmtId="0" fontId="41" fillId="9" borderId="46" xfId="8" applyFont="1" applyFill="1" applyBorder="1"/>
    <xf numFmtId="0" fontId="41" fillId="9" borderId="1" xfId="8" applyFont="1" applyFill="1" applyBorder="1"/>
    <xf numFmtId="0" fontId="41" fillId="9" borderId="20" xfId="8" applyFont="1" applyFill="1" applyBorder="1"/>
    <xf numFmtId="0" fontId="41" fillId="9" borderId="47" xfId="8" applyFont="1" applyFill="1" applyBorder="1"/>
    <xf numFmtId="0" fontId="59" fillId="30" borderId="43" xfId="8" applyFont="1" applyFill="1" applyBorder="1" applyAlignment="1">
      <alignment horizontal="center" vertical="center"/>
    </xf>
    <xf numFmtId="0" fontId="59" fillId="30" borderId="44" xfId="8" applyFont="1" applyFill="1" applyBorder="1" applyAlignment="1">
      <alignment horizontal="center" vertical="center"/>
    </xf>
    <xf numFmtId="0" fontId="59" fillId="30" borderId="45" xfId="8" applyFont="1" applyFill="1" applyBorder="1" applyAlignment="1">
      <alignment horizontal="center" vertical="center"/>
    </xf>
    <xf numFmtId="0" fontId="59" fillId="30" borderId="4" xfId="8" applyFont="1" applyFill="1" applyBorder="1" applyAlignment="1">
      <alignment horizontal="center" vertical="center" wrapText="1"/>
    </xf>
    <xf numFmtId="0" fontId="59" fillId="30" borderId="48" xfId="8" applyFont="1" applyFill="1" applyBorder="1" applyAlignment="1">
      <alignment horizontal="center" vertical="center" wrapText="1"/>
    </xf>
    <xf numFmtId="0" fontId="59" fillId="30" borderId="5" xfId="8" applyFont="1" applyFill="1" applyBorder="1" applyAlignment="1">
      <alignment horizontal="center" vertical="center" wrapText="1"/>
    </xf>
    <xf numFmtId="0" fontId="41" fillId="9" borderId="50" xfId="8" applyFont="1" applyFill="1" applyBorder="1" applyAlignment="1">
      <alignment horizontal="center" vertical="center" wrapText="1"/>
    </xf>
    <xf numFmtId="0" fontId="41" fillId="9" borderId="51" xfId="8" applyFont="1" applyFill="1" applyBorder="1" applyAlignment="1">
      <alignment horizontal="center" vertical="center" wrapText="1"/>
    </xf>
    <xf numFmtId="0" fontId="55" fillId="2" borderId="1" xfId="8" applyFont="1" applyFill="1" applyBorder="1" applyAlignment="1">
      <alignment horizontal="center" vertical="center" wrapText="1"/>
    </xf>
    <xf numFmtId="0" fontId="55" fillId="2" borderId="36" xfId="8" applyFont="1" applyFill="1" applyBorder="1" applyAlignment="1">
      <alignment horizontal="center" vertical="center" wrapText="1"/>
    </xf>
    <xf numFmtId="0" fontId="41" fillId="9" borderId="35" xfId="8" applyFont="1" applyFill="1" applyBorder="1" applyAlignment="1">
      <alignment vertical="center"/>
    </xf>
    <xf numFmtId="0" fontId="41" fillId="9" borderId="7" xfId="8" applyFont="1" applyFill="1" applyBorder="1" applyAlignment="1">
      <alignment vertical="center"/>
    </xf>
    <xf numFmtId="0" fontId="41" fillId="9" borderId="8" xfId="8" applyFont="1" applyFill="1" applyBorder="1" applyAlignment="1">
      <alignment vertical="center"/>
    </xf>
    <xf numFmtId="0" fontId="1" fillId="2" borderId="1" xfId="8" applyFill="1" applyBorder="1" applyAlignment="1">
      <alignment horizontal="right" vertical="center"/>
    </xf>
    <xf numFmtId="0" fontId="1" fillId="2" borderId="36" xfId="8" applyFill="1" applyBorder="1" applyAlignment="1">
      <alignment horizontal="right" vertical="center"/>
    </xf>
    <xf numFmtId="14" fontId="1" fillId="2" borderId="1" xfId="8" applyNumberFormat="1" applyFill="1" applyBorder="1" applyAlignment="1">
      <alignment horizontal="right" vertical="center"/>
    </xf>
    <xf numFmtId="14" fontId="1" fillId="2" borderId="36" xfId="8" applyNumberFormat="1" applyFill="1" applyBorder="1" applyAlignment="1">
      <alignment horizontal="right" vertical="center"/>
    </xf>
    <xf numFmtId="0" fontId="1" fillId="2" borderId="12" xfId="8" applyFill="1" applyBorder="1" applyAlignment="1">
      <alignment horizontal="right" vertical="center"/>
    </xf>
    <xf numFmtId="0" fontId="1" fillId="2" borderId="37" xfId="8" applyFill="1" applyBorder="1" applyAlignment="1">
      <alignment horizontal="right" vertical="center"/>
    </xf>
    <xf numFmtId="0" fontId="41" fillId="9" borderId="38" xfId="8" applyFont="1" applyFill="1" applyBorder="1" applyAlignment="1">
      <alignment horizontal="left" vertical="center"/>
    </xf>
    <xf numFmtId="0" fontId="41" fillId="9" borderId="39" xfId="8" applyFont="1" applyFill="1" applyBorder="1" applyAlignment="1">
      <alignment horizontal="left" vertical="center"/>
    </xf>
    <xf numFmtId="0" fontId="41" fillId="9" borderId="40" xfId="8" applyFont="1" applyFill="1" applyBorder="1" applyAlignment="1">
      <alignment horizontal="left" vertical="center"/>
    </xf>
    <xf numFmtId="22" fontId="1" fillId="2" borderId="41" xfId="8" applyNumberFormat="1" applyFill="1" applyBorder="1" applyAlignment="1">
      <alignment horizontal="right" vertical="center"/>
    </xf>
    <xf numFmtId="22" fontId="1" fillId="2" borderId="39" xfId="8" applyNumberFormat="1" applyFill="1" applyBorder="1" applyAlignment="1">
      <alignment horizontal="right" vertical="center"/>
    </xf>
    <xf numFmtId="22" fontId="1" fillId="2" borderId="42" xfId="8" applyNumberFormat="1" applyFill="1" applyBorder="1" applyAlignment="1">
      <alignment horizontal="right" vertical="center"/>
    </xf>
    <xf numFmtId="0" fontId="41" fillId="9" borderId="35" xfId="8" applyFont="1" applyFill="1" applyBorder="1" applyAlignment="1">
      <alignment vertical="center" wrapText="1"/>
    </xf>
    <xf numFmtId="0" fontId="41" fillId="9" borderId="7" xfId="8" applyFont="1" applyFill="1" applyBorder="1" applyAlignment="1">
      <alignment vertical="center" wrapText="1"/>
    </xf>
    <xf numFmtId="0" fontId="41" fillId="9" borderId="8" xfId="8" applyFont="1" applyFill="1" applyBorder="1" applyAlignment="1">
      <alignment vertical="center" wrapText="1"/>
    </xf>
    <xf numFmtId="0" fontId="1" fillId="2" borderId="1" xfId="8" applyFill="1" applyBorder="1" applyAlignment="1">
      <alignment horizontal="right" vertical="center" wrapText="1"/>
    </xf>
    <xf numFmtId="0" fontId="1" fillId="2" borderId="36" xfId="8" applyFill="1" applyBorder="1" applyAlignment="1">
      <alignment horizontal="right" vertical="center" wrapText="1"/>
    </xf>
    <xf numFmtId="5" fontId="60" fillId="2" borderId="1" xfId="8" applyNumberFormat="1" applyFont="1" applyFill="1" applyBorder="1" applyAlignment="1">
      <alignment horizontal="right" vertical="center"/>
    </xf>
    <xf numFmtId="5" fontId="60" fillId="2" borderId="36" xfId="8" applyNumberFormat="1" applyFont="1" applyFill="1" applyBorder="1" applyAlignment="1">
      <alignment horizontal="right" vertical="center"/>
    </xf>
    <xf numFmtId="49" fontId="0" fillId="2" borderId="1" xfId="8" applyNumberFormat="1" applyFont="1" applyFill="1" applyBorder="1" applyAlignment="1">
      <alignment horizontal="right" vertical="center"/>
    </xf>
    <xf numFmtId="49" fontId="1" fillId="2" borderId="1" xfId="8" applyNumberFormat="1" applyFill="1" applyBorder="1" applyAlignment="1">
      <alignment horizontal="right" vertical="center"/>
    </xf>
    <xf numFmtId="49" fontId="1" fillId="2" borderId="36" xfId="8" applyNumberFormat="1" applyFill="1" applyBorder="1" applyAlignment="1">
      <alignment horizontal="right" vertical="center"/>
    </xf>
    <xf numFmtId="0" fontId="59" fillId="30" borderId="27" xfId="8" applyFont="1" applyFill="1" applyBorder="1" applyAlignment="1">
      <alignment horizontal="center" vertical="center"/>
    </xf>
    <xf numFmtId="0" fontId="59" fillId="30" borderId="28" xfId="8" applyFont="1" applyFill="1" applyBorder="1" applyAlignment="1">
      <alignment horizontal="center" vertical="center"/>
    </xf>
    <xf numFmtId="0" fontId="59" fillId="30" borderId="29" xfId="8" applyFont="1" applyFill="1" applyBorder="1" applyAlignment="1">
      <alignment horizontal="center" vertical="center"/>
    </xf>
    <xf numFmtId="0" fontId="41" fillId="9" borderId="33" xfId="8" applyFont="1" applyFill="1" applyBorder="1" applyAlignment="1">
      <alignment vertical="center"/>
    </xf>
    <xf numFmtId="0" fontId="41" fillId="9" borderId="34" xfId="8" applyFont="1" applyFill="1" applyBorder="1" applyAlignment="1">
      <alignment vertical="center"/>
    </xf>
    <xf numFmtId="0" fontId="41" fillId="9" borderId="24" xfId="8" applyFont="1" applyFill="1" applyBorder="1" applyAlignment="1">
      <alignment vertical="center"/>
    </xf>
    <xf numFmtId="0" fontId="1" fillId="2" borderId="13" xfId="8" applyFill="1" applyBorder="1" applyAlignment="1">
      <alignment horizontal="right" vertical="center"/>
    </xf>
    <xf numFmtId="0" fontId="1" fillId="2" borderId="21" xfId="8" applyFill="1" applyBorder="1" applyAlignment="1">
      <alignment horizontal="right" vertical="center"/>
    </xf>
    <xf numFmtId="2" fontId="16" fillId="11" borderId="1" xfId="5" applyNumberFormat="1" applyFont="1" applyFill="1" applyBorder="1" applyAlignment="1" applyProtection="1">
      <alignment horizontal="right" vertical="center"/>
      <protection hidden="1"/>
    </xf>
    <xf numFmtId="168" fontId="16" fillId="11" borderId="1" xfId="5" applyNumberFormat="1" applyFont="1" applyFill="1" applyBorder="1" applyAlignment="1" applyProtection="1">
      <alignment horizontal="right" vertical="center"/>
      <protection hidden="1"/>
    </xf>
    <xf numFmtId="0" fontId="16" fillId="3" borderId="1" xfId="5" applyNumberFormat="1" applyFont="1" applyFill="1" applyBorder="1" applyAlignment="1" applyProtection="1">
      <alignment horizontal="center" vertical="center"/>
      <protection locked="0"/>
    </xf>
    <xf numFmtId="168" fontId="16" fillId="11" borderId="1" xfId="5" applyNumberFormat="1" applyFont="1" applyFill="1" applyBorder="1" applyAlignment="1" applyProtection="1">
      <alignment horizontal="center" vertical="center"/>
      <protection hidden="1"/>
    </xf>
    <xf numFmtId="0" fontId="26" fillId="17" borderId="1" xfId="0" applyFont="1" applyFill="1" applyBorder="1" applyAlignment="1" applyProtection="1">
      <alignment horizontal="center"/>
      <protection hidden="1"/>
    </xf>
    <xf numFmtId="0" fontId="16" fillId="9" borderId="1" xfId="0" applyFont="1" applyFill="1" applyBorder="1" applyAlignment="1" applyProtection="1">
      <alignment horizontal="center" vertical="center" wrapText="1"/>
      <protection hidden="1"/>
    </xf>
    <xf numFmtId="9" fontId="16" fillId="3" borderId="1" xfId="5" applyNumberFormat="1" applyFont="1" applyFill="1" applyBorder="1" applyAlignment="1" applyProtection="1">
      <alignment horizontal="center" vertical="center"/>
      <protection locked="0"/>
    </xf>
    <xf numFmtId="0" fontId="16" fillId="11" borderId="1" xfId="0" applyFont="1" applyFill="1" applyBorder="1" applyAlignment="1" applyProtection="1">
      <alignment horizontal="right"/>
      <protection hidden="1"/>
    </xf>
    <xf numFmtId="170" fontId="16" fillId="11" borderId="1" xfId="0" applyNumberFormat="1" applyFont="1" applyFill="1" applyBorder="1" applyAlignment="1" applyProtection="1">
      <alignment horizontal="right"/>
      <protection hidden="1"/>
    </xf>
    <xf numFmtId="170" fontId="16" fillId="11" borderId="6" xfId="0" applyNumberFormat="1" applyFont="1" applyFill="1" applyBorder="1" applyAlignment="1" applyProtection="1">
      <alignment horizontal="right"/>
      <protection hidden="1"/>
    </xf>
    <xf numFmtId="170" fontId="16" fillId="11" borderId="7" xfId="0" applyNumberFormat="1" applyFont="1" applyFill="1" applyBorder="1" applyAlignment="1" applyProtection="1">
      <alignment horizontal="right"/>
      <protection hidden="1"/>
    </xf>
    <xf numFmtId="0" fontId="16" fillId="11" borderId="1" xfId="5" applyNumberFormat="1" applyFont="1" applyFill="1" applyBorder="1" applyAlignment="1" applyProtection="1">
      <alignment horizontal="right" vertical="center"/>
      <protection hidden="1"/>
    </xf>
    <xf numFmtId="0" fontId="15" fillId="9" borderId="18" xfId="0" applyFont="1" applyFill="1" applyBorder="1" applyAlignment="1" applyProtection="1">
      <alignment horizontal="left" vertical="center" wrapText="1"/>
      <protection hidden="1"/>
    </xf>
    <xf numFmtId="0" fontId="15" fillId="9" borderId="15" xfId="0" applyFont="1" applyFill="1" applyBorder="1" applyAlignment="1" applyProtection="1">
      <alignment horizontal="left" vertical="center" wrapText="1"/>
      <protection hidden="1"/>
    </xf>
    <xf numFmtId="0" fontId="16" fillId="3" borderId="1" xfId="0" applyNumberFormat="1" applyFont="1" applyFill="1" applyBorder="1" applyAlignment="1" applyProtection="1">
      <alignment horizontal="right" vertical="center"/>
      <protection locked="0"/>
    </xf>
    <xf numFmtId="165" fontId="7" fillId="6" borderId="1" xfId="4" applyNumberFormat="1" applyFont="1" applyFill="1" applyBorder="1" applyAlignment="1" applyProtection="1">
      <alignment horizontal="center" vertical="center"/>
      <protection hidden="1"/>
    </xf>
    <xf numFmtId="0" fontId="8" fillId="3" borderId="1" xfId="0" applyFont="1" applyFill="1" applyBorder="1" applyAlignment="1" applyProtection="1">
      <alignment horizontal="center" vertical="center"/>
      <protection locked="0"/>
    </xf>
    <xf numFmtId="0" fontId="11" fillId="7" borderId="1" xfId="0" applyFont="1" applyFill="1" applyBorder="1" applyAlignment="1" applyProtection="1">
      <alignment horizontal="center" vertical="center"/>
      <protection hidden="1"/>
    </xf>
    <xf numFmtId="0" fontId="6" fillId="5" borderId="1" xfId="0" applyFont="1" applyFill="1" applyBorder="1" applyAlignment="1" applyProtection="1">
      <alignment horizontal="center" vertical="center"/>
      <protection hidden="1"/>
    </xf>
    <xf numFmtId="0" fontId="12" fillId="4" borderId="1" xfId="0" applyFont="1" applyFill="1" applyBorder="1" applyAlignment="1" applyProtection="1">
      <alignment horizontal="center" vertical="center"/>
      <protection hidden="1"/>
    </xf>
    <xf numFmtId="0" fontId="13" fillId="3" borderId="1" xfId="0" applyFont="1" applyFill="1" applyBorder="1" applyAlignment="1" applyProtection="1">
      <alignment horizontal="center" vertical="center"/>
      <protection locked="0"/>
    </xf>
    <xf numFmtId="0" fontId="14" fillId="7" borderId="1" xfId="0" applyFont="1" applyFill="1" applyBorder="1" applyAlignment="1" applyProtection="1">
      <alignment horizontal="center" vertical="center"/>
      <protection hidden="1"/>
    </xf>
    <xf numFmtId="0" fontId="11" fillId="4" borderId="1" xfId="0" applyFont="1" applyFill="1" applyBorder="1" applyAlignment="1" applyProtection="1">
      <alignment horizontal="center" vertical="center"/>
      <protection hidden="1"/>
    </xf>
    <xf numFmtId="0" fontId="13" fillId="0" borderId="1" xfId="0" applyFont="1" applyFill="1" applyBorder="1" applyAlignment="1" applyProtection="1">
      <alignment horizontal="center" vertical="center"/>
      <protection locked="0"/>
    </xf>
    <xf numFmtId="1" fontId="10" fillId="7" borderId="1" xfId="0" applyNumberFormat="1" applyFont="1" applyFill="1" applyBorder="1" applyAlignment="1" applyProtection="1">
      <alignment horizontal="center" vertical="center"/>
      <protection hidden="1"/>
    </xf>
    <xf numFmtId="0" fontId="10" fillId="8" borderId="1" xfId="0" applyFont="1" applyFill="1" applyBorder="1" applyAlignment="1" applyProtection="1">
      <alignment horizontal="center" vertical="center"/>
      <protection hidden="1"/>
    </xf>
    <xf numFmtId="0" fontId="10" fillId="4" borderId="1" xfId="0" applyFont="1" applyFill="1" applyBorder="1" applyAlignment="1" applyProtection="1">
      <alignment horizontal="center" vertical="center"/>
      <protection hidden="1"/>
    </xf>
    <xf numFmtId="169" fontId="8" fillId="3" borderId="1" xfId="0" applyNumberFormat="1" applyFont="1" applyFill="1" applyBorder="1" applyAlignment="1" applyProtection="1">
      <alignment horizontal="center" vertical="center"/>
      <protection locked="0"/>
    </xf>
    <xf numFmtId="169" fontId="9" fillId="3" borderId="1" xfId="0" applyNumberFormat="1" applyFont="1" applyFill="1" applyBorder="1" applyAlignment="1" applyProtection="1">
      <alignment horizontal="center" vertical="center"/>
      <protection locked="0"/>
    </xf>
    <xf numFmtId="1" fontId="9" fillId="3" borderId="1" xfId="0" applyNumberFormat="1" applyFont="1" applyFill="1" applyBorder="1" applyAlignment="1" applyProtection="1">
      <alignment horizontal="center" vertical="center"/>
      <protection locked="0"/>
    </xf>
    <xf numFmtId="14" fontId="9" fillId="3" borderId="1" xfId="0" applyNumberFormat="1" applyFont="1" applyFill="1" applyBorder="1" applyAlignment="1" applyProtection="1">
      <alignment horizontal="center" vertical="center"/>
      <protection locked="0"/>
    </xf>
    <xf numFmtId="14" fontId="9" fillId="3" borderId="6" xfId="0" applyNumberFormat="1" applyFont="1" applyFill="1" applyBorder="1" applyAlignment="1" applyProtection="1">
      <alignment horizontal="center" vertical="center"/>
      <protection locked="0"/>
    </xf>
    <xf numFmtId="14" fontId="9" fillId="3" borderId="7" xfId="0" applyNumberFormat="1" applyFont="1" applyFill="1" applyBorder="1" applyAlignment="1" applyProtection="1">
      <alignment horizontal="center" vertical="center"/>
      <protection locked="0"/>
    </xf>
    <xf numFmtId="14" fontId="9" fillId="3" borderId="8" xfId="0" applyNumberFormat="1" applyFont="1" applyFill="1" applyBorder="1" applyAlignment="1" applyProtection="1">
      <alignment horizontal="center" vertical="center"/>
      <protection locked="0"/>
    </xf>
    <xf numFmtId="0" fontId="6" fillId="5" borderId="6" xfId="0" applyFont="1" applyFill="1" applyBorder="1" applyAlignment="1" applyProtection="1">
      <alignment horizontal="center" vertical="center"/>
      <protection hidden="1"/>
    </xf>
    <xf numFmtId="0" fontId="6" fillId="5" borderId="7" xfId="0" applyFont="1" applyFill="1" applyBorder="1" applyAlignment="1" applyProtection="1">
      <alignment horizontal="center" vertical="center"/>
      <protection hidden="1"/>
    </xf>
    <xf numFmtId="0" fontId="6" fillId="5" borderId="8" xfId="0" applyFont="1" applyFill="1" applyBorder="1" applyAlignment="1" applyProtection="1">
      <alignment horizontal="center" vertical="center"/>
      <protection hidden="1"/>
    </xf>
    <xf numFmtId="0" fontId="15" fillId="22" borderId="1" xfId="0" applyFont="1" applyFill="1" applyBorder="1" applyAlignment="1">
      <alignment horizontal="left" vertical="center"/>
    </xf>
    <xf numFmtId="0" fontId="16" fillId="22" borderId="12" xfId="0" applyFont="1" applyFill="1" applyBorder="1" applyAlignment="1">
      <alignment horizontal="center" vertical="center"/>
    </xf>
    <xf numFmtId="0" fontId="16" fillId="22" borderId="13" xfId="0" applyFont="1" applyFill="1" applyBorder="1" applyAlignment="1">
      <alignment horizontal="center" vertical="center"/>
    </xf>
    <xf numFmtId="0" fontId="57" fillId="22" borderId="6" xfId="0" applyFont="1" applyFill="1" applyBorder="1" applyAlignment="1">
      <alignment horizontal="center" vertical="center"/>
    </xf>
    <xf numFmtId="0" fontId="57" fillId="22" borderId="7" xfId="0" applyFont="1" applyFill="1" applyBorder="1" applyAlignment="1">
      <alignment horizontal="center" vertical="center"/>
    </xf>
    <xf numFmtId="0" fontId="57" fillId="22" borderId="8" xfId="0" applyFont="1" applyFill="1" applyBorder="1" applyAlignment="1">
      <alignment horizontal="center" vertical="center"/>
    </xf>
    <xf numFmtId="0" fontId="16" fillId="22" borderId="6" xfId="0" applyFont="1" applyFill="1" applyBorder="1" applyAlignment="1">
      <alignment horizontal="center"/>
    </xf>
    <xf numFmtId="0" fontId="16" fillId="22" borderId="7" xfId="0" applyFont="1" applyFill="1" applyBorder="1" applyAlignment="1">
      <alignment horizontal="center"/>
    </xf>
    <xf numFmtId="0" fontId="16" fillId="22" borderId="8" xfId="0" applyFont="1" applyFill="1" applyBorder="1" applyAlignment="1">
      <alignment horizontal="center"/>
    </xf>
    <xf numFmtId="0" fontId="15" fillId="22" borderId="12" xfId="0" applyFont="1" applyFill="1" applyBorder="1" applyAlignment="1">
      <alignment horizontal="left" vertical="center"/>
    </xf>
    <xf numFmtId="0" fontId="15" fillId="22" borderId="13" xfId="0" applyFont="1" applyFill="1" applyBorder="1" applyAlignment="1">
      <alignment horizontal="left" vertical="center"/>
    </xf>
    <xf numFmtId="0" fontId="7" fillId="22" borderId="12" xfId="0" applyFont="1" applyFill="1" applyBorder="1" applyAlignment="1">
      <alignment horizontal="left" vertical="center"/>
    </xf>
    <xf numFmtId="0" fontId="7" fillId="22" borderId="13" xfId="0" applyFont="1" applyFill="1" applyBorder="1" applyAlignment="1">
      <alignment horizontal="left" vertical="center"/>
    </xf>
    <xf numFmtId="0" fontId="21" fillId="22" borderId="6" xfId="0" applyFont="1" applyFill="1" applyBorder="1" applyAlignment="1">
      <alignment horizontal="center"/>
    </xf>
    <xf numFmtId="0" fontId="21" fillId="22" borderId="7" xfId="0" applyFont="1" applyFill="1" applyBorder="1" applyAlignment="1">
      <alignment horizontal="center"/>
    </xf>
    <xf numFmtId="0" fontId="21" fillId="22" borderId="8" xfId="0" applyFont="1" applyFill="1" applyBorder="1" applyAlignment="1">
      <alignment horizontal="center"/>
    </xf>
    <xf numFmtId="0" fontId="20" fillId="13" borderId="6" xfId="0" applyFont="1" applyFill="1" applyBorder="1" applyAlignment="1" applyProtection="1">
      <alignment horizontal="center" vertical="center"/>
      <protection hidden="1"/>
    </xf>
    <xf numFmtId="0" fontId="20" fillId="13" borderId="7" xfId="0" applyFont="1" applyFill="1" applyBorder="1" applyAlignment="1" applyProtection="1">
      <alignment horizontal="center" vertical="center"/>
      <protection hidden="1"/>
    </xf>
    <xf numFmtId="0" fontId="20" fillId="13" borderId="8" xfId="0" applyFont="1" applyFill="1" applyBorder="1" applyAlignment="1" applyProtection="1">
      <alignment horizontal="center" vertical="center"/>
      <protection hidden="1"/>
    </xf>
    <xf numFmtId="0" fontId="25" fillId="17" borderId="6" xfId="0" applyFont="1" applyFill="1" applyBorder="1" applyAlignment="1" applyProtection="1">
      <alignment horizontal="center"/>
      <protection hidden="1"/>
    </xf>
    <xf numFmtId="0" fontId="25" fillId="17" borderId="7" xfId="0" applyFont="1" applyFill="1" applyBorder="1" applyAlignment="1" applyProtection="1">
      <alignment horizontal="center"/>
      <protection hidden="1"/>
    </xf>
    <xf numFmtId="0" fontId="25" fillId="17" borderId="8" xfId="0" applyFont="1" applyFill="1" applyBorder="1" applyAlignment="1" applyProtection="1">
      <alignment horizontal="center"/>
      <protection hidden="1"/>
    </xf>
    <xf numFmtId="10" fontId="16" fillId="11" borderId="1" xfId="5" applyNumberFormat="1" applyFont="1" applyFill="1" applyBorder="1" applyAlignment="1" applyProtection="1">
      <alignment horizontal="right" vertical="center"/>
      <protection hidden="1"/>
    </xf>
    <xf numFmtId="0" fontId="15" fillId="10" borderId="1" xfId="0" applyFont="1" applyFill="1" applyBorder="1" applyAlignment="1" applyProtection="1">
      <alignment horizontal="center" vertical="center" wrapText="1"/>
      <protection hidden="1"/>
    </xf>
    <xf numFmtId="165" fontId="21" fillId="6" borderId="1" xfId="4" applyNumberFormat="1" applyFont="1" applyFill="1" applyBorder="1" applyAlignment="1" applyProtection="1">
      <alignment horizontal="center" vertical="center"/>
      <protection hidden="1"/>
    </xf>
    <xf numFmtId="49" fontId="8" fillId="12" borderId="1" xfId="4" applyNumberFormat="1" applyFont="1" applyFill="1" applyBorder="1" applyAlignment="1" applyProtection="1">
      <alignment horizontal="center" vertical="center" wrapText="1"/>
      <protection locked="0"/>
    </xf>
    <xf numFmtId="165" fontId="8" fillId="12" borderId="1" xfId="4" applyNumberFormat="1" applyFont="1" applyFill="1" applyBorder="1" applyAlignment="1" applyProtection="1">
      <alignment horizontal="center" vertical="center" wrapText="1"/>
      <protection locked="0"/>
    </xf>
    <xf numFmtId="167" fontId="22" fillId="13" borderId="1" xfId="4" applyNumberFormat="1" applyFont="1" applyFill="1" applyBorder="1" applyAlignment="1" applyProtection="1">
      <alignment horizontal="center" vertical="center"/>
      <protection hidden="1"/>
    </xf>
    <xf numFmtId="0" fontId="41" fillId="34" borderId="25" xfId="9" applyFont="1" applyFill="1" applyBorder="1" applyAlignment="1">
      <alignment horizontal="center" vertical="center" wrapText="1"/>
    </xf>
    <xf numFmtId="0" fontId="41" fillId="34" borderId="26" xfId="9" applyFont="1" applyFill="1" applyBorder="1" applyAlignment="1">
      <alignment horizontal="center" vertical="center" wrapText="1"/>
    </xf>
    <xf numFmtId="0" fontId="41" fillId="34" borderId="21" xfId="9" applyFont="1" applyFill="1" applyBorder="1" applyAlignment="1">
      <alignment horizontal="center" vertical="center" wrapText="1"/>
    </xf>
    <xf numFmtId="0" fontId="41" fillId="34" borderId="37" xfId="9" applyFont="1" applyFill="1" applyBorder="1" applyAlignment="1">
      <alignment horizontal="center" vertical="center" wrapText="1"/>
    </xf>
    <xf numFmtId="17" fontId="41" fillId="34" borderId="24" xfId="9" applyNumberFormat="1" applyFont="1" applyFill="1" applyBorder="1" applyAlignment="1">
      <alignment horizontal="center" vertical="center"/>
    </xf>
    <xf numFmtId="17" fontId="41" fillId="34" borderId="13" xfId="9" applyNumberFormat="1" applyFont="1" applyFill="1" applyBorder="1" applyAlignment="1">
      <alignment horizontal="center" vertical="center"/>
    </xf>
    <xf numFmtId="17" fontId="41" fillId="34" borderId="21" xfId="9" applyNumberFormat="1" applyFont="1" applyFill="1" applyBorder="1" applyAlignment="1">
      <alignment horizontal="center" vertical="center"/>
    </xf>
    <xf numFmtId="176" fontId="41" fillId="34" borderId="24" xfId="9" applyNumberFormat="1" applyFont="1" applyFill="1" applyBorder="1" applyAlignment="1">
      <alignment horizontal="center" vertical="center"/>
    </xf>
    <xf numFmtId="176" fontId="41" fillId="34" borderId="13" xfId="9" applyNumberFormat="1" applyFont="1" applyFill="1" applyBorder="1" applyAlignment="1">
      <alignment horizontal="center" vertical="center"/>
    </xf>
    <xf numFmtId="176" fontId="41" fillId="34" borderId="21" xfId="9" applyNumberFormat="1" applyFont="1" applyFill="1" applyBorder="1" applyAlignment="1">
      <alignment horizontal="center" vertical="center"/>
    </xf>
    <xf numFmtId="0" fontId="59" fillId="30" borderId="53" xfId="9" applyFont="1" applyFill="1" applyBorder="1" applyAlignment="1">
      <alignment horizontal="center" vertical="center"/>
    </xf>
    <xf numFmtId="0" fontId="59" fillId="30" borderId="54" xfId="9" applyFont="1" applyFill="1" applyBorder="1" applyAlignment="1">
      <alignment horizontal="center" vertical="center"/>
    </xf>
    <xf numFmtId="0" fontId="59" fillId="30" borderId="55" xfId="9" applyFont="1" applyFill="1" applyBorder="1" applyAlignment="1">
      <alignment horizontal="center" vertical="center"/>
    </xf>
    <xf numFmtId="0" fontId="41" fillId="34" borderId="22" xfId="9" applyFont="1" applyFill="1" applyBorder="1" applyAlignment="1">
      <alignment horizontal="center" vertical="center" wrapText="1"/>
    </xf>
    <xf numFmtId="0" fontId="41" fillId="34" borderId="58" xfId="9" applyFont="1" applyFill="1" applyBorder="1" applyAlignment="1">
      <alignment horizontal="center" vertical="center" wrapText="1"/>
    </xf>
    <xf numFmtId="0" fontId="41" fillId="34" borderId="13" xfId="9" applyFont="1" applyFill="1" applyBorder="1" applyAlignment="1">
      <alignment horizontal="center" vertical="center"/>
    </xf>
    <xf numFmtId="0" fontId="41" fillId="34" borderId="12" xfId="9" applyFont="1" applyFill="1" applyBorder="1" applyAlignment="1">
      <alignment horizontal="center" vertical="center"/>
    </xf>
    <xf numFmtId="0" fontId="41" fillId="34" borderId="13" xfId="9" applyFont="1" applyFill="1" applyBorder="1" applyAlignment="1">
      <alignment horizontal="center" vertical="center" wrapText="1"/>
    </xf>
    <xf numFmtId="0" fontId="41" fillId="34" borderId="12" xfId="9" applyFont="1" applyFill="1" applyBorder="1" applyAlignment="1">
      <alignment horizontal="center" vertical="center" wrapText="1"/>
    </xf>
    <xf numFmtId="0" fontId="41" fillId="34" borderId="56" xfId="9" applyFont="1" applyFill="1" applyBorder="1" applyAlignment="1">
      <alignment horizontal="center" vertical="center"/>
    </xf>
    <xf numFmtId="0" fontId="41" fillId="34" borderId="9" xfId="9" applyFont="1" applyFill="1" applyBorder="1" applyAlignment="1">
      <alignment horizontal="center" vertical="center"/>
    </xf>
    <xf numFmtId="0" fontId="41" fillId="34" borderId="56" xfId="9" applyFont="1" applyFill="1" applyBorder="1" applyAlignment="1">
      <alignment horizontal="center" vertical="center" wrapText="1"/>
    </xf>
    <xf numFmtId="0" fontId="41" fillId="34" borderId="9" xfId="9" applyFont="1" applyFill="1" applyBorder="1" applyAlignment="1">
      <alignment horizontal="center" vertical="center" wrapText="1"/>
    </xf>
    <xf numFmtId="176" fontId="41" fillId="34" borderId="22" xfId="9" applyNumberFormat="1" applyFont="1" applyFill="1" applyBorder="1" applyAlignment="1">
      <alignment horizontal="center" vertical="center"/>
    </xf>
    <xf numFmtId="0" fontId="41" fillId="34" borderId="57" xfId="9" applyFont="1" applyFill="1" applyBorder="1" applyAlignment="1">
      <alignment horizontal="center" vertical="center"/>
    </xf>
    <xf numFmtId="49" fontId="56" fillId="2" borderId="1" xfId="9" applyNumberFormat="1" applyFont="1" applyFill="1" applyBorder="1" applyAlignment="1">
      <alignment horizontal="right" vertical="center"/>
    </xf>
    <xf numFmtId="49" fontId="56" fillId="2" borderId="36" xfId="9" applyNumberFormat="1" applyFont="1" applyFill="1" applyBorder="1" applyAlignment="1">
      <alignment horizontal="right" vertical="center"/>
    </xf>
    <xf numFmtId="0" fontId="53" fillId="9" borderId="20" xfId="9" applyFont="1" applyFill="1" applyBorder="1" applyAlignment="1">
      <alignment vertical="center"/>
    </xf>
    <xf numFmtId="0" fontId="53" fillId="9" borderId="47" xfId="9" applyFont="1" applyFill="1" applyBorder="1" applyAlignment="1">
      <alignment vertical="center"/>
    </xf>
    <xf numFmtId="0" fontId="56" fillId="2" borderId="47" xfId="9" applyFont="1" applyFill="1" applyBorder="1" applyAlignment="1">
      <alignment horizontal="right" vertical="center"/>
    </xf>
    <xf numFmtId="0" fontId="56" fillId="2" borderId="19" xfId="9" applyFont="1" applyFill="1" applyBorder="1" applyAlignment="1">
      <alignment horizontal="right" vertical="center"/>
    </xf>
    <xf numFmtId="0" fontId="53" fillId="9" borderId="46" xfId="9" applyFont="1" applyFill="1" applyBorder="1" applyAlignment="1">
      <alignment vertical="center"/>
    </xf>
    <xf numFmtId="0" fontId="53" fillId="9" borderId="1" xfId="9" applyFont="1" applyFill="1" applyBorder="1" applyAlignment="1">
      <alignment vertical="center"/>
    </xf>
    <xf numFmtId="0" fontId="56" fillId="2" borderId="1" xfId="9" applyFont="1" applyFill="1" applyBorder="1" applyAlignment="1">
      <alignment horizontal="right" vertical="center"/>
    </xf>
    <xf numFmtId="0" fontId="56" fillId="2" borderId="36" xfId="9" applyFont="1" applyFill="1" applyBorder="1" applyAlignment="1">
      <alignment horizontal="right" vertical="center"/>
    </xf>
    <xf numFmtId="3" fontId="56" fillId="2" borderId="1" xfId="9" applyNumberFormat="1" applyFont="1" applyFill="1" applyBorder="1" applyAlignment="1">
      <alignment horizontal="right" vertical="center"/>
    </xf>
    <xf numFmtId="3" fontId="56" fillId="2" borderId="36" xfId="9" applyNumberFormat="1" applyFont="1" applyFill="1" applyBorder="1" applyAlignment="1">
      <alignment horizontal="right" vertical="center"/>
    </xf>
    <xf numFmtId="9" fontId="56" fillId="33" borderId="1" xfId="2" applyFont="1" applyFill="1" applyBorder="1" applyAlignment="1">
      <alignment horizontal="right" vertical="center"/>
    </xf>
    <xf numFmtId="9" fontId="56" fillId="33" borderId="36" xfId="2" applyFont="1" applyFill="1" applyBorder="1" applyAlignment="1">
      <alignment horizontal="right" vertical="center"/>
    </xf>
    <xf numFmtId="0" fontId="64" fillId="2" borderId="1" xfId="9" applyFont="1" applyFill="1" applyBorder="1" applyAlignment="1">
      <alignment horizontal="right" vertical="center"/>
    </xf>
    <xf numFmtId="0" fontId="64" fillId="2" borderId="36" xfId="9" applyFont="1" applyFill="1" applyBorder="1" applyAlignment="1">
      <alignment horizontal="right" vertical="center"/>
    </xf>
    <xf numFmtId="175" fontId="56" fillId="2" borderId="1" xfId="9" applyNumberFormat="1" applyFont="1" applyFill="1" applyBorder="1" applyAlignment="1">
      <alignment horizontal="right" vertical="center"/>
    </xf>
    <xf numFmtId="175" fontId="56" fillId="2" borderId="36" xfId="9" applyNumberFormat="1" applyFont="1" applyFill="1" applyBorder="1" applyAlignment="1">
      <alignment horizontal="right" vertical="center"/>
    </xf>
    <xf numFmtId="0" fontId="62" fillId="30" borderId="43" xfId="9" applyFont="1" applyFill="1" applyBorder="1" applyAlignment="1">
      <alignment horizontal="center" vertical="center"/>
    </xf>
    <xf numFmtId="0" fontId="62" fillId="30" borderId="44" xfId="9" applyFont="1" applyFill="1" applyBorder="1" applyAlignment="1">
      <alignment horizontal="center" vertical="center"/>
    </xf>
    <xf numFmtId="0" fontId="62" fillId="30" borderId="45" xfId="9" applyFont="1" applyFill="1" applyBorder="1" applyAlignment="1">
      <alignment horizontal="center" vertical="center"/>
    </xf>
    <xf numFmtId="0" fontId="63" fillId="32" borderId="22" xfId="9" applyFont="1" applyFill="1" applyBorder="1" applyAlignment="1">
      <alignment vertical="center"/>
    </xf>
    <xf numFmtId="0" fontId="63" fillId="32" borderId="13" xfId="9" applyFont="1" applyFill="1" applyBorder="1" applyAlignment="1">
      <alignment vertical="center"/>
    </xf>
    <xf numFmtId="0" fontId="63" fillId="32" borderId="13" xfId="9" applyFont="1" applyFill="1" applyBorder="1" applyAlignment="1">
      <alignment horizontal="center" vertical="center"/>
    </xf>
    <xf numFmtId="0" fontId="63" fillId="32" borderId="21" xfId="9" applyFont="1" applyFill="1" applyBorder="1" applyAlignment="1">
      <alignment horizontal="center" vertical="center"/>
    </xf>
    <xf numFmtId="0" fontId="25" fillId="17" borderId="6" xfId="0" applyFont="1" applyFill="1" applyBorder="1" applyAlignment="1" applyProtection="1">
      <alignment horizontal="center"/>
      <protection locked="0"/>
    </xf>
    <xf numFmtId="0" fontId="25" fillId="17" borderId="7" xfId="0" applyFont="1" applyFill="1" applyBorder="1" applyAlignment="1" applyProtection="1">
      <alignment horizontal="center"/>
      <protection locked="0"/>
    </xf>
    <xf numFmtId="0" fontId="25" fillId="17" borderId="8" xfId="0" applyFont="1" applyFill="1" applyBorder="1" applyAlignment="1" applyProtection="1">
      <alignment horizontal="center"/>
      <protection locked="0"/>
    </xf>
    <xf numFmtId="0" fontId="35" fillId="17" borderId="1" xfId="0" applyFont="1" applyFill="1" applyBorder="1" applyAlignment="1" applyProtection="1">
      <alignment horizontal="center" vertical="center"/>
      <protection hidden="1"/>
    </xf>
    <xf numFmtId="0" fontId="36" fillId="4" borderId="6" xfId="0" applyFont="1" applyFill="1" applyBorder="1" applyAlignment="1" applyProtection="1">
      <alignment horizontal="center" vertical="center"/>
      <protection hidden="1"/>
    </xf>
    <xf numFmtId="0" fontId="36" fillId="4" borderId="7" xfId="0" applyFont="1" applyFill="1" applyBorder="1" applyAlignment="1" applyProtection="1">
      <alignment horizontal="center" vertical="center"/>
      <protection hidden="1"/>
    </xf>
    <xf numFmtId="0" fontId="36" fillId="4" borderId="8"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38" fillId="4" borderId="9" xfId="0" applyFont="1" applyFill="1" applyBorder="1" applyAlignment="1" applyProtection="1">
      <alignment horizontal="center" vertical="center"/>
      <protection hidden="1"/>
    </xf>
    <xf numFmtId="0" fontId="38" fillId="4" borderId="13" xfId="0" applyFont="1" applyFill="1" applyBorder="1" applyAlignment="1" applyProtection="1">
      <alignment horizontal="center" vertical="center"/>
      <protection hidden="1"/>
    </xf>
    <xf numFmtId="168" fontId="38" fillId="3" borderId="18" xfId="0" applyNumberFormat="1" applyFont="1" applyFill="1" applyBorder="1" applyAlignment="1" applyProtection="1">
      <alignment horizontal="center" vertical="center"/>
      <protection locked="0"/>
    </xf>
    <xf numFmtId="168" fontId="38" fillId="3" borderId="25" xfId="0" applyNumberFormat="1" applyFont="1" applyFill="1" applyBorder="1" applyAlignment="1" applyProtection="1">
      <alignment horizontal="center" vertical="center"/>
      <protection locked="0"/>
    </xf>
    <xf numFmtId="168" fontId="38" fillId="3" borderId="15" xfId="0" applyNumberFormat="1" applyFont="1" applyFill="1" applyBorder="1" applyAlignment="1" applyProtection="1">
      <alignment horizontal="center" vertical="center"/>
      <protection locked="0"/>
    </xf>
    <xf numFmtId="168" fontId="11" fillId="11" borderId="6" xfId="0" applyNumberFormat="1" applyFont="1" applyFill="1" applyBorder="1" applyAlignment="1" applyProtection="1">
      <alignment horizontal="center" vertical="center"/>
      <protection hidden="1"/>
    </xf>
    <xf numFmtId="0" fontId="11" fillId="11" borderId="8" xfId="0" applyFont="1" applyFill="1" applyBorder="1" applyAlignment="1" applyProtection="1">
      <alignment horizontal="center" vertical="center"/>
      <protection hidden="1"/>
    </xf>
    <xf numFmtId="168" fontId="38" fillId="3" borderId="23" xfId="0" applyNumberFormat="1" applyFont="1" applyFill="1" applyBorder="1" applyAlignment="1" applyProtection="1">
      <alignment horizontal="center" vertical="center"/>
      <protection locked="0"/>
    </xf>
    <xf numFmtId="168" fontId="38" fillId="3" borderId="26" xfId="0" applyNumberFormat="1" applyFont="1" applyFill="1" applyBorder="1" applyAlignment="1" applyProtection="1">
      <alignment horizontal="center" vertical="center"/>
      <protection locked="0"/>
    </xf>
    <xf numFmtId="168" fontId="38" fillId="3" borderId="24" xfId="0" applyNumberFormat="1" applyFont="1" applyFill="1" applyBorder="1" applyAlignment="1" applyProtection="1">
      <alignment horizontal="center" vertical="center"/>
      <protection locked="0"/>
    </xf>
    <xf numFmtId="1" fontId="38" fillId="11" borderId="6" xfId="0" applyNumberFormat="1" applyFont="1" applyFill="1" applyBorder="1" applyAlignment="1" applyProtection="1">
      <alignment horizontal="center" vertical="center"/>
      <protection hidden="1"/>
    </xf>
    <xf numFmtId="1" fontId="38" fillId="11" borderId="7" xfId="0" applyNumberFormat="1" applyFont="1" applyFill="1" applyBorder="1" applyAlignment="1" applyProtection="1">
      <alignment horizontal="center" vertical="center"/>
      <protection hidden="1"/>
    </xf>
    <xf numFmtId="1" fontId="38" fillId="11" borderId="14" xfId="0" applyNumberFormat="1" applyFont="1" applyFill="1" applyBorder="1" applyAlignment="1" applyProtection="1">
      <alignment horizontal="center" vertical="center"/>
      <protection hidden="1"/>
    </xf>
    <xf numFmtId="1" fontId="38" fillId="11" borderId="0" xfId="0" applyNumberFormat="1" applyFont="1" applyFill="1" applyBorder="1" applyAlignment="1" applyProtection="1">
      <alignment horizontal="center" vertical="center"/>
      <protection hidden="1"/>
    </xf>
    <xf numFmtId="0" fontId="35" fillId="17" borderId="6" xfId="0" applyFont="1" applyFill="1" applyBorder="1" applyAlignment="1" applyProtection="1">
      <alignment horizontal="center" vertical="center"/>
      <protection hidden="1"/>
    </xf>
    <xf numFmtId="0" fontId="35" fillId="17" borderId="7" xfId="0" applyFont="1" applyFill="1" applyBorder="1" applyAlignment="1" applyProtection="1">
      <alignment horizontal="center" vertical="center"/>
      <protection hidden="1"/>
    </xf>
    <xf numFmtId="0" fontId="35" fillId="17" borderId="8" xfId="0" applyFont="1" applyFill="1" applyBorder="1" applyAlignment="1" applyProtection="1">
      <alignment horizontal="center" vertical="center"/>
      <protection hidden="1"/>
    </xf>
    <xf numFmtId="1" fontId="38" fillId="11" borderId="9" xfId="0" applyNumberFormat="1" applyFont="1" applyFill="1" applyBorder="1" applyAlignment="1" applyProtection="1">
      <alignment horizontal="center" vertical="center"/>
      <protection hidden="1"/>
    </xf>
    <xf numFmtId="1" fontId="38" fillId="11" borderId="25" xfId="0" applyNumberFormat="1" applyFont="1" applyFill="1" applyBorder="1" applyAlignment="1" applyProtection="1">
      <alignment horizontal="center" vertical="center"/>
      <protection hidden="1"/>
    </xf>
    <xf numFmtId="170" fontId="37" fillId="3" borderId="6" xfId="0" applyNumberFormat="1" applyFont="1" applyFill="1" applyBorder="1" applyAlignment="1" applyProtection="1">
      <alignment horizontal="center" vertical="center"/>
      <protection locked="0"/>
    </xf>
    <xf numFmtId="170" fontId="37" fillId="3" borderId="7" xfId="0" applyNumberFormat="1" applyFont="1" applyFill="1" applyBorder="1" applyAlignment="1" applyProtection="1">
      <alignment horizontal="center" vertical="center"/>
      <protection locked="0"/>
    </xf>
    <xf numFmtId="170" fontId="37" fillId="3" borderId="8" xfId="0" applyNumberFormat="1" applyFont="1" applyFill="1" applyBorder="1" applyAlignment="1" applyProtection="1">
      <alignment horizontal="center" vertical="center"/>
      <protection locked="0"/>
    </xf>
    <xf numFmtId="1" fontId="36" fillId="11" borderId="1" xfId="0" applyNumberFormat="1" applyFont="1" applyFill="1" applyBorder="1" applyAlignment="1" applyProtection="1">
      <alignment horizontal="center" vertical="center"/>
      <protection hidden="1"/>
    </xf>
    <xf numFmtId="0" fontId="24" fillId="17" borderId="1" xfId="0" applyFont="1" applyFill="1" applyBorder="1" applyAlignment="1" applyProtection="1">
      <alignment horizontal="center" vertical="center"/>
      <protection hidden="1"/>
    </xf>
    <xf numFmtId="0" fontId="36" fillId="4" borderId="1" xfId="0" applyFont="1" applyFill="1" applyBorder="1" applyAlignment="1" applyProtection="1">
      <alignment horizontal="center" vertical="center"/>
      <protection hidden="1"/>
    </xf>
    <xf numFmtId="0" fontId="26" fillId="17" borderId="6" xfId="0" applyFont="1" applyFill="1" applyBorder="1" applyAlignment="1" applyProtection="1">
      <alignment horizontal="center"/>
      <protection hidden="1"/>
    </xf>
    <xf numFmtId="0" fontId="26" fillId="17" borderId="7" xfId="0" applyFont="1" applyFill="1" applyBorder="1" applyAlignment="1" applyProtection="1">
      <alignment horizontal="center"/>
      <protection hidden="1"/>
    </xf>
    <xf numFmtId="10" fontId="16" fillId="11" borderId="6" xfId="2" applyNumberFormat="1" applyFont="1" applyFill="1" applyBorder="1" applyAlignment="1" applyProtection="1">
      <alignment horizontal="right" vertical="center"/>
      <protection hidden="1"/>
    </xf>
    <xf numFmtId="10" fontId="16" fillId="11" borderId="7" xfId="2" applyNumberFormat="1" applyFont="1" applyFill="1" applyBorder="1" applyAlignment="1" applyProtection="1">
      <alignment horizontal="right" vertical="center"/>
      <protection hidden="1"/>
    </xf>
    <xf numFmtId="0" fontId="16" fillId="9" borderId="6" xfId="0" applyFont="1" applyFill="1" applyBorder="1" applyAlignment="1" applyProtection="1">
      <alignment horizontal="center" vertical="center" wrapText="1"/>
      <protection hidden="1"/>
    </xf>
    <xf numFmtId="0" fontId="16" fillId="9" borderId="7" xfId="0" applyFont="1" applyFill="1" applyBorder="1" applyAlignment="1" applyProtection="1">
      <alignment horizontal="center" vertical="center" wrapText="1"/>
      <protection hidden="1"/>
    </xf>
    <xf numFmtId="9" fontId="16" fillId="3" borderId="18" xfId="5" applyNumberFormat="1" applyFont="1" applyFill="1" applyBorder="1" applyAlignment="1" applyProtection="1">
      <alignment horizontal="center" vertical="center"/>
      <protection locked="0"/>
    </xf>
    <xf numFmtId="9" fontId="16" fillId="3" borderId="14" xfId="5" applyNumberFormat="1" applyFont="1" applyFill="1" applyBorder="1" applyAlignment="1" applyProtection="1">
      <alignment horizontal="center" vertical="center"/>
      <protection locked="0"/>
    </xf>
    <xf numFmtId="9" fontId="16" fillId="3" borderId="6" xfId="5" applyNumberFormat="1" applyFont="1" applyFill="1" applyBorder="1" applyAlignment="1" applyProtection="1">
      <alignment horizontal="center" vertical="center"/>
      <protection locked="0"/>
    </xf>
    <xf numFmtId="9" fontId="16" fillId="3" borderId="7" xfId="5" applyNumberFormat="1" applyFont="1" applyFill="1" applyBorder="1" applyAlignment="1" applyProtection="1">
      <alignment horizontal="center" vertical="center"/>
      <protection locked="0"/>
    </xf>
    <xf numFmtId="0" fontId="2" fillId="2" borderId="0" xfId="0" applyFont="1" applyFill="1" applyAlignment="1" applyProtection="1">
      <alignment horizontal="center"/>
      <protection hidden="1"/>
    </xf>
    <xf numFmtId="10" fontId="16" fillId="3" borderId="6" xfId="5" applyNumberFormat="1" applyFont="1" applyFill="1" applyBorder="1" applyAlignment="1" applyProtection="1">
      <alignment horizontal="center" vertical="center"/>
      <protection locked="0"/>
    </xf>
    <xf numFmtId="10" fontId="16" fillId="3" borderId="7" xfId="5" applyNumberFormat="1" applyFont="1" applyFill="1" applyBorder="1" applyAlignment="1" applyProtection="1">
      <alignment horizontal="center" vertical="center"/>
      <protection locked="0"/>
    </xf>
    <xf numFmtId="168" fontId="16" fillId="11" borderId="12" xfId="5" applyNumberFormat="1" applyFont="1" applyFill="1" applyBorder="1" applyAlignment="1" applyProtection="1">
      <alignment horizontal="center" vertical="center"/>
      <protection hidden="1"/>
    </xf>
    <xf numFmtId="168" fontId="16" fillId="11" borderId="9" xfId="5" applyNumberFormat="1" applyFont="1" applyFill="1" applyBorder="1" applyAlignment="1" applyProtection="1">
      <alignment horizontal="center" vertical="center"/>
      <protection hidden="1"/>
    </xf>
    <xf numFmtId="168" fontId="16" fillId="11" borderId="13" xfId="5" applyNumberFormat="1" applyFont="1" applyFill="1" applyBorder="1" applyAlignment="1" applyProtection="1">
      <alignment horizontal="center" vertical="center"/>
      <protection hidden="1"/>
    </xf>
    <xf numFmtId="0" fontId="15" fillId="9" borderId="1" xfId="0" applyFont="1" applyFill="1" applyBorder="1" applyAlignment="1" applyProtection="1">
      <alignment horizontal="left" vertical="center" wrapText="1"/>
      <protection hidden="1"/>
    </xf>
    <xf numFmtId="10" fontId="16" fillId="11" borderId="1" xfId="0" applyNumberFormat="1" applyFont="1" applyFill="1" applyBorder="1" applyAlignment="1" applyProtection="1">
      <alignment horizontal="right"/>
      <protection hidden="1"/>
    </xf>
    <xf numFmtId="0" fontId="15" fillId="9" borderId="18" xfId="0" applyFont="1" applyFill="1" applyBorder="1" applyAlignment="1" applyProtection="1">
      <alignment horizontal="center" vertical="center" wrapText="1"/>
      <protection hidden="1"/>
    </xf>
    <xf numFmtId="0" fontId="15" fillId="9" borderId="15" xfId="0" applyFont="1" applyFill="1" applyBorder="1" applyAlignment="1" applyProtection="1">
      <alignment horizontal="center" vertical="center" wrapText="1"/>
      <protection hidden="1"/>
    </xf>
    <xf numFmtId="0" fontId="15" fillId="9" borderId="6" xfId="0" applyFont="1" applyFill="1" applyBorder="1" applyAlignment="1" applyProtection="1">
      <alignment horizontal="left" vertical="center" wrapText="1"/>
      <protection hidden="1"/>
    </xf>
    <xf numFmtId="0" fontId="15" fillId="9" borderId="7" xfId="0" applyFont="1" applyFill="1" applyBorder="1" applyAlignment="1" applyProtection="1">
      <alignment horizontal="left" vertical="center" wrapText="1"/>
      <protection hidden="1"/>
    </xf>
    <xf numFmtId="166" fontId="16" fillId="11" borderId="1" xfId="0" applyNumberFormat="1" applyFont="1" applyFill="1" applyBorder="1" applyAlignment="1" applyProtection="1">
      <alignment horizontal="right" vertical="center"/>
      <protection hidden="1"/>
    </xf>
    <xf numFmtId="10" fontId="16" fillId="11" borderId="1" xfId="0" applyNumberFormat="1" applyFont="1" applyFill="1" applyBorder="1" applyAlignment="1" applyProtection="1">
      <alignment horizontal="right" vertical="center"/>
      <protection hidden="1"/>
    </xf>
    <xf numFmtId="9" fontId="16" fillId="11" borderId="6" xfId="2" applyFont="1" applyFill="1" applyBorder="1" applyAlignment="1" applyProtection="1">
      <alignment horizontal="right" vertical="center"/>
      <protection hidden="1"/>
    </xf>
    <xf numFmtId="9" fontId="16" fillId="11" borderId="7" xfId="2" applyFont="1" applyFill="1" applyBorder="1" applyAlignment="1" applyProtection="1">
      <alignment horizontal="right" vertical="center"/>
      <protection hidden="1"/>
    </xf>
    <xf numFmtId="0" fontId="28" fillId="18" borderId="1" xfId="0" applyFont="1" applyFill="1" applyBorder="1" applyAlignment="1" applyProtection="1">
      <alignment horizontal="center"/>
      <protection hidden="1"/>
    </xf>
    <xf numFmtId="168" fontId="11" fillId="11" borderId="8" xfId="0" applyNumberFormat="1" applyFont="1" applyFill="1" applyBorder="1" applyAlignment="1" applyProtection="1">
      <alignment horizontal="center" vertical="center"/>
      <protection hidden="1"/>
    </xf>
    <xf numFmtId="0" fontId="38" fillId="4" borderId="12" xfId="0" applyFont="1" applyFill="1" applyBorder="1" applyAlignment="1">
      <alignment horizontal="center" vertical="center"/>
    </xf>
    <xf numFmtId="0" fontId="38" fillId="4" borderId="9" xfId="0" applyFont="1" applyFill="1" applyBorder="1" applyAlignment="1">
      <alignment horizontal="center" vertical="center"/>
    </xf>
    <xf numFmtId="0" fontId="38" fillId="4" borderId="13" xfId="0" applyFont="1" applyFill="1" applyBorder="1" applyAlignment="1">
      <alignment horizontal="center" vertical="center"/>
    </xf>
    <xf numFmtId="168" fontId="38" fillId="3" borderId="12" xfId="0" applyNumberFormat="1" applyFont="1" applyFill="1" applyBorder="1" applyAlignment="1" applyProtection="1">
      <alignment horizontal="center" vertical="center"/>
      <protection locked="0"/>
    </xf>
    <xf numFmtId="168" fontId="38" fillId="3" borderId="9" xfId="0" applyNumberFormat="1" applyFont="1" applyFill="1" applyBorder="1" applyAlignment="1" applyProtection="1">
      <alignment horizontal="center" vertical="center"/>
      <protection locked="0"/>
    </xf>
    <xf numFmtId="168" fontId="38" fillId="3" borderId="13" xfId="0" applyNumberFormat="1" applyFont="1" applyFill="1" applyBorder="1" applyAlignment="1" applyProtection="1">
      <alignment horizontal="center" vertical="center"/>
      <protection locked="0"/>
    </xf>
    <xf numFmtId="0" fontId="58" fillId="0" borderId="1" xfId="0" applyFont="1" applyBorder="1" applyAlignment="1" applyProtection="1">
      <alignment horizontal="center" vertical="center"/>
      <protection locked="0"/>
    </xf>
    <xf numFmtId="0" fontId="24" fillId="17" borderId="1" xfId="0" applyFont="1" applyFill="1" applyBorder="1" applyAlignment="1">
      <alignment horizontal="center" vertical="center" wrapText="1"/>
    </xf>
    <xf numFmtId="0" fontId="36" fillId="4" borderId="6" xfId="0" applyFont="1" applyFill="1" applyBorder="1" applyAlignment="1">
      <alignment horizontal="center" vertical="center"/>
    </xf>
    <xf numFmtId="0" fontId="36" fillId="4" borderId="7" xfId="0" applyFont="1" applyFill="1" applyBorder="1" applyAlignment="1">
      <alignment horizontal="center" vertical="center"/>
    </xf>
    <xf numFmtId="0" fontId="36" fillId="4" borderId="8" xfId="0" applyFont="1" applyFill="1" applyBorder="1" applyAlignment="1">
      <alignment horizontal="center" vertical="center"/>
    </xf>
    <xf numFmtId="0" fontId="36" fillId="4" borderId="1" xfId="0" applyFont="1" applyFill="1" applyBorder="1" applyAlignment="1">
      <alignment horizontal="center" vertical="center"/>
    </xf>
    <xf numFmtId="1" fontId="38" fillId="11" borderId="0" xfId="0" applyNumberFormat="1" applyFont="1" applyFill="1" applyAlignment="1" applyProtection="1">
      <alignment horizontal="center" vertical="center"/>
      <protection hidden="1"/>
    </xf>
    <xf numFmtId="168" fontId="38" fillId="3" borderId="12" xfId="0" applyNumberFormat="1" applyFont="1" applyFill="1" applyBorder="1" applyAlignment="1" applyProtection="1">
      <alignment horizontal="center" vertical="center"/>
      <protection hidden="1"/>
    </xf>
    <xf numFmtId="168" fontId="38" fillId="3" borderId="9" xfId="0" applyNumberFormat="1" applyFont="1" applyFill="1" applyBorder="1" applyAlignment="1" applyProtection="1">
      <alignment horizontal="center" vertical="center"/>
      <protection hidden="1"/>
    </xf>
    <xf numFmtId="168" fontId="38" fillId="3" borderId="13" xfId="0" applyNumberFormat="1" applyFont="1" applyFill="1" applyBorder="1" applyAlignment="1" applyProtection="1">
      <alignment horizontal="center" vertical="center"/>
      <protection hidden="1"/>
    </xf>
    <xf numFmtId="0" fontId="35" fillId="17" borderId="6" xfId="0" applyFont="1" applyFill="1" applyBorder="1" applyAlignment="1">
      <alignment horizontal="center" vertical="center"/>
    </xf>
    <xf numFmtId="0" fontId="35" fillId="17" borderId="7" xfId="0" applyFont="1" applyFill="1" applyBorder="1" applyAlignment="1">
      <alignment horizontal="center" vertical="center"/>
    </xf>
    <xf numFmtId="0" fontId="35" fillId="17" borderId="8" xfId="0" applyFont="1" applyFill="1" applyBorder="1" applyAlignment="1">
      <alignment horizontal="center" vertical="center"/>
    </xf>
    <xf numFmtId="0" fontId="58" fillId="0" borderId="6" xfId="0" applyFont="1" applyBorder="1" applyAlignment="1" applyProtection="1">
      <alignment horizontal="center" vertical="center"/>
      <protection locked="0"/>
    </xf>
    <xf numFmtId="0" fontId="58" fillId="0" borderId="8" xfId="0" applyFont="1" applyBorder="1" applyAlignment="1" applyProtection="1">
      <alignment horizontal="center" vertical="center"/>
      <protection locked="0"/>
    </xf>
    <xf numFmtId="168" fontId="38" fillId="3" borderId="18" xfId="0" applyNumberFormat="1" applyFont="1" applyFill="1" applyBorder="1" applyAlignment="1" applyProtection="1">
      <alignment horizontal="center" vertical="center"/>
      <protection hidden="1"/>
    </xf>
    <xf numFmtId="168" fontId="38" fillId="3" borderId="23" xfId="0" applyNumberFormat="1" applyFont="1" applyFill="1" applyBorder="1" applyAlignment="1" applyProtection="1">
      <alignment horizontal="center" vertical="center"/>
      <protection hidden="1"/>
    </xf>
    <xf numFmtId="168" fontId="38" fillId="3" borderId="25" xfId="0" applyNumberFormat="1" applyFont="1" applyFill="1" applyBorder="1" applyAlignment="1" applyProtection="1">
      <alignment horizontal="center" vertical="center"/>
      <protection hidden="1"/>
    </xf>
    <xf numFmtId="168" fontId="38" fillId="3" borderId="26" xfId="0" applyNumberFormat="1" applyFont="1" applyFill="1" applyBorder="1" applyAlignment="1" applyProtection="1">
      <alignment horizontal="center" vertical="center"/>
      <protection hidden="1"/>
    </xf>
    <xf numFmtId="168" fontId="38" fillId="3" borderId="15" xfId="0" applyNumberFormat="1" applyFont="1" applyFill="1" applyBorder="1" applyAlignment="1" applyProtection="1">
      <alignment horizontal="center" vertical="center"/>
      <protection hidden="1"/>
    </xf>
    <xf numFmtId="168" fontId="38" fillId="3" borderId="24" xfId="0" applyNumberFormat="1" applyFont="1" applyFill="1" applyBorder="1" applyAlignment="1" applyProtection="1">
      <alignment horizontal="center" vertical="center"/>
      <protection hidden="1"/>
    </xf>
    <xf numFmtId="165" fontId="8" fillId="0" borderId="6" xfId="4" applyNumberFormat="1" applyFont="1" applyFill="1" applyBorder="1" applyAlignment="1" applyProtection="1">
      <alignment horizontal="center" vertical="center" wrapText="1"/>
      <protection locked="0"/>
    </xf>
    <xf numFmtId="165" fontId="8" fillId="0" borderId="7" xfId="4" applyNumberFormat="1" applyFont="1" applyFill="1" applyBorder="1" applyAlignment="1" applyProtection="1">
      <alignment horizontal="center" vertical="center" wrapText="1"/>
      <protection locked="0"/>
    </xf>
    <xf numFmtId="165" fontId="8" fillId="0" borderId="8" xfId="4" applyNumberFormat="1" applyFont="1" applyFill="1" applyBorder="1" applyAlignment="1" applyProtection="1">
      <alignment horizontal="center" vertical="center" wrapText="1"/>
      <protection locked="0"/>
    </xf>
  </cellXfs>
  <cellStyles count="10">
    <cellStyle name="Comma" xfId="1" builtinId="3"/>
    <cellStyle name="Comma 2" xfId="4" xr:uid="{00000000-0005-0000-0000-000001000000}"/>
    <cellStyle name="Comma 3" xfId="7" xr:uid="{00000000-0005-0000-0000-000002000000}"/>
    <cellStyle name="Currency" xfId="3" builtinId="4"/>
    <cellStyle name="Currency 2" xfId="5" xr:uid="{00000000-0005-0000-0000-000004000000}"/>
    <cellStyle name="Hyperlink" xfId="6" builtinId="8"/>
    <cellStyle name="Normal" xfId="0" builtinId="0"/>
    <cellStyle name="Normal 3 2" xfId="9" xr:uid="{8575EB26-D81F-404C-B9D9-E933C5ADB66F}"/>
    <cellStyle name="Normal 58" xfId="8" xr:uid="{0308C3E7-ECDE-4AB1-B2B3-F867962BDEE5}"/>
    <cellStyle name="Percent" xfId="2" builtinId="5"/>
  </cellStyles>
  <dxfs count="168">
    <dxf>
      <font>
        <b val="0"/>
        <i val="0"/>
        <strike val="0"/>
        <condense val="0"/>
        <extend val="0"/>
        <outline val="0"/>
        <shadow val="0"/>
        <u val="none"/>
        <vertAlign val="baseline"/>
        <sz val="11"/>
        <color theme="1"/>
        <name val="Calibri"/>
        <family val="2"/>
        <scheme val="minor"/>
      </font>
      <numFmt numFmtId="177"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medium">
          <color theme="1"/>
        </right>
        <top style="medium">
          <color theme="1"/>
        </top>
        <bottom style="medium">
          <color theme="1"/>
        </bottom>
      </border>
    </dxf>
    <dxf>
      <font>
        <strike val="0"/>
        <outline val="0"/>
        <shadow val="0"/>
        <u val="none"/>
        <vertAlign val="baseline"/>
        <name val="Calibri"/>
        <family val="2"/>
        <scheme val="minor"/>
      </font>
      <alignment horizontal="general" vertical="center" textRotation="0" wrapText="0" indent="0" justifyLastLine="0" shrinkToFit="0" readingOrder="0"/>
    </dxf>
    <dxf>
      <fill>
        <patternFill patternType="solid">
          <fgColor indexed="64"/>
          <bgColor theme="0"/>
        </patternFill>
      </fill>
      <border diagonalUp="0" diagonalDown="0" outline="0">
        <left style="thin">
          <color indexed="64"/>
        </left>
        <right/>
        <top style="medium">
          <color indexed="64"/>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79"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b val="0"/>
        <i val="0"/>
        <strike val="0"/>
        <condense val="0"/>
        <extend val="0"/>
        <outline val="0"/>
        <shadow val="0"/>
        <u val="none"/>
        <vertAlign val="baseline"/>
        <sz val="10"/>
        <color theme="1"/>
        <name val="Calibri"/>
        <family val="2"/>
        <scheme val="minor"/>
      </font>
      <numFmt numFmtId="177"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177"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77"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alignment horizontal="general" vertical="center" textRotation="0" wrapText="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numFmt numFmtId="0" formatCode="General"/>
      <alignment vertical="center" textRotation="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1"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alignment vertical="center" textRotation="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19" formatCode="dd/mm/yyyy"/>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right/>
        <top style="medium">
          <color theme="1"/>
        </top>
        <bottom style="medium">
          <color theme="1"/>
        </bottom>
      </border>
    </dxf>
    <dxf>
      <font>
        <strike val="0"/>
        <outline val="0"/>
        <shadow val="0"/>
        <u val="none"/>
        <vertAlign val="baseline"/>
        <sz val="10"/>
        <color auto="1"/>
        <name val="Calibri"/>
        <family val="2"/>
        <scheme val="minor"/>
      </font>
      <numFmt numFmtId="3" formatCode="#,##0"/>
      <fill>
        <patternFill patternType="none">
          <fgColor indexed="64"/>
          <bgColor indexed="65"/>
        </patternFill>
      </fill>
      <alignment horizontal="general" vertical="center" textRotation="0" wrapText="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b val="0"/>
        <i val="0"/>
        <strike val="0"/>
        <condense val="0"/>
        <extend val="0"/>
        <outline val="0"/>
        <shadow val="0"/>
        <u val="none"/>
        <vertAlign val="baseline"/>
        <sz val="10"/>
        <color theme="1"/>
        <name val="Calibri"/>
        <family val="2"/>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77"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medium">
          <color theme="1"/>
        </left>
        <right style="thin">
          <color indexed="64"/>
        </right>
        <top style="medium">
          <color theme="1"/>
        </top>
        <bottom style="medium">
          <color theme="1"/>
        </bottom>
      </border>
    </dxf>
    <dxf>
      <font>
        <strike val="0"/>
        <outline val="0"/>
        <shadow val="0"/>
        <u val="none"/>
        <vertAlign val="baseline"/>
        <name val="Calibri"/>
        <family val="2"/>
        <scheme val="minor"/>
      </font>
      <alignment vertical="center" textRotation="0" indent="0" justifyLastLine="0" shrinkToFit="0" readingOrder="0"/>
    </dxf>
    <dxf>
      <fill>
        <patternFill patternType="solid">
          <fgColor indexed="64"/>
          <bgColor theme="0"/>
        </patternFill>
      </fill>
      <border diagonalUp="0" diagonalDown="0" outline="0">
        <left/>
        <right style="thin">
          <color indexed="64"/>
        </right>
        <top/>
        <bottom style="thin">
          <color indexed="64"/>
        </bottom>
      </border>
    </dxf>
    <dxf>
      <border>
        <top style="thin">
          <color indexed="64"/>
        </top>
      </border>
    </dxf>
    <dxf>
      <font>
        <strike val="0"/>
        <outline val="0"/>
        <shadow val="0"/>
        <u val="none"/>
        <vertAlign val="baseline"/>
        <sz val="10"/>
        <name val="Calibri"/>
        <family val="2"/>
        <scheme val="minor"/>
      </font>
      <alignment vertical="center" textRotation="0"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0"/>
        <name val="Calibri"/>
        <family val="2"/>
        <scheme val="minor"/>
      </font>
      <fill>
        <patternFill patternType="solid">
          <fgColor indexed="64"/>
          <bgColor theme="0"/>
        </patternFill>
      </fill>
      <alignment vertical="center" textRotation="0" indent="0" justifyLastLine="0" shrinkToFit="0" readingOrder="0"/>
    </dxf>
    <dxf>
      <border outline="0">
        <bottom style="thin">
          <color indexed="64"/>
        </bottom>
      </border>
    </dxf>
    <dxf>
      <font>
        <strike val="0"/>
        <outline val="0"/>
        <shadow val="0"/>
        <u val="none"/>
        <vertAlign val="baseline"/>
        <sz val="10"/>
        <name val="Calibri"/>
        <family val="2"/>
        <scheme val="minor"/>
      </font>
      <fill>
        <patternFill patternType="solid">
          <fgColor indexed="64"/>
          <bgColor theme="0"/>
        </patternFill>
      </fill>
      <alignment vertical="center" textRotation="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EBF6F9"/>
      <color rgb="FFA7D9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calcChain" Target="calcChain.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y%20Documents/Macros/Formats/Financials/NC%20Financial%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Profile"/>
      <sheetName val="ROC-Check"/>
      <sheetName val="GST-Check"/>
      <sheetName val="KYC-Check"/>
      <sheetName val="Analysis"/>
      <sheetName val="Financial Statement"/>
      <sheetName val="Cash Flow"/>
      <sheetName val="RTR Sheet"/>
    </sheetNames>
    <sheetDataSet>
      <sheetData sheetId="0"/>
      <sheetData sheetId="1"/>
      <sheetData sheetId="2"/>
      <sheetData sheetId="3"/>
      <sheetData sheetId="4"/>
      <sheetData sheetId="5"/>
      <sheetData sheetId="6"/>
      <sheetData sheetId="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FB3034-3C63-447B-8CF1-56B81832E28D}" name="LoanTrack" displayName="LoanTrack" ref="B26:BC30" headerRowCount="0" totalsRowCount="1" headerRowDxfId="167" dataDxfId="165" totalsRowDxfId="163" headerRowBorderDxfId="166" tableBorderDxfId="164" totalsRowBorderDxfId="162">
  <tableColumns count="54">
    <tableColumn id="1" xr3:uid="{708F2675-FD94-44B7-BF80-3DED4E80CB11}" name="Column1" totalsRowLabel="Total" headerRowDxfId="161" dataDxfId="160" totalsRowDxfId="159"/>
    <tableColumn id="2" xr3:uid="{29401AC9-EDE6-4DA8-BF41-A0415D12AB39}" name="Column2" headerRowDxfId="158" dataDxfId="157" totalsRowDxfId="156"/>
    <tableColumn id="3" xr3:uid="{28B04FD2-238E-4FCE-8D14-18A8B5CFD9A3}" name="Column3" totalsRowFunction="count" headerRowDxfId="155" dataDxfId="154" totalsRowDxfId="153"/>
    <tableColumn id="4" xr3:uid="{916B460A-42DA-4210-855C-494B0A22DD78}" name="Column4" totalsRowFunction="sum" headerRowDxfId="152" dataDxfId="151" totalsRowDxfId="150"/>
    <tableColumn id="53" xr3:uid="{7B1CDAF2-6760-4F61-B57E-748614F3B44A}" name="Column52" totalsRowFunction="sum" headerRowDxfId="149" dataDxfId="148" totalsRowDxfId="147"/>
    <tableColumn id="5" xr3:uid="{13642825-2372-4279-928C-DB22E951BEC4}" name="Column5" totalsRowFunction="sum" headerRowDxfId="146" dataDxfId="145" totalsRowDxfId="144"/>
    <tableColumn id="6" xr3:uid="{785FDFAB-F102-4902-A87B-48504CB91FAA}" name="Column6" headerRowDxfId="143" dataDxfId="142" totalsRowDxfId="141"/>
    <tableColumn id="54" xr3:uid="{A6FA7051-98A5-49A5-832E-889F1B317C11}" name="Column54" totalsRowFunction="sum" headerRowDxfId="140" dataDxfId="139" totalsRowDxfId="138" dataCellStyle="Normal 3 2"/>
    <tableColumn id="7" xr3:uid="{B2F9FAB6-8D1B-4F90-8461-5CCC48918177}" name="Column7" headerRowDxfId="137" dataDxfId="136" totalsRowDxfId="135"/>
    <tableColumn id="8" xr3:uid="{28EEB296-6712-42CE-842B-A8295364654C}" name="Column8" headerRowDxfId="134" dataDxfId="133" totalsRowDxfId="132">
      <calculatedColumnFormula>IFERROR(IF(J26&lt;(TODAY()-H26)/30,"",J26-((TODAY()-H26)/30)+1),"")</calculatedColumnFormula>
    </tableColumn>
    <tableColumn id="9" xr3:uid="{4D5DBC71-0290-4501-A61E-33A60F81B5C6}" name="Column9" totalsRowFunction="custom" headerRowDxfId="131" dataDxfId="130" totalsRowDxfId="129">
      <totalsRowFormula>COUNTIF(L26:L29,"Yes")</totalsRowFormula>
    </tableColumn>
    <tableColumn id="10" xr3:uid="{CC1F6149-142E-4F23-9655-9AE560316659}" name="Column10" totalsRowFunction="sum" headerRowDxfId="128" dataDxfId="127" totalsRowDxfId="126">
      <calculatedColumnFormula>IF(OR(L26="Yes",AND(K26&gt;1,K26&lt;&gt;"")),G26,"")</calculatedColumnFormula>
    </tableColumn>
    <tableColumn id="11" xr3:uid="{30690F02-ED8A-40E6-AAF4-D99F34E5ECC7}" name="Column11" totalsRowFunction="custom" headerRowDxfId="125" dataDxfId="124" totalsRowDxfId="123">
      <totalsRowFormula>SUMPRODUCT((N26:N29&lt;&gt;"")/COUNTIF(N26:N29,N26:N29&amp;""))</totalsRowFormula>
    </tableColumn>
    <tableColumn id="52" xr3:uid="{74FD8304-3D2C-43D6-82CE-F1657A7AA9CA}" name="Column51" totalsRowFunction="sum" headerRowDxfId="122" dataDxfId="121" totalsRowDxfId="120" dataCellStyle="Normal 3 2">
      <calculatedColumnFormula>IF($G26&lt;&gt;"",COUNT($S26,$V26,$Y26,$AB26,$AE26,$AH26,$AK26,$AN26,$AQ26,$AT26,$AW26,$AZ26),"")</calculatedColumnFormula>
    </tableColumn>
    <tableColumn id="55" xr3:uid="{E821A8C4-282A-4556-A974-009220063FCD}" name="Column53" headerRowDxfId="119" dataDxfId="118" totalsRowDxfId="117" dataCellStyle="Normal 3 2"/>
    <tableColumn id="51" xr3:uid="{0C271C2C-6B03-4D57-8A3D-2C9D21CE4C70}" name="Column50" totalsRowFunction="sum" headerRowDxfId="116" dataDxfId="115" totalsRowDxfId="114" dataCellStyle="Normal 3 2">
      <calculatedColumnFormula>IF($G26&lt;&gt;"",SUM($T26,$W26,$Z26,$AC26,$AF26,$AI26,$AL26,$AO26,$AR26,$AU26,$AX26,$BA26),"")</calculatedColumnFormula>
    </tableColumn>
    <tableColumn id="50" xr3:uid="{4C429B97-1A53-445F-9D03-E305DE874BD4}" name="Column49" totalsRowFunction="custom" headerRowDxfId="113" dataDxfId="112" totalsRowDxfId="111" dataCellStyle="Normal 3 2">
      <calculatedColumnFormula>IF($G26&lt;&gt;"",IFERROR(AVERAGE($U26,$X26,$AA26,$AD26,$AG26,$AJ26,$AM26,$AP26,$AS26,$AV26,$AY26,$BB26),""),"")</calculatedColumnFormula>
      <totalsRowFormula>IFERROR(SUBTOTAL(101,R26:R29),"")</totalsRowFormula>
    </tableColumn>
    <tableColumn id="12" xr3:uid="{1088DF40-5644-4474-B16A-464EAB4CCBE6}" name="Column12" totalsRowFunction="count" headerRowDxfId="110" dataDxfId="109" totalsRowDxfId="108"/>
    <tableColumn id="13" xr3:uid="{F6A9BE81-8B32-4481-AFB0-CCFDA3DC6849}" name="Column13" totalsRowFunction="sum" headerRowDxfId="107" dataDxfId="106" totalsRowDxfId="105"/>
    <tableColumn id="14" xr3:uid="{3BADE1B8-9675-4579-A95D-58EF86EF74F1}" name="Column14" totalsRowFunction="custom" headerRowDxfId="104" dataDxfId="103" totalsRowDxfId="102">
      <totalsRowFormula>IFERROR(SUBTOTAL(101,U26:U29),"")</totalsRowFormula>
    </tableColumn>
    <tableColumn id="15" xr3:uid="{403F45CB-CE9E-48A3-A71C-0DB9A22B9621}" name="Column15" totalsRowFunction="count" headerRowDxfId="101" dataDxfId="100" totalsRowDxfId="99"/>
    <tableColumn id="16" xr3:uid="{30503499-82FE-4F45-9F1F-AB5D5E1BB39A}" name="Column16" totalsRowFunction="sum" headerRowDxfId="98" dataDxfId="97" totalsRowDxfId="96"/>
    <tableColumn id="17" xr3:uid="{7C4C8ADC-02E1-4378-B779-7CB2960A721E}" name="Column17" totalsRowFunction="custom" headerRowDxfId="95" dataDxfId="94" totalsRowDxfId="93">
      <totalsRowFormula>IFERROR(SUBTOTAL(101,X26:X29),"")</totalsRowFormula>
    </tableColumn>
    <tableColumn id="18" xr3:uid="{18E2063A-3DD9-4F7E-8DE4-65D22C6C704F}" name="Column18" totalsRowFunction="count" headerRowDxfId="92" dataDxfId="91" totalsRowDxfId="90"/>
    <tableColumn id="19" xr3:uid="{9D36002A-7E26-465B-94BF-E6463BD874F5}" name="Column19" totalsRowFunction="sum" headerRowDxfId="89" dataDxfId="88" totalsRowDxfId="87"/>
    <tableColumn id="20" xr3:uid="{D51498DF-13B2-4610-99ED-99DF79D2AC6E}" name="Column20" totalsRowFunction="custom" headerRowDxfId="86" dataDxfId="85" totalsRowDxfId="84">
      <totalsRowFormula>IFERROR(SUBTOTAL(101,AA26:AA29),"")</totalsRowFormula>
    </tableColumn>
    <tableColumn id="21" xr3:uid="{56A0BD32-29AA-47BF-9E55-D0C3B753779F}" name="Column21" totalsRowFunction="count" headerRowDxfId="83" dataDxfId="82" totalsRowDxfId="81"/>
    <tableColumn id="22" xr3:uid="{4A48FB97-41A2-483E-838E-D13D2E6209C5}" name="Column22" totalsRowFunction="sum" headerRowDxfId="80" dataDxfId="79" totalsRowDxfId="78"/>
    <tableColumn id="23" xr3:uid="{B5F3BD28-6862-4D1F-90E2-911F2A4119B8}" name="Column23" totalsRowFunction="custom" headerRowDxfId="77" dataDxfId="76" totalsRowDxfId="75">
      <totalsRowFormula>IFERROR(SUBTOTAL(101,AD26:AD29),"")</totalsRowFormula>
    </tableColumn>
    <tableColumn id="24" xr3:uid="{D9B4BA91-CCEB-4A07-A5E1-5CC731E4449C}" name="Column24" totalsRowFunction="count" headerRowDxfId="74" dataDxfId="73" totalsRowDxfId="72"/>
    <tableColumn id="25" xr3:uid="{75D2A547-3F1E-43FC-85D2-5C21BD128DAB}" name="Column25" totalsRowFunction="sum" headerRowDxfId="71" dataDxfId="70" totalsRowDxfId="69"/>
    <tableColumn id="26" xr3:uid="{86343059-E819-419F-A8A0-3E89AD14FE12}" name="Column26" totalsRowFunction="custom" headerRowDxfId="68" dataDxfId="67" totalsRowDxfId="66">
      <totalsRowFormula>IFERROR(SUBTOTAL(101,AG26:AG29),"")</totalsRowFormula>
    </tableColumn>
    <tableColumn id="27" xr3:uid="{52EF38D4-5A21-44A7-8D93-E46C7F639675}" name="Column27" totalsRowFunction="count" headerRowDxfId="65" dataDxfId="64" totalsRowDxfId="63"/>
    <tableColumn id="28" xr3:uid="{43E4C19B-EDAD-404C-997F-D79EDAE33735}" name="Column28" totalsRowFunction="sum" headerRowDxfId="62" dataDxfId="61" totalsRowDxfId="60"/>
    <tableColumn id="29" xr3:uid="{4B3F245E-3CB3-4E37-B055-D05A9F2D645A}" name="Column29" totalsRowFunction="custom" headerRowDxfId="59" dataDxfId="58" totalsRowDxfId="57">
      <totalsRowFormula>IFERROR(SUBTOTAL(101,AJ26:AJ29),"")</totalsRowFormula>
    </tableColumn>
    <tableColumn id="30" xr3:uid="{69A08FB1-4137-4DAD-9BEC-B42E00F059BB}" name="Column30" totalsRowFunction="count" headerRowDxfId="56" dataDxfId="55" totalsRowDxfId="54"/>
    <tableColumn id="31" xr3:uid="{DFF9F671-C5D1-4817-8193-58BA59D6AF02}" name="Column31" totalsRowFunction="sum" headerRowDxfId="53" dataDxfId="52" totalsRowDxfId="51"/>
    <tableColumn id="32" xr3:uid="{BE223BDC-4414-41C5-A7B4-8D74BF695CAA}" name="Column32" totalsRowFunction="custom" headerRowDxfId="50" dataDxfId="49" totalsRowDxfId="48">
      <totalsRowFormula>IFERROR(SUBTOTAL(101,AM26:AM29),"")</totalsRowFormula>
    </tableColumn>
    <tableColumn id="33" xr3:uid="{EEF7E114-9433-4C1A-A0B1-2C4B9E44960D}" name="Column33" totalsRowFunction="count" headerRowDxfId="47" dataDxfId="46" totalsRowDxfId="45"/>
    <tableColumn id="34" xr3:uid="{353C90F2-017E-440A-9E97-BD629C4CA73F}" name="Column34" totalsRowFunction="sum" headerRowDxfId="44" dataDxfId="43" totalsRowDxfId="42"/>
    <tableColumn id="35" xr3:uid="{24EE1697-3931-4887-B489-72D72F9A85EB}" name="Column35" totalsRowFunction="custom" headerRowDxfId="41" dataDxfId="40" totalsRowDxfId="39">
      <totalsRowFormula>IFERROR(SUBTOTAL(101,AP26:AP29),"")</totalsRowFormula>
    </tableColumn>
    <tableColumn id="36" xr3:uid="{E7890A47-546D-4C90-9588-B7F1E98F7031}" name="Column36" totalsRowFunction="count" headerRowDxfId="38" dataDxfId="37" totalsRowDxfId="36"/>
    <tableColumn id="37" xr3:uid="{28CAFDD4-FE36-48E6-B755-53BEE1EBCD76}" name="Column37" totalsRowFunction="sum" headerRowDxfId="35" dataDxfId="34" totalsRowDxfId="33"/>
    <tableColumn id="38" xr3:uid="{2C41F602-30D1-4406-A055-CB073CE6AD07}" name="Column38" totalsRowFunction="custom" headerRowDxfId="32" dataDxfId="31" totalsRowDxfId="30">
      <totalsRowFormula>IFERROR(SUBTOTAL(101,AS26:AS29),"")</totalsRowFormula>
    </tableColumn>
    <tableColumn id="39" xr3:uid="{80E15FD1-E872-4DFC-B790-7C70C82DCA41}" name="Column39" totalsRowFunction="count" headerRowDxfId="29" dataDxfId="28" totalsRowDxfId="27"/>
    <tableColumn id="40" xr3:uid="{F5577DA6-8EC5-4E26-A4EC-32CF604504E6}" name="Column40" totalsRowFunction="sum" headerRowDxfId="26" dataDxfId="25" totalsRowDxfId="24"/>
    <tableColumn id="41" xr3:uid="{90A93164-27B9-4102-8E8F-1762C3309A88}" name="Column41" totalsRowFunction="custom" headerRowDxfId="23" dataDxfId="22" totalsRowDxfId="21">
      <totalsRowFormula>IFERROR(SUBTOTAL(101,AV26:AV29),"")</totalsRowFormula>
    </tableColumn>
    <tableColumn id="42" xr3:uid="{752B5FD9-C14F-4D51-BA43-308DBBDD683C}" name="Column42" totalsRowFunction="count" headerRowDxfId="20" dataDxfId="19" totalsRowDxfId="18"/>
    <tableColumn id="43" xr3:uid="{1187330E-8E05-4A2B-AB33-E9E955ED4CA6}" name="Column43" totalsRowFunction="sum" headerRowDxfId="17" dataDxfId="16" totalsRowDxfId="15"/>
    <tableColumn id="44" xr3:uid="{AFFCD0BB-0D41-45D7-82A1-583F3DCEA081}" name="Column44" totalsRowFunction="custom" headerRowDxfId="14" dataDxfId="13" totalsRowDxfId="12">
      <totalsRowFormula>IFERROR(SUBTOTAL(101,AY26:AY29),"")</totalsRowFormula>
    </tableColumn>
    <tableColumn id="45" xr3:uid="{1E9ADA2B-ED05-426A-B4C2-10453DB7676E}" name="Column45" totalsRowFunction="count" headerRowDxfId="11" dataDxfId="10" totalsRowDxfId="9"/>
    <tableColumn id="46" xr3:uid="{5789076B-DB23-4DB4-BC62-246B980CFAA6}" name="Column46" totalsRowFunction="sum" headerRowDxfId="8" dataDxfId="7" totalsRowDxfId="6"/>
    <tableColumn id="47" xr3:uid="{62128394-65D3-4C2F-82CA-F98F0031C74E}" name="Column47" totalsRowFunction="custom" headerRowDxfId="5" dataDxfId="4" totalsRowDxfId="3">
      <totalsRowFormula>IFERROR(SUBTOTAL(101,BB26:BB29),"")</totalsRowFormula>
    </tableColumn>
    <tableColumn id="48" xr3:uid="{F312BC99-D397-4502-BF23-50F97EE90DC0}" name="Column48" totalsRowFunction="count" headerRowDxfId="2" dataDxfId="1" totalsRowDxfId="0"/>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email-checker.net/check" TargetMode="External"/><Relationship Id="rId3" Type="http://schemas.openxmlformats.org/officeDocument/2006/relationships/hyperlink" Target="https://www.cibil.com/" TargetMode="External"/><Relationship Id="rId7" Type="http://schemas.openxmlformats.org/officeDocument/2006/relationships/hyperlink" Target="http://www.instafinancials.com/" TargetMode="External"/><Relationship Id="rId2" Type="http://schemas.openxmlformats.org/officeDocument/2006/relationships/hyperlink" Target="https://www.whois.net/default.aspx" TargetMode="External"/><Relationship Id="rId1" Type="http://schemas.openxmlformats.org/officeDocument/2006/relationships/hyperlink" Target="http://abflrsystem.adityabirlacapital.com/csfweb/" TargetMode="External"/><Relationship Id="rId6" Type="http://schemas.openxmlformats.org/officeDocument/2006/relationships/hyperlink" Target="https://www.zaubacorp.com/" TargetMode="External"/><Relationship Id="rId11" Type="http://schemas.openxmlformats.org/officeDocument/2006/relationships/printerSettings" Target="../printerSettings/printerSettings1.bin"/><Relationship Id="rId5" Type="http://schemas.openxmlformats.org/officeDocument/2006/relationships/hyperlink" Target="http://watchoutinvestors.com/default2a.asp" TargetMode="External"/><Relationship Id="rId10" Type="http://schemas.openxmlformats.org/officeDocument/2006/relationships/hyperlink" Target="https://probe42.in/" TargetMode="External"/><Relationship Id="rId4" Type="http://schemas.openxmlformats.org/officeDocument/2006/relationships/hyperlink" Target="https://www.crisilratings.com/RatingAN/login" TargetMode="External"/><Relationship Id="rId9" Type="http://schemas.openxmlformats.org/officeDocument/2006/relationships/hyperlink" Target="https://indiankanoon.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5"/>
  <dimension ref="A1:G29"/>
  <sheetViews>
    <sheetView workbookViewId="0">
      <selection activeCell="D3" sqref="D3"/>
    </sheetView>
  </sheetViews>
  <sheetFormatPr defaultRowHeight="15" x14ac:dyDescent="0.25"/>
  <cols>
    <col min="1" max="1" width="29.42578125" bestFit="1" customWidth="1"/>
    <col min="2" max="2" width="32.28515625" bestFit="1" customWidth="1"/>
    <col min="3" max="7" width="33.42578125" bestFit="1" customWidth="1"/>
  </cols>
  <sheetData>
    <row r="1" spans="1:7" x14ac:dyDescent="0.25">
      <c r="A1" s="356" t="s">
        <v>959</v>
      </c>
      <c r="B1" s="356"/>
      <c r="C1" s="172" t="s">
        <v>960</v>
      </c>
      <c r="D1" s="172" t="s">
        <v>961</v>
      </c>
      <c r="E1" s="172" t="s">
        <v>962</v>
      </c>
      <c r="F1" s="172" t="s">
        <v>963</v>
      </c>
      <c r="G1" s="172" t="s">
        <v>964</v>
      </c>
    </row>
    <row r="2" spans="1:7" x14ac:dyDescent="0.25">
      <c r="A2" s="173" t="s">
        <v>965</v>
      </c>
      <c r="B2" s="174">
        <v>43425</v>
      </c>
      <c r="C2" s="174">
        <f>+B2</f>
        <v>43425</v>
      </c>
      <c r="D2" s="174">
        <f>+C2</f>
        <v>43425</v>
      </c>
      <c r="E2" s="174">
        <f>+D2</f>
        <v>43425</v>
      </c>
      <c r="F2" s="174">
        <f>+E2</f>
        <v>43425</v>
      </c>
      <c r="G2" s="174">
        <f>+F2</f>
        <v>43425</v>
      </c>
    </row>
    <row r="3" spans="1:7" x14ac:dyDescent="0.25">
      <c r="A3" s="173" t="s">
        <v>966</v>
      </c>
      <c r="B3" s="174"/>
      <c r="C3" s="174"/>
      <c r="D3" s="174"/>
      <c r="E3" s="174"/>
      <c r="F3" s="174"/>
      <c r="G3" s="174"/>
    </row>
    <row r="4" spans="1:7" x14ac:dyDescent="0.25">
      <c r="A4" s="173" t="s">
        <v>967</v>
      </c>
      <c r="B4" s="174" t="s">
        <v>968</v>
      </c>
      <c r="C4" s="174"/>
      <c r="D4" s="174"/>
      <c r="E4" s="174"/>
      <c r="F4" s="174"/>
      <c r="G4" s="174"/>
    </row>
    <row r="5" spans="1:7" x14ac:dyDescent="0.25">
      <c r="A5" s="173" t="s">
        <v>969</v>
      </c>
      <c r="B5" s="174" t="s">
        <v>968</v>
      </c>
      <c r="C5" s="174"/>
      <c r="D5" s="174"/>
      <c r="E5" s="174"/>
      <c r="F5" s="174"/>
      <c r="G5" s="174"/>
    </row>
    <row r="6" spans="1:7" x14ac:dyDescent="0.25">
      <c r="A6" s="173" t="s">
        <v>970</v>
      </c>
      <c r="B6" s="175"/>
      <c r="C6" s="175"/>
      <c r="D6" s="175"/>
      <c r="E6" s="175"/>
      <c r="F6" s="175"/>
      <c r="G6" s="175"/>
    </row>
    <row r="7" spans="1:7" x14ac:dyDescent="0.25">
      <c r="A7" s="173" t="s">
        <v>971</v>
      </c>
      <c r="B7" s="174"/>
      <c r="C7" s="174"/>
      <c r="D7" s="176"/>
      <c r="E7" s="174"/>
      <c r="F7" s="174"/>
      <c r="G7" s="174"/>
    </row>
    <row r="8" spans="1:7" x14ac:dyDescent="0.25">
      <c r="A8" s="177" t="s">
        <v>972</v>
      </c>
      <c r="B8" s="174"/>
      <c r="C8" s="174"/>
      <c r="D8" s="174"/>
      <c r="E8" s="178"/>
      <c r="F8" s="178"/>
      <c r="G8" s="178"/>
    </row>
    <row r="9" spans="1:7" x14ac:dyDescent="0.25">
      <c r="A9" s="177" t="s">
        <v>973</v>
      </c>
      <c r="B9" s="178"/>
      <c r="C9" s="178"/>
      <c r="D9" s="178"/>
      <c r="E9" s="178"/>
      <c r="F9" s="178"/>
      <c r="G9" s="178"/>
    </row>
    <row r="10" spans="1:7" x14ac:dyDescent="0.25">
      <c r="A10" s="177" t="s">
        <v>974</v>
      </c>
      <c r="B10" s="178"/>
      <c r="C10" s="178"/>
      <c r="D10" s="178"/>
      <c r="E10" s="178"/>
      <c r="F10" s="178"/>
      <c r="G10" s="178"/>
    </row>
    <row r="11" spans="1:7" x14ac:dyDescent="0.25">
      <c r="A11" s="177" t="s">
        <v>975</v>
      </c>
      <c r="B11" s="178"/>
      <c r="C11" s="178"/>
      <c r="D11" s="178"/>
      <c r="E11" s="178"/>
      <c r="F11" s="178"/>
      <c r="G11" s="178"/>
    </row>
    <row r="12" spans="1:7" x14ac:dyDescent="0.25">
      <c r="A12" s="177" t="s">
        <v>976</v>
      </c>
      <c r="B12" s="178"/>
      <c r="C12" s="178"/>
      <c r="D12" s="178"/>
      <c r="E12" s="178"/>
      <c r="F12" s="178"/>
      <c r="G12" s="178"/>
    </row>
    <row r="13" spans="1:7" x14ac:dyDescent="0.25">
      <c r="A13" s="177" t="s">
        <v>977</v>
      </c>
      <c r="B13" s="178"/>
      <c r="C13" s="178"/>
      <c r="D13" s="178"/>
      <c r="E13" s="178"/>
      <c r="F13" s="178"/>
      <c r="G13" s="178"/>
    </row>
    <row r="14" spans="1:7" x14ac:dyDescent="0.25">
      <c r="A14" s="179" t="s">
        <v>978</v>
      </c>
      <c r="B14" s="173"/>
      <c r="C14" s="173"/>
      <c r="D14" s="173"/>
      <c r="E14" s="173"/>
      <c r="F14" s="173"/>
      <c r="G14" s="173"/>
    </row>
    <row r="15" spans="1:7" x14ac:dyDescent="0.25">
      <c r="A15" s="179" t="s">
        <v>979</v>
      </c>
      <c r="B15" s="173"/>
      <c r="C15" s="173"/>
      <c r="D15" s="173"/>
      <c r="E15" s="173"/>
      <c r="F15" s="173"/>
      <c r="G15" s="173"/>
    </row>
    <row r="16" spans="1:7" x14ac:dyDescent="0.25">
      <c r="A16" s="179" t="s">
        <v>980</v>
      </c>
      <c r="B16" s="173"/>
      <c r="C16" s="173"/>
      <c r="D16" s="173"/>
      <c r="E16" s="173"/>
      <c r="F16" s="173"/>
      <c r="G16" s="173"/>
    </row>
    <row r="17" spans="1:7" x14ac:dyDescent="0.25">
      <c r="A17" s="179" t="s">
        <v>981</v>
      </c>
      <c r="B17" s="173" t="s">
        <v>968</v>
      </c>
      <c r="C17" s="175"/>
      <c r="D17" s="175"/>
      <c r="E17" s="175"/>
      <c r="F17" s="175"/>
      <c r="G17" s="175"/>
    </row>
    <row r="18" spans="1:7" x14ac:dyDescent="0.25">
      <c r="A18" s="179" t="s">
        <v>982</v>
      </c>
      <c r="B18" s="173" t="s">
        <v>968</v>
      </c>
      <c r="C18" s="175"/>
      <c r="D18" s="175"/>
      <c r="E18" s="175"/>
      <c r="F18" s="175"/>
      <c r="G18" s="175"/>
    </row>
    <row r="19" spans="1:7" x14ac:dyDescent="0.25">
      <c r="A19" s="179" t="s">
        <v>983</v>
      </c>
      <c r="B19" s="173" t="s">
        <v>968</v>
      </c>
      <c r="C19" s="175"/>
      <c r="D19" s="175"/>
      <c r="E19" s="175"/>
      <c r="F19" s="175"/>
      <c r="G19" s="175"/>
    </row>
    <row r="20" spans="1:7" x14ac:dyDescent="0.25">
      <c r="A20" s="179" t="s">
        <v>466</v>
      </c>
      <c r="B20" s="173" t="s">
        <v>968</v>
      </c>
      <c r="C20" s="175"/>
      <c r="D20" s="175"/>
      <c r="E20" s="175"/>
      <c r="F20" s="175"/>
      <c r="G20" s="175"/>
    </row>
    <row r="21" spans="1:7" x14ac:dyDescent="0.25">
      <c r="A21" s="179" t="s">
        <v>984</v>
      </c>
      <c r="B21" s="179" t="s">
        <v>985</v>
      </c>
      <c r="C21" s="179" t="str">
        <f>+B21</f>
        <v>Proprietor</v>
      </c>
      <c r="D21" s="179" t="str">
        <f>+C21</f>
        <v>Proprietor</v>
      </c>
      <c r="E21" s="179" t="str">
        <f>+D21</f>
        <v>Proprietor</v>
      </c>
      <c r="F21" s="179" t="str">
        <f>+E21</f>
        <v>Proprietor</v>
      </c>
      <c r="G21" s="179" t="str">
        <f t="shared" ref="G21:G22" si="0">+F21</f>
        <v>Proprietor</v>
      </c>
    </row>
    <row r="22" spans="1:7" x14ac:dyDescent="0.25">
      <c r="A22" s="179" t="s">
        <v>986</v>
      </c>
      <c r="B22" s="180"/>
      <c r="C22" s="181">
        <f>B22</f>
        <v>0</v>
      </c>
      <c r="D22" s="181">
        <f>C22</f>
        <v>0</v>
      </c>
      <c r="E22" s="181">
        <f>D22</f>
        <v>0</v>
      </c>
      <c r="F22" s="181">
        <f>E22</f>
        <v>0</v>
      </c>
      <c r="G22" s="181">
        <f t="shared" si="0"/>
        <v>0</v>
      </c>
    </row>
    <row r="23" spans="1:7" x14ac:dyDescent="0.25">
      <c r="A23" s="179" t="s">
        <v>987</v>
      </c>
      <c r="B23" s="180"/>
      <c r="C23" s="181"/>
      <c r="D23" s="181"/>
      <c r="E23" s="181"/>
      <c r="F23" s="181"/>
      <c r="G23" s="181"/>
    </row>
    <row r="24" spans="1:7" x14ac:dyDescent="0.25">
      <c r="A24" s="179" t="s">
        <v>988</v>
      </c>
      <c r="B24" s="180"/>
      <c r="C24" s="181"/>
      <c r="D24" s="181"/>
      <c r="E24" s="181"/>
      <c r="F24" s="181"/>
      <c r="G24" s="181"/>
    </row>
    <row r="25" spans="1:7" x14ac:dyDescent="0.25">
      <c r="A25" s="179" t="s">
        <v>989</v>
      </c>
      <c r="B25" s="180"/>
      <c r="C25" s="181"/>
      <c r="D25" s="181"/>
      <c r="E25" s="181"/>
      <c r="F25" s="181"/>
      <c r="G25" s="181"/>
    </row>
    <row r="26" spans="1:7" x14ac:dyDescent="0.25">
      <c r="A26" s="179" t="s">
        <v>990</v>
      </c>
      <c r="B26" s="180"/>
      <c r="C26" s="181"/>
      <c r="D26" s="181"/>
      <c r="E26" s="181"/>
      <c r="F26" s="181"/>
      <c r="G26" s="181"/>
    </row>
    <row r="27" spans="1:7" x14ac:dyDescent="0.25">
      <c r="A27" s="179" t="s">
        <v>991</v>
      </c>
      <c r="B27" s="180"/>
      <c r="C27" s="180"/>
      <c r="D27" s="180"/>
      <c r="E27" s="180"/>
      <c r="F27" s="180"/>
      <c r="G27" s="180"/>
    </row>
    <row r="28" spans="1:7" x14ac:dyDescent="0.25">
      <c r="A28" s="179" t="s">
        <v>992</v>
      </c>
      <c r="B28" s="180"/>
      <c r="C28" s="180"/>
      <c r="D28" s="180"/>
      <c r="E28" s="180"/>
      <c r="F28" s="180"/>
      <c r="G28" s="180"/>
    </row>
    <row r="29" spans="1:7" x14ac:dyDescent="0.25">
      <c r="A29" s="182"/>
      <c r="B29" s="182"/>
      <c r="C29" s="182"/>
      <c r="D29" s="182"/>
      <c r="E29" s="182"/>
      <c r="F29" s="182"/>
      <c r="G29" s="182"/>
    </row>
  </sheetData>
  <sheetProtection algorithmName="SHA-512" hashValue="hON6zeQ6eMHdM9xmDF1+NuGHOLl4THoJ6h8d262K6MRd9KQQqQG//G3iFye2M+wf+nvQhR2R6NNsYlQ1czqXZw==" saltValue="gJNRisr350U+HzMy2VfXtw==" spinCount="100000" sheet="1" objects="1" scenarios="1"/>
  <mergeCells count="1">
    <mergeCell ref="A1:B1"/>
  </mergeCells>
  <dataValidations count="1">
    <dataValidation type="list" allowBlank="1" showInputMessage="1" showErrorMessage="1" sqref="B21:G21" xr:uid="{00000000-0002-0000-0000-000000000000}">
      <formula1>"Proprietor,Public Limited,Partnership,Private Limited,Society,Trust,Individual"</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XFC78"/>
  <sheetViews>
    <sheetView tabSelected="1" workbookViewId="0">
      <selection sqref="A1:E1"/>
    </sheetView>
  </sheetViews>
  <sheetFormatPr defaultColWidth="0" defaultRowHeight="15" zeroHeight="1" x14ac:dyDescent="0.25"/>
  <cols>
    <col min="1" max="1" width="36.140625" style="13" customWidth="1"/>
    <col min="2" max="2" width="29.140625" style="13" bestFit="1" customWidth="1"/>
    <col min="3" max="3" width="30.5703125" style="13" customWidth="1"/>
    <col min="4" max="4" width="14.42578125" style="13" customWidth="1"/>
    <col min="5" max="5" width="30.5703125" style="13" customWidth="1"/>
    <col min="6" max="6" width="8.42578125" style="13" hidden="1"/>
    <col min="7" max="7" width="24.140625" style="13" hidden="1"/>
    <col min="8" max="8" width="13.7109375" style="13" hidden="1"/>
    <col min="9" max="10" width="9.140625" style="13" hidden="1"/>
    <col min="11" max="11" width="24.140625" style="13" hidden="1"/>
    <col min="12" max="12" width="13.7109375" style="13" hidden="1"/>
    <col min="13" max="13" width="24.140625" style="13" hidden="1"/>
    <col min="14" max="14" width="13.7109375" style="13" hidden="1"/>
    <col min="15" max="15" width="24.140625" style="13" hidden="1"/>
    <col min="16" max="16" width="13.7109375" style="13" hidden="1"/>
    <col min="17" max="17" width="24.140625" style="13" hidden="1"/>
    <col min="18" max="18" width="13.7109375" style="13" hidden="1"/>
    <col min="19" max="16383" width="9.140625" style="13" hidden="1"/>
    <col min="16384" max="16384" width="9" style="13" hidden="1"/>
  </cols>
  <sheetData>
    <row r="1" spans="1:12" ht="18.75" x14ac:dyDescent="0.25">
      <c r="A1" s="357" t="s">
        <v>1007</v>
      </c>
      <c r="B1" s="357"/>
      <c r="C1" s="357"/>
      <c r="D1" s="357"/>
      <c r="E1" s="357"/>
    </row>
    <row r="2" spans="1:12" ht="18.75" x14ac:dyDescent="0.25">
      <c r="A2" s="376" t="s">
        <v>471</v>
      </c>
      <c r="B2" s="376"/>
      <c r="C2" s="376"/>
      <c r="D2" s="376"/>
      <c r="E2" s="376"/>
    </row>
    <row r="3" spans="1:12" x14ac:dyDescent="0.25">
      <c r="A3" s="14" t="s">
        <v>0</v>
      </c>
      <c r="B3" s="381"/>
      <c r="C3" s="381"/>
      <c r="D3" s="381"/>
      <c r="E3" s="381"/>
      <c r="H3" s="15"/>
      <c r="L3" s="15"/>
    </row>
    <row r="4" spans="1:12" x14ac:dyDescent="0.25">
      <c r="A4" s="14" t="s">
        <v>2</v>
      </c>
      <c r="B4" s="382">
        <v>0.18</v>
      </c>
      <c r="C4" s="383"/>
      <c r="D4" s="383"/>
      <c r="E4" s="383"/>
      <c r="H4" s="15"/>
      <c r="L4" s="15"/>
    </row>
    <row r="5" spans="1:12" x14ac:dyDescent="0.25">
      <c r="A5" s="14" t="s">
        <v>3</v>
      </c>
      <c r="B5" s="383">
        <v>48</v>
      </c>
      <c r="C5" s="383"/>
      <c r="D5" s="383"/>
      <c r="E5" s="383"/>
      <c r="H5" s="15"/>
      <c r="L5" s="15"/>
    </row>
    <row r="6" spans="1:12" x14ac:dyDescent="0.25">
      <c r="A6" s="14" t="s">
        <v>566</v>
      </c>
      <c r="B6" s="379">
        <f>IFERROR(PMT(B4/12,B5,-B3),"-")</f>
        <v>0</v>
      </c>
      <c r="C6" s="380"/>
      <c r="D6" s="380"/>
      <c r="E6" s="380"/>
      <c r="H6" s="15"/>
      <c r="L6" s="15"/>
    </row>
    <row r="7" spans="1:12" x14ac:dyDescent="0.25">
      <c r="A7" s="14" t="s">
        <v>579</v>
      </c>
      <c r="B7" s="378" t="str">
        <f>IFERROR(SUM(Banking!H21,Banking!H34,Banking!H47,Banking!H60,Banking!H73,Banking!H86,Banking!H99,Banking!H112,Banking!H125,Banking!H138,Banking!H151,Banking!H164,Banking!H177,Banking!H190,Banking!H203,Banking!H216,Banking!H229,Banking!H242,Banking!H255,Banking!H268)/'Loan Details'!B6,"-")</f>
        <v>-</v>
      </c>
      <c r="C7" s="378"/>
      <c r="D7" s="378"/>
      <c r="E7" s="378"/>
      <c r="H7" s="15"/>
      <c r="L7" s="15"/>
    </row>
    <row r="8" spans="1:12" ht="18.75" x14ac:dyDescent="0.25">
      <c r="A8" s="368" t="s">
        <v>580</v>
      </c>
      <c r="B8" s="369"/>
      <c r="C8" s="369"/>
      <c r="D8" s="369"/>
      <c r="E8" s="369"/>
      <c r="L8" s="15"/>
    </row>
    <row r="9" spans="1:12" x14ac:dyDescent="0.25">
      <c r="A9" s="366" t="s">
        <v>14</v>
      </c>
      <c r="B9" s="366"/>
      <c r="C9" s="367"/>
      <c r="D9" s="367"/>
      <c r="E9" s="367"/>
      <c r="L9" s="15"/>
    </row>
    <row r="10" spans="1:12" x14ac:dyDescent="0.25">
      <c r="A10" s="366" t="s">
        <v>16</v>
      </c>
      <c r="B10" s="366"/>
      <c r="C10" s="367"/>
      <c r="D10" s="367"/>
      <c r="E10" s="367"/>
      <c r="L10" s="15"/>
    </row>
    <row r="11" spans="1:12" x14ac:dyDescent="0.25">
      <c r="A11" s="366" t="s">
        <v>450</v>
      </c>
      <c r="B11" s="366"/>
      <c r="C11" s="384" t="str">
        <f ca="1">IFERROR('DSCR Method'!B7/100,"-")</f>
        <v>-</v>
      </c>
      <c r="D11" s="384"/>
      <c r="E11" s="384"/>
      <c r="L11" s="15"/>
    </row>
    <row r="12" spans="1:12" x14ac:dyDescent="0.25">
      <c r="A12" s="366" t="s">
        <v>581</v>
      </c>
      <c r="B12" s="366"/>
      <c r="C12" s="367">
        <f>Repayment!I52</f>
        <v>0</v>
      </c>
      <c r="D12" s="367"/>
      <c r="E12" s="367"/>
      <c r="L12" s="15"/>
    </row>
    <row r="13" spans="1:12" x14ac:dyDescent="0.25">
      <c r="A13" s="386" t="s">
        <v>1012</v>
      </c>
      <c r="B13" s="387"/>
      <c r="C13" s="388" t="e">
        <f>VLOOKUP(C10,'DSCR Method'!H:O,8,0)</f>
        <v>#N/A</v>
      </c>
      <c r="D13" s="389"/>
      <c r="E13" s="390"/>
      <c r="L13" s="15"/>
    </row>
    <row r="14" spans="1:12" ht="15" customHeight="1" x14ac:dyDescent="0.25">
      <c r="A14" s="364" t="s">
        <v>727</v>
      </c>
      <c r="B14" s="365"/>
      <c r="C14" s="111" t="s">
        <v>231</v>
      </c>
      <c r="D14" s="56" t="s">
        <v>721</v>
      </c>
      <c r="E14" s="111" t="s">
        <v>232</v>
      </c>
      <c r="L14" s="15"/>
    </row>
    <row r="15" spans="1:12" x14ac:dyDescent="0.25">
      <c r="A15" s="366" t="s">
        <v>582</v>
      </c>
      <c r="B15" s="366"/>
      <c r="C15" s="139" cm="1">
        <f t="array" ref="C15">INDEX(Financial!$B6:$F6,0,MATCH("Audited",Financial!$B$3:$F$3,0)+1)*100000</f>
        <v>0</v>
      </c>
      <c r="D15" s="140" t="str">
        <f>IFERROR((E15-C15)/C15,"-")</f>
        <v>-</v>
      </c>
      <c r="E15" s="139" cm="1">
        <f t="array" ref="E15">INDEX(Financial!$B6:$F6,0,MATCH("Audited",Financial!$B$3:$F$3,0))*100000</f>
        <v>0</v>
      </c>
      <c r="L15" s="15"/>
    </row>
    <row r="16" spans="1:12" x14ac:dyDescent="0.25">
      <c r="A16" s="366" t="s">
        <v>260</v>
      </c>
      <c r="B16" s="366"/>
      <c r="C16" s="268" cm="1">
        <f t="array" ref="C16">INDEX(Financial!$B16:$F16,0,MATCH("Audited",Financial!$B$3:$F$3,0)+1)*100000</f>
        <v>0</v>
      </c>
      <c r="D16" s="140" t="str">
        <f t="shared" ref="D16:D22" si="0">IFERROR((E16-C16)/C16,"-")</f>
        <v>-</v>
      </c>
      <c r="E16" s="268" cm="1">
        <f t="array" ref="E16">INDEX(Financial!$B16:$F16,0,MATCH("Audited",Financial!$B$3:$F$3,0))*100000</f>
        <v>0</v>
      </c>
      <c r="L16" s="15"/>
    </row>
    <row r="17" spans="1:12" x14ac:dyDescent="0.25">
      <c r="A17" s="366" t="s">
        <v>236</v>
      </c>
      <c r="B17" s="366"/>
      <c r="C17" s="268" cm="1">
        <f t="array" ref="C17">INDEX(Financial!$B27:$F27,0,MATCH("Audited",Financial!$B$3:$F$3,0)+1)*100000</f>
        <v>0</v>
      </c>
      <c r="D17" s="140" t="str">
        <f t="shared" si="0"/>
        <v>-</v>
      </c>
      <c r="E17" s="268" cm="1">
        <f t="array" ref="E17">INDEX(Financial!$B27:$F27,0,MATCH("Audited",Financial!$B$3:$F$3,0))*100000</f>
        <v>0</v>
      </c>
      <c r="L17" s="15"/>
    </row>
    <row r="18" spans="1:12" x14ac:dyDescent="0.25">
      <c r="A18" s="366" t="s">
        <v>256</v>
      </c>
      <c r="B18" s="366"/>
      <c r="C18" s="268" cm="1">
        <f t="array" ref="C18">INDEX(Financial!$B29:$F29,0,MATCH("Audited",Financial!$B$3:$F$3,0)+1)*100000</f>
        <v>0</v>
      </c>
      <c r="D18" s="140" t="str">
        <f t="shared" si="0"/>
        <v>-</v>
      </c>
      <c r="E18" s="268" cm="1">
        <f t="array" ref="E18">INDEX(Financial!$B29:$F29,0,MATCH("Audited",Financial!$B$3:$F$3,0))*100000</f>
        <v>0</v>
      </c>
      <c r="L18" s="15"/>
    </row>
    <row r="19" spans="1:12" x14ac:dyDescent="0.25">
      <c r="A19" s="366" t="s">
        <v>255</v>
      </c>
      <c r="B19" s="366"/>
      <c r="C19" s="268" cm="1">
        <f t="array" ref="C19">INDEX(Financial!$B30:$F30,0,MATCH("Audited",Financial!$B$3:$F$3,0)+1)*100000</f>
        <v>0</v>
      </c>
      <c r="D19" s="140" t="str">
        <f t="shared" si="0"/>
        <v>-</v>
      </c>
      <c r="E19" s="268" cm="1">
        <f t="array" ref="E19">INDEX(Financial!$B30:$F30,0,MATCH("Audited",Financial!$B$3:$F$3,0))*100000</f>
        <v>0</v>
      </c>
      <c r="L19" s="15"/>
    </row>
    <row r="20" spans="1:12" x14ac:dyDescent="0.25">
      <c r="A20" s="366" t="s">
        <v>237</v>
      </c>
      <c r="B20" s="366"/>
      <c r="C20" s="268" cm="1">
        <f t="array" ref="C20">INDEX(Financial!$B14:$F14,0,MATCH("Audited",Financial!$B$3:$F$3,0)+1)*100000</f>
        <v>0</v>
      </c>
      <c r="D20" s="140" t="str">
        <f t="shared" si="0"/>
        <v>-</v>
      </c>
      <c r="E20" s="268" cm="1">
        <f t="array" ref="E20">INDEX(Financial!$B14:$F14,0,MATCH("Audited",Financial!$B$3:$F$3,0))*100000</f>
        <v>0</v>
      </c>
      <c r="L20" s="15"/>
    </row>
    <row r="21" spans="1:12" x14ac:dyDescent="0.25">
      <c r="A21" s="366" t="s">
        <v>238</v>
      </c>
      <c r="B21" s="366"/>
      <c r="C21" s="268" cm="1">
        <f t="array" ref="C21">INDEX(Financial!$B32:$F32,0,MATCH("Audited",Financial!$B$3:$F$3,0)+1)*100000</f>
        <v>0</v>
      </c>
      <c r="D21" s="140" t="str">
        <f t="shared" si="0"/>
        <v>-</v>
      </c>
      <c r="E21" s="268" cm="1">
        <f t="array" ref="E21">INDEX(Financial!$B32:$F32,0,MATCH("Audited",Financial!$B$3:$F$3,0))*100000</f>
        <v>0</v>
      </c>
      <c r="L21" s="15"/>
    </row>
    <row r="22" spans="1:12" x14ac:dyDescent="0.25">
      <c r="A22" s="366" t="s">
        <v>239</v>
      </c>
      <c r="B22" s="366"/>
      <c r="C22" s="268" cm="1">
        <f t="array" ref="C22">INDEX(Financial!$B23:$F23,0,MATCH("Audited",Financial!$B$3:$F$3,0)+1)*100000</f>
        <v>0</v>
      </c>
      <c r="D22" s="140" t="str">
        <f t="shared" si="0"/>
        <v>-</v>
      </c>
      <c r="E22" s="268" cm="1">
        <f t="array" ref="E22">INDEX(Financial!$B23:$F23,0,MATCH("Audited",Financial!$B$3:$F$3,0))*100000</f>
        <v>0</v>
      </c>
      <c r="L22" s="15"/>
    </row>
    <row r="23" spans="1:12" ht="18.75" x14ac:dyDescent="0.25">
      <c r="A23" s="376" t="s">
        <v>486</v>
      </c>
      <c r="B23" s="376"/>
      <c r="C23" s="376"/>
      <c r="D23" s="376"/>
      <c r="E23" s="376"/>
      <c r="L23" s="15"/>
    </row>
    <row r="24" spans="1:12" x14ac:dyDescent="0.25">
      <c r="A24" s="370" t="s">
        <v>473</v>
      </c>
      <c r="B24" s="105" t="s">
        <v>487</v>
      </c>
      <c r="C24" s="385" t="s">
        <v>474</v>
      </c>
      <c r="D24" s="385"/>
      <c r="E24" s="385"/>
      <c r="L24" s="15"/>
    </row>
    <row r="25" spans="1:12" x14ac:dyDescent="0.25">
      <c r="A25" s="377"/>
      <c r="B25" s="105" t="s">
        <v>258</v>
      </c>
      <c r="C25" s="391" t="e">
        <f>'DSCR Method'!B31</f>
        <v>#DIV/0!</v>
      </c>
      <c r="D25" s="391"/>
      <c r="E25" s="391"/>
      <c r="L25" s="15"/>
    </row>
    <row r="26" spans="1:12" x14ac:dyDescent="0.25">
      <c r="A26" s="377"/>
      <c r="B26" s="105" t="s">
        <v>259</v>
      </c>
      <c r="C26" s="391" t="e">
        <f ca="1">'DSCR Method'!B32</f>
        <v>#VALUE!</v>
      </c>
      <c r="D26" s="391"/>
      <c r="E26" s="391"/>
      <c r="L26" s="15"/>
    </row>
    <row r="27" spans="1:12" x14ac:dyDescent="0.25">
      <c r="A27" s="371"/>
      <c r="B27" s="105" t="s">
        <v>775</v>
      </c>
      <c r="C27" s="363" t="e">
        <f ca="1">IF(OR(C25&gt;=1,AND(C25&gt;=0.7,C26&gt;=1)),"Eligible under DSCR","Not Eligible under DSCR")</f>
        <v>#DIV/0!</v>
      </c>
      <c r="D27" s="363"/>
      <c r="E27" s="363"/>
      <c r="L27" s="15"/>
    </row>
    <row r="28" spans="1:12" x14ac:dyDescent="0.25">
      <c r="A28" s="370" t="s">
        <v>475</v>
      </c>
      <c r="B28" s="105" t="s">
        <v>487</v>
      </c>
      <c r="C28" s="359" t="s">
        <v>1013</v>
      </c>
      <c r="D28" s="359"/>
      <c r="E28" s="359"/>
      <c r="L28" s="15"/>
    </row>
    <row r="29" spans="1:12" x14ac:dyDescent="0.25">
      <c r="A29" s="371"/>
      <c r="B29" s="105" t="s">
        <v>775</v>
      </c>
      <c r="C29" s="363" t="e">
        <f ca="1">'Gross Margin'!B34</f>
        <v>#DIV/0!</v>
      </c>
      <c r="D29" s="363"/>
      <c r="E29" s="363"/>
      <c r="L29" s="15"/>
    </row>
    <row r="30" spans="1:12" x14ac:dyDescent="0.25">
      <c r="A30" s="370" t="s">
        <v>260</v>
      </c>
      <c r="B30" s="105" t="s">
        <v>487</v>
      </c>
      <c r="C30" s="359" t="s">
        <v>1013</v>
      </c>
      <c r="D30" s="359"/>
      <c r="E30" s="359"/>
      <c r="L30" s="15"/>
    </row>
    <row r="31" spans="1:12" x14ac:dyDescent="0.25">
      <c r="A31" s="371"/>
      <c r="B31" s="105" t="s">
        <v>775</v>
      </c>
      <c r="C31" s="363" t="e">
        <f>IF(C9="Service","Not eligible for Service",'Gross Profit'!B23)</f>
        <v>#DIV/0!</v>
      </c>
      <c r="D31" s="363"/>
      <c r="E31" s="363"/>
      <c r="H31" s="15"/>
      <c r="L31" s="15"/>
    </row>
    <row r="32" spans="1:12" hidden="1" x14ac:dyDescent="0.25">
      <c r="A32" s="370" t="s">
        <v>476</v>
      </c>
      <c r="B32" s="105" t="s">
        <v>487</v>
      </c>
      <c r="C32" s="359" t="s">
        <v>474</v>
      </c>
      <c r="D32" s="359"/>
      <c r="E32" s="359"/>
      <c r="H32" s="15"/>
      <c r="L32" s="15"/>
    </row>
    <row r="33" spans="1:12" hidden="1" x14ac:dyDescent="0.25">
      <c r="A33" s="371"/>
      <c r="B33" s="105" t="s">
        <v>775</v>
      </c>
      <c r="C33" s="363" t="str">
        <f>IF(OR(E15&lt;50000000,E19&lt;3000000,C15&gt;E15),"Program not Eligible due to minimum requirement",'Projected Turnover'!B36)</f>
        <v>Program not Eligible due to minimum requirement</v>
      </c>
      <c r="D33" s="363"/>
      <c r="E33" s="363"/>
      <c r="H33" s="15"/>
      <c r="L33" s="15"/>
    </row>
    <row r="34" spans="1:12" hidden="1" x14ac:dyDescent="0.25">
      <c r="A34" s="358" t="s">
        <v>430</v>
      </c>
      <c r="B34" s="105" t="s">
        <v>487</v>
      </c>
      <c r="C34" s="359" t="s">
        <v>477</v>
      </c>
      <c r="D34" s="359"/>
      <c r="E34" s="359"/>
      <c r="H34" s="15"/>
      <c r="L34" s="15"/>
    </row>
    <row r="35" spans="1:12" hidden="1" x14ac:dyDescent="0.25">
      <c r="A35" s="358"/>
      <c r="B35" s="105" t="s">
        <v>247</v>
      </c>
      <c r="C35" s="360">
        <f>'Turnover Multiplier'!B11</f>
        <v>0</v>
      </c>
      <c r="D35" s="360"/>
      <c r="E35" s="360"/>
      <c r="H35" s="15"/>
      <c r="L35" s="15"/>
    </row>
    <row r="36" spans="1:12" hidden="1" x14ac:dyDescent="0.25">
      <c r="A36" s="358"/>
      <c r="B36" s="105" t="s">
        <v>483</v>
      </c>
      <c r="C36" s="360">
        <f>'Turnover Multiplier'!B12</f>
        <v>0</v>
      </c>
      <c r="D36" s="360"/>
      <c r="E36" s="360"/>
    </row>
    <row r="37" spans="1:12" x14ac:dyDescent="0.25">
      <c r="A37" s="370" t="s">
        <v>481</v>
      </c>
      <c r="B37" s="105" t="s">
        <v>487</v>
      </c>
      <c r="C37" s="359" t="s">
        <v>480</v>
      </c>
      <c r="D37" s="359"/>
      <c r="E37" s="359"/>
    </row>
    <row r="38" spans="1:12" x14ac:dyDescent="0.25">
      <c r="A38" s="371"/>
      <c r="B38" s="105" t="s">
        <v>775</v>
      </c>
      <c r="C38" s="372" t="e">
        <f>IF('Gross Receipts'!B9&gt;1000000,'Gross Receipts'!B15,"Not eligible for minimum receipt")</f>
        <v>#N/A</v>
      </c>
      <c r="D38" s="373"/>
      <c r="E38" s="373"/>
    </row>
    <row r="39" spans="1:12" x14ac:dyDescent="0.25">
      <c r="A39" s="358" t="s">
        <v>472</v>
      </c>
      <c r="B39" s="105" t="s">
        <v>487</v>
      </c>
      <c r="C39" s="359" t="s">
        <v>474</v>
      </c>
      <c r="D39" s="359"/>
      <c r="E39" s="359"/>
    </row>
    <row r="40" spans="1:12" x14ac:dyDescent="0.25">
      <c r="A40" s="358"/>
      <c r="B40" s="105" t="s">
        <v>247</v>
      </c>
      <c r="C40" s="360" t="str">
        <f>IF('Income Multiplier'!B16&gt;500000,'Income Multiplier'!B16,"Not eligible")</f>
        <v>Not eligible</v>
      </c>
      <c r="D40" s="360"/>
      <c r="E40" s="360"/>
    </row>
    <row r="41" spans="1:12" x14ac:dyDescent="0.25">
      <c r="A41" s="358" t="s">
        <v>482</v>
      </c>
      <c r="B41" s="105" t="s">
        <v>487</v>
      </c>
      <c r="C41" s="359" t="s">
        <v>474</v>
      </c>
      <c r="D41" s="359"/>
      <c r="E41" s="359"/>
    </row>
    <row r="42" spans="1:12" x14ac:dyDescent="0.25">
      <c r="A42" s="358"/>
      <c r="B42" s="105" t="s">
        <v>247</v>
      </c>
      <c r="C42" s="360" t="str">
        <f>IF('ITR Program'!B9&gt;500000,'ITR Program'!B12,"Not eligible")</f>
        <v>Not eligible</v>
      </c>
      <c r="D42" s="360"/>
      <c r="E42" s="360"/>
    </row>
    <row r="43" spans="1:12" x14ac:dyDescent="0.25">
      <c r="A43" s="370" t="s">
        <v>891</v>
      </c>
      <c r="B43" s="105" t="s">
        <v>487</v>
      </c>
      <c r="C43" s="359" t="s">
        <v>480</v>
      </c>
      <c r="D43" s="359"/>
      <c r="E43" s="359"/>
    </row>
    <row r="44" spans="1:12" x14ac:dyDescent="0.25">
      <c r="A44" s="371"/>
      <c r="B44" s="105" t="s">
        <v>775</v>
      </c>
      <c r="C44" s="360" t="e">
        <f ca="1">'GST TO Surrogate'!C21</f>
        <v>#N/A</v>
      </c>
      <c r="D44" s="360"/>
      <c r="E44" s="360"/>
    </row>
    <row r="45" spans="1:12" ht="15" customHeight="1" x14ac:dyDescent="0.25">
      <c r="A45" s="358" t="s">
        <v>488</v>
      </c>
      <c r="B45" s="105" t="s">
        <v>487</v>
      </c>
      <c r="C45" s="359" t="s">
        <v>480</v>
      </c>
      <c r="D45" s="359"/>
      <c r="E45" s="359"/>
    </row>
    <row r="46" spans="1:12" ht="15" customHeight="1" x14ac:dyDescent="0.25">
      <c r="A46" s="358"/>
      <c r="B46" s="105" t="s">
        <v>247</v>
      </c>
      <c r="C46" s="360">
        <f>MIN(5000000,'Average Banking'!D11)</f>
        <v>0</v>
      </c>
      <c r="D46" s="360"/>
      <c r="E46" s="360"/>
    </row>
    <row r="47" spans="1:12" ht="15" customHeight="1" x14ac:dyDescent="0.25">
      <c r="A47" s="358"/>
      <c r="B47" s="105" t="s">
        <v>483</v>
      </c>
      <c r="C47" s="360">
        <f>'Average Banking'!D12</f>
        <v>0</v>
      </c>
      <c r="D47" s="360"/>
      <c r="E47" s="360"/>
    </row>
    <row r="48" spans="1:12" x14ac:dyDescent="0.25">
      <c r="A48" s="358" t="s">
        <v>478</v>
      </c>
      <c r="B48" s="105" t="s">
        <v>487</v>
      </c>
      <c r="C48" s="359" t="s">
        <v>479</v>
      </c>
      <c r="D48" s="359"/>
      <c r="E48" s="359"/>
    </row>
    <row r="49" spans="1:5" x14ac:dyDescent="0.25">
      <c r="A49" s="358"/>
      <c r="B49" s="105" t="s">
        <v>247</v>
      </c>
      <c r="C49" s="360">
        <f>IF('Repayment Surrogate'!B6="Regular",MIN(3000000,'Repayment Surrogate'!B13),MIN(3000000,'Repayment Surrogate'!B27))</f>
        <v>0</v>
      </c>
      <c r="D49" s="360"/>
      <c r="E49" s="360"/>
    </row>
    <row r="50" spans="1:5" x14ac:dyDescent="0.25">
      <c r="A50" s="358"/>
      <c r="B50" s="105" t="s">
        <v>483</v>
      </c>
      <c r="C50" s="361">
        <f>IF('Repayment Surrogate'!B6="Regular",'Repayment Surrogate'!B14,'Repayment Surrogate'!B28)</f>
        <v>0</v>
      </c>
      <c r="D50" s="362"/>
      <c r="E50" s="362"/>
    </row>
    <row r="51" spans="1:5" x14ac:dyDescent="0.25">
      <c r="A51" s="358" t="s">
        <v>829</v>
      </c>
      <c r="B51" s="105" t="s">
        <v>487</v>
      </c>
      <c r="C51" s="359" t="s">
        <v>838</v>
      </c>
      <c r="D51" s="359"/>
      <c r="E51" s="359"/>
    </row>
    <row r="52" spans="1:5" x14ac:dyDescent="0.25">
      <c r="A52" s="358"/>
      <c r="B52" s="105" t="s">
        <v>247</v>
      </c>
      <c r="C52" s="360">
        <f>'Existing Borrower Top-up'!B14</f>
        <v>0</v>
      </c>
      <c r="D52" s="360"/>
      <c r="E52" s="360"/>
    </row>
    <row r="53" spans="1:5" x14ac:dyDescent="0.25">
      <c r="A53" s="358"/>
      <c r="B53" s="105" t="s">
        <v>483</v>
      </c>
      <c r="C53" s="360">
        <f>'Existing Borrower Top-up'!B15</f>
        <v>0</v>
      </c>
      <c r="D53" s="360"/>
      <c r="E53" s="360"/>
    </row>
    <row r="54" spans="1:5" ht="18.75" x14ac:dyDescent="0.25">
      <c r="A54" s="368" t="s">
        <v>583</v>
      </c>
      <c r="B54" s="369"/>
      <c r="C54" s="369"/>
      <c r="D54" s="369"/>
      <c r="E54" s="369"/>
    </row>
    <row r="55" spans="1:5" x14ac:dyDescent="0.25">
      <c r="A55" s="374" t="s">
        <v>722</v>
      </c>
      <c r="B55" s="375"/>
      <c r="C55" s="375"/>
      <c r="D55" s="375"/>
      <c r="E55" s="375"/>
    </row>
    <row r="56" spans="1:5" x14ac:dyDescent="0.25">
      <c r="A56" s="374" t="s">
        <v>723</v>
      </c>
      <c r="B56" s="375"/>
      <c r="C56" s="375"/>
      <c r="D56" s="375"/>
      <c r="E56" s="375"/>
    </row>
    <row r="57" spans="1:5" x14ac:dyDescent="0.25">
      <c r="A57" s="374" t="s">
        <v>586</v>
      </c>
      <c r="B57" s="375"/>
      <c r="C57" s="375"/>
      <c r="D57" s="375"/>
      <c r="E57" s="375"/>
    </row>
    <row r="58" spans="1:5" x14ac:dyDescent="0.25">
      <c r="A58" s="374" t="s">
        <v>585</v>
      </c>
      <c r="B58" s="375"/>
      <c r="C58" s="375"/>
      <c r="D58" s="375"/>
      <c r="E58" s="375"/>
    </row>
    <row r="59" spans="1:5" x14ac:dyDescent="0.25">
      <c r="A59" s="374" t="s">
        <v>584</v>
      </c>
      <c r="B59" s="375"/>
      <c r="C59" s="375"/>
      <c r="D59" s="375"/>
      <c r="E59" s="375"/>
    </row>
    <row r="60" spans="1:5" x14ac:dyDescent="0.25">
      <c r="A60" s="374" t="s">
        <v>724</v>
      </c>
      <c r="B60" s="375"/>
      <c r="C60" s="375"/>
      <c r="D60" s="375"/>
      <c r="E60" s="375"/>
    </row>
    <row r="61" spans="1:5" x14ac:dyDescent="0.25">
      <c r="A61" s="374" t="s">
        <v>725</v>
      </c>
      <c r="B61" s="375"/>
      <c r="C61" s="375"/>
      <c r="D61" s="375"/>
      <c r="E61" s="375"/>
    </row>
    <row r="62" spans="1:5" x14ac:dyDescent="0.25">
      <c r="A62" s="374" t="s">
        <v>726</v>
      </c>
      <c r="B62" s="375"/>
      <c r="C62" s="375"/>
      <c r="D62" s="375"/>
      <c r="E62" s="375"/>
    </row>
    <row r="63" spans="1:5" x14ac:dyDescent="0.25">
      <c r="A63" s="374" t="s">
        <v>457</v>
      </c>
      <c r="B63" s="375"/>
      <c r="C63" s="375"/>
      <c r="D63" s="375"/>
      <c r="E63" s="375"/>
    </row>
    <row r="64" spans="1:5" x14ac:dyDescent="0.25">
      <c r="A64" s="374" t="s">
        <v>864</v>
      </c>
      <c r="B64" s="375"/>
      <c r="C64" s="375"/>
      <c r="D64" s="375"/>
      <c r="E64" s="375"/>
    </row>
    <row r="65" spans="1:5" x14ac:dyDescent="0.25">
      <c r="A65" s="374" t="s">
        <v>865</v>
      </c>
      <c r="B65" s="375"/>
      <c r="C65" s="375"/>
      <c r="D65" s="375"/>
      <c r="E65" s="375"/>
    </row>
    <row r="66" spans="1:5" ht="5.25" customHeight="1" x14ac:dyDescent="0.25"/>
    <row r="67" spans="1:5" ht="6" hidden="1" customHeight="1" x14ac:dyDescent="0.25"/>
    <row r="70" spans="1:5" ht="9.75" hidden="1" customHeight="1" x14ac:dyDescent="0.25"/>
    <row r="78" spans="1:5" ht="9.75" hidden="1" customHeight="1" x14ac:dyDescent="0.25"/>
  </sheetData>
  <sheetProtection algorithmName="SHA-512" hashValue="CwON88ma5I+dylDAPEV4foPszTTRrhhGkzCZEwNo3rLyQrUQz0kw6+E+Ok4apj8JtlGJhJwp+JmHELo9wv1rXw==" saltValue="rfk7l+llRhkxATQbEsDWbg==" spinCount="100000" sheet="1" objects="1" scenarios="1"/>
  <mergeCells count="82">
    <mergeCell ref="C27:E27"/>
    <mergeCell ref="A34:A36"/>
    <mergeCell ref="C34:E34"/>
    <mergeCell ref="C31:E31"/>
    <mergeCell ref="C32:E32"/>
    <mergeCell ref="C28:E28"/>
    <mergeCell ref="A30:A31"/>
    <mergeCell ref="A32:A33"/>
    <mergeCell ref="C26:E26"/>
    <mergeCell ref="A19:B19"/>
    <mergeCell ref="A20:B20"/>
    <mergeCell ref="A21:B21"/>
    <mergeCell ref="C25:E25"/>
    <mergeCell ref="C10:E10"/>
    <mergeCell ref="A11:B11"/>
    <mergeCell ref="C11:E11"/>
    <mergeCell ref="C12:E12"/>
    <mergeCell ref="C24:E24"/>
    <mergeCell ref="A18:B18"/>
    <mergeCell ref="A12:B12"/>
    <mergeCell ref="A13:B13"/>
    <mergeCell ref="C13:E13"/>
    <mergeCell ref="B7:E7"/>
    <mergeCell ref="A8:E8"/>
    <mergeCell ref="B6:E6"/>
    <mergeCell ref="A2:E2"/>
    <mergeCell ref="B3:E3"/>
    <mergeCell ref="B4:E4"/>
    <mergeCell ref="B5:E5"/>
    <mergeCell ref="A65:E65"/>
    <mergeCell ref="A64:E64"/>
    <mergeCell ref="A15:B15"/>
    <mergeCell ref="A17:B17"/>
    <mergeCell ref="A16:B16"/>
    <mergeCell ref="A22:B22"/>
    <mergeCell ref="C35:E35"/>
    <mergeCell ref="C30:E30"/>
    <mergeCell ref="A23:E23"/>
    <mergeCell ref="C29:E29"/>
    <mergeCell ref="A28:A29"/>
    <mergeCell ref="A24:A27"/>
    <mergeCell ref="A55:E55"/>
    <mergeCell ref="A60:E60"/>
    <mergeCell ref="A61:E61"/>
    <mergeCell ref="A63:E63"/>
    <mergeCell ref="A56:E56"/>
    <mergeCell ref="A57:E57"/>
    <mergeCell ref="A58:E58"/>
    <mergeCell ref="A59:E59"/>
    <mergeCell ref="A62:E62"/>
    <mergeCell ref="A54:E54"/>
    <mergeCell ref="C36:E36"/>
    <mergeCell ref="C42:E42"/>
    <mergeCell ref="C43:E43"/>
    <mergeCell ref="A41:A42"/>
    <mergeCell ref="A43:A44"/>
    <mergeCell ref="A45:A47"/>
    <mergeCell ref="A48:A50"/>
    <mergeCell ref="A39:A40"/>
    <mergeCell ref="C37:E37"/>
    <mergeCell ref="C38:E38"/>
    <mergeCell ref="C39:E39"/>
    <mergeCell ref="C45:E45"/>
    <mergeCell ref="C41:E41"/>
    <mergeCell ref="C40:E40"/>
    <mergeCell ref="A37:A38"/>
    <mergeCell ref="A1:E1"/>
    <mergeCell ref="A51:A53"/>
    <mergeCell ref="C51:E51"/>
    <mergeCell ref="C52:E52"/>
    <mergeCell ref="C53:E53"/>
    <mergeCell ref="C49:E49"/>
    <mergeCell ref="C50:E50"/>
    <mergeCell ref="C46:E46"/>
    <mergeCell ref="C47:E47"/>
    <mergeCell ref="C48:E48"/>
    <mergeCell ref="C44:E44"/>
    <mergeCell ref="C33:E33"/>
    <mergeCell ref="A14:B14"/>
    <mergeCell ref="A9:B9"/>
    <mergeCell ref="C9:E9"/>
    <mergeCell ref="A10:B10"/>
  </mergeCells>
  <dataValidations count="3">
    <dataValidation type="list" allowBlank="1" showInputMessage="1" showErrorMessage="1" sqref="C9:E9" xr:uid="{00000000-0002-0000-0100-000000000000}">
      <formula1>"Manufacturer,Trader, Service"</formula1>
    </dataValidation>
    <dataValidation operator="greaterThanOrEqual" showInputMessage="1" showErrorMessage="1" sqref="B4:E4" xr:uid="{00000000-0002-0000-0100-000001000000}"/>
    <dataValidation type="whole" allowBlank="1" showInputMessage="1" showErrorMessage="1" sqref="B5:E5" xr:uid="{00000000-0002-0000-0100-000002000000}">
      <formula1>1</formula1>
      <formula2>60</formula2>
    </dataValidation>
  </dataValidations>
  <hyperlinks>
    <hyperlink ref="A24:A26" location="'DSCR Method'!A1" display="DSCR" xr:uid="{00000000-0004-0000-0100-000000000000}"/>
    <hyperlink ref="A34:A36" location="'Turnover Multiplier'!A1" display="Turnover Multiplier" xr:uid="{00000000-0004-0000-0100-000001000000}"/>
    <hyperlink ref="A45:A47" location="'Average Banking'!A1" display="Average Banking Program" xr:uid="{00000000-0004-0000-0100-000002000000}"/>
    <hyperlink ref="A48:A50" location="'Repayment Surrogate'!A1" display="Repayment Surrogate" xr:uid="{00000000-0004-0000-0100-000003000000}"/>
    <hyperlink ref="A60:E60" r:id="rId1" display="R-system" xr:uid="{00000000-0004-0000-0100-000004000000}"/>
    <hyperlink ref="A61:E61" r:id="rId2" display="Whois Domain Check" xr:uid="{00000000-0004-0000-0100-000005000000}"/>
    <hyperlink ref="A63:E63" r:id="rId3" display="CIBIL" xr:uid="{00000000-0004-0000-0100-000006000000}"/>
    <hyperlink ref="A55:E55" r:id="rId4" display="CRISIL Rating" xr:uid="{00000000-0004-0000-0100-000007000000}"/>
    <hyperlink ref="A56:E56" r:id="rId5" display="Watchout Investor" xr:uid="{00000000-0004-0000-0100-000008000000}"/>
    <hyperlink ref="A58:E58" r:id="rId6" display="ZAUBA" xr:uid="{00000000-0004-0000-0100-000009000000}"/>
    <hyperlink ref="A59:E59" r:id="rId7" display="InstaFinancials" xr:uid="{00000000-0004-0000-0100-00000A000000}"/>
    <hyperlink ref="A62:E62" r:id="rId8" display="Email Checker" xr:uid="{00000000-0004-0000-0100-00000B000000}"/>
    <hyperlink ref="A28:A29" location="'Gross Margin'!A1" display="Gross Margin" xr:uid="{00000000-0004-0000-0100-00000C000000}"/>
    <hyperlink ref="A30:A31" location="'Gross Profit'!A1" display="Gross Profit" xr:uid="{00000000-0004-0000-0100-00000D000000}"/>
    <hyperlink ref="A32:A33" location="'Projected Turnover'!A1" display="Projected Turnover" xr:uid="{00000000-0004-0000-0100-00000E000000}"/>
    <hyperlink ref="A37:A38" location="'Gross Receipts'!A1" display="Gross Receipt" xr:uid="{00000000-0004-0000-0100-00000F000000}"/>
    <hyperlink ref="A39:A40" location="'Income Multiplier'!A1" display="Income Multiplier" xr:uid="{00000000-0004-0000-0100-000010000000}"/>
    <hyperlink ref="A41:A42" location="'ITR Program'!A1" display="ITR Program" xr:uid="{00000000-0004-0000-0100-000011000000}"/>
    <hyperlink ref="A43:A44" location="'VAT or Service Tax TO'!A1" display="VAT/Service Tax Turnover" xr:uid="{00000000-0004-0000-0100-000012000000}"/>
    <hyperlink ref="A51:A53" location="'Existing Borrower Top-up'!A1" display="Existing Borrower Top-up" xr:uid="{00000000-0004-0000-0100-000013000000}"/>
    <hyperlink ref="A64:E64" r:id="rId9" display="indiankanoon" xr:uid="{00000000-0004-0000-0100-000014000000}"/>
    <hyperlink ref="A65:E65" r:id="rId10" location="/postlogin/home/companytab" display="Probe42" xr:uid="{00000000-0004-0000-0100-000015000000}"/>
  </hyperlinks>
  <pageMargins left="0.7" right="0.7" top="0.75" bottom="0.75" header="0.3" footer="0.3"/>
  <pageSetup paperSize="9" orientation="portrait" horizontalDpi="4294967295" verticalDpi="4294967295" r:id="rId1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3000000}">
          <x14:formula1>
            <xm:f>'DSCR Method'!$H$2:$H$166</xm:f>
          </x14:formula1>
          <xm:sqref>C10:E10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35"/>
  <sheetViews>
    <sheetView showGridLines="0" zoomScale="96" zoomScaleNormal="96" workbookViewId="0">
      <selection activeCell="D8" sqref="D8"/>
    </sheetView>
  </sheetViews>
  <sheetFormatPr defaultRowHeight="15" x14ac:dyDescent="0.25"/>
  <cols>
    <col min="1" max="1" width="18.140625" customWidth="1"/>
    <col min="2" max="2" width="20.7109375" customWidth="1"/>
    <col min="3" max="3" width="18" customWidth="1"/>
    <col min="4" max="4" width="20" customWidth="1"/>
    <col min="5" max="5" width="15.7109375" customWidth="1"/>
    <col min="6" max="6" width="14.140625" customWidth="1"/>
    <col min="7" max="7" width="17.140625" customWidth="1"/>
    <col min="8" max="8" width="38.140625" customWidth="1"/>
    <col min="9" max="9" width="33.85546875" customWidth="1"/>
    <col min="12" max="13" width="9.140625" hidden="1" customWidth="1"/>
  </cols>
  <sheetData>
    <row r="1" spans="1:13" x14ac:dyDescent="0.25">
      <c r="A1" s="150" t="s">
        <v>915</v>
      </c>
      <c r="B1" s="392" t="s">
        <v>916</v>
      </c>
      <c r="C1" s="392"/>
      <c r="D1" s="392"/>
      <c r="E1" s="392"/>
      <c r="F1" s="392"/>
      <c r="G1" s="392"/>
    </row>
    <row r="2" spans="1:13" x14ac:dyDescent="0.25">
      <c r="A2" s="13"/>
      <c r="B2" s="392"/>
      <c r="C2" s="392"/>
      <c r="D2" s="392"/>
      <c r="E2" s="392"/>
      <c r="F2" s="392"/>
      <c r="G2" s="392"/>
    </row>
    <row r="3" spans="1:13" ht="8.25" customHeight="1" x14ac:dyDescent="0.25">
      <c r="A3" s="13"/>
      <c r="B3" s="13"/>
      <c r="C3" s="13"/>
      <c r="D3" s="13"/>
      <c r="E3" s="13"/>
      <c r="F3" s="13"/>
      <c r="G3" s="13"/>
    </row>
    <row r="4" spans="1:13" x14ac:dyDescent="0.25">
      <c r="A4" s="393" t="s">
        <v>917</v>
      </c>
      <c r="B4" s="393"/>
      <c r="C4" s="393"/>
      <c r="D4" s="393"/>
      <c r="E4" s="393"/>
      <c r="F4" s="393"/>
      <c r="G4" s="393"/>
    </row>
    <row r="5" spans="1:13" ht="4.5" customHeight="1" x14ac:dyDescent="0.25">
      <c r="B5" s="13"/>
      <c r="C5" s="13"/>
      <c r="D5" s="13"/>
      <c r="E5" s="13"/>
      <c r="F5" s="13"/>
      <c r="G5" s="13"/>
    </row>
    <row r="6" spans="1:13" ht="129" customHeight="1" x14ac:dyDescent="0.25">
      <c r="A6" s="92" t="s">
        <v>866</v>
      </c>
      <c r="B6" s="92" t="s">
        <v>954</v>
      </c>
      <c r="C6" s="92" t="s">
        <v>918</v>
      </c>
      <c r="D6" s="92" t="s">
        <v>868</v>
      </c>
      <c r="E6" s="92" t="s">
        <v>919</v>
      </c>
      <c r="F6" s="92" t="s">
        <v>920</v>
      </c>
      <c r="G6" s="92" t="s">
        <v>956</v>
      </c>
      <c r="H6" s="151" t="s">
        <v>921</v>
      </c>
      <c r="I6" s="92" t="s">
        <v>922</v>
      </c>
    </row>
    <row r="7" spans="1:13" ht="81.75" customHeight="1" x14ac:dyDescent="0.25">
      <c r="A7" s="170"/>
      <c r="B7" s="5"/>
      <c r="C7" s="5"/>
      <c r="D7" s="5" t="str">
        <f>IF('GSTR CY'!E17="","",'GSTR CY'!E17)</f>
        <v/>
      </c>
      <c r="E7" s="169"/>
      <c r="F7" s="169"/>
      <c r="G7" s="171" t="str">
        <f>IF(AND(C7="Micro",E7&lt;=5,F7&lt;=1),"MSME Norms Met",IF(AND(C7="Small",E7&lt;=50,F7&lt;=10),"MSME Norms Met",IF(AND(C7="Medium",E7&lt;=100,F7&lt;=20),"MSME Norms Met","MSME Norms Not Met")))</f>
        <v>MSME Norms Not Met</v>
      </c>
      <c r="H7" s="152" t="s">
        <v>958</v>
      </c>
      <c r="I7" s="152" t="s">
        <v>957</v>
      </c>
      <c r="L7" t="s">
        <v>925</v>
      </c>
      <c r="M7" t="s">
        <v>955</v>
      </c>
    </row>
    <row r="8" spans="1:13" ht="15.75" thickBot="1" x14ac:dyDescent="0.3">
      <c r="A8" s="13"/>
      <c r="B8" s="13"/>
      <c r="C8" s="13"/>
      <c r="D8" s="13"/>
      <c r="E8" s="13"/>
      <c r="F8" s="13"/>
      <c r="G8" s="153"/>
      <c r="L8" t="s">
        <v>926</v>
      </c>
      <c r="M8" t="s">
        <v>192</v>
      </c>
    </row>
    <row r="9" spans="1:13" ht="15.75" thickBot="1" x14ac:dyDescent="0.3">
      <c r="A9" s="13"/>
      <c r="B9" s="394" t="s">
        <v>923</v>
      </c>
      <c r="C9" s="395"/>
      <c r="D9" s="395"/>
      <c r="E9" s="396"/>
      <c r="F9" s="13"/>
      <c r="L9" t="s">
        <v>927</v>
      </c>
    </row>
    <row r="10" spans="1:13" ht="15.75" thickBot="1" x14ac:dyDescent="0.3">
      <c r="A10" s="13"/>
      <c r="B10" s="154" t="s">
        <v>924</v>
      </c>
      <c r="C10" s="155" t="s">
        <v>925</v>
      </c>
      <c r="D10" s="155" t="s">
        <v>926</v>
      </c>
      <c r="E10" s="156" t="s">
        <v>927</v>
      </c>
      <c r="F10" s="13"/>
      <c r="G10" s="13"/>
    </row>
    <row r="11" spans="1:13" ht="55.5" customHeight="1" thickBot="1" x14ac:dyDescent="0.3">
      <c r="A11" s="13"/>
      <c r="B11" s="157" t="s">
        <v>928</v>
      </c>
      <c r="C11" s="158" t="s">
        <v>929</v>
      </c>
      <c r="D11" s="158" t="s">
        <v>930</v>
      </c>
      <c r="E11" s="159" t="s">
        <v>931</v>
      </c>
      <c r="F11" s="13"/>
      <c r="G11" s="13"/>
    </row>
    <row r="12" spans="1:13" x14ac:dyDescent="0.25">
      <c r="A12" s="13"/>
      <c r="B12" s="13"/>
      <c r="C12" s="13"/>
      <c r="D12" s="13"/>
      <c r="E12" s="13"/>
      <c r="G12" s="13"/>
    </row>
    <row r="13" spans="1:13" x14ac:dyDescent="0.25">
      <c r="A13" s="13"/>
      <c r="B13" s="13"/>
      <c r="C13" s="13"/>
      <c r="D13" s="13"/>
      <c r="E13" s="13"/>
      <c r="F13" s="13"/>
      <c r="G13" s="13"/>
    </row>
    <row r="14" spans="1:13" x14ac:dyDescent="0.25">
      <c r="A14" s="13" t="s">
        <v>932</v>
      </c>
      <c r="B14" s="160" t="s">
        <v>933</v>
      </c>
      <c r="C14" s="13"/>
      <c r="D14" s="13"/>
      <c r="E14" s="13"/>
      <c r="F14" s="13"/>
      <c r="G14" s="13"/>
    </row>
    <row r="15" spans="1:13" x14ac:dyDescent="0.25">
      <c r="A15" s="13"/>
      <c r="B15" s="161" t="s">
        <v>934</v>
      </c>
      <c r="C15" s="13"/>
      <c r="D15" s="13"/>
      <c r="E15" s="13"/>
      <c r="F15" s="13"/>
      <c r="G15" s="13"/>
    </row>
    <row r="16" spans="1:13" x14ac:dyDescent="0.25">
      <c r="A16" s="13"/>
      <c r="B16" s="161" t="s">
        <v>935</v>
      </c>
      <c r="C16" s="13"/>
      <c r="D16" s="13"/>
      <c r="E16" s="13"/>
      <c r="F16" s="13"/>
      <c r="G16" s="13"/>
    </row>
    <row r="17" spans="1:7" x14ac:dyDescent="0.25">
      <c r="A17" s="13"/>
      <c r="B17" s="161" t="s">
        <v>936</v>
      </c>
      <c r="C17" s="13"/>
      <c r="D17" s="13"/>
      <c r="E17" s="13"/>
      <c r="F17" s="13"/>
      <c r="G17" s="13"/>
    </row>
    <row r="18" spans="1:7" x14ac:dyDescent="0.25">
      <c r="A18" s="13"/>
      <c r="B18" s="162" t="s">
        <v>937</v>
      </c>
      <c r="C18" s="13"/>
      <c r="D18" s="13"/>
      <c r="E18" s="13"/>
      <c r="F18" s="13"/>
      <c r="G18" s="13"/>
    </row>
    <row r="19" spans="1:7" x14ac:dyDescent="0.25">
      <c r="A19" s="13"/>
      <c r="B19" s="162" t="s">
        <v>938</v>
      </c>
      <c r="C19" s="13"/>
      <c r="D19" s="13"/>
      <c r="E19" s="13"/>
      <c r="F19" s="13"/>
      <c r="G19" s="13"/>
    </row>
    <row r="20" spans="1:7" x14ac:dyDescent="0.25">
      <c r="A20" s="13"/>
      <c r="B20" s="162" t="s">
        <v>939</v>
      </c>
      <c r="C20" s="13"/>
      <c r="D20" s="13"/>
      <c r="E20" s="13"/>
      <c r="F20" s="13"/>
      <c r="G20" s="13"/>
    </row>
    <row r="21" spans="1:7" x14ac:dyDescent="0.25">
      <c r="A21" s="13"/>
      <c r="B21" s="161" t="s">
        <v>940</v>
      </c>
      <c r="C21" s="13"/>
      <c r="D21" s="13"/>
      <c r="E21" s="13"/>
      <c r="F21" s="13"/>
      <c r="G21" s="13"/>
    </row>
    <row r="22" spans="1:7" x14ac:dyDescent="0.25">
      <c r="A22" s="13"/>
      <c r="B22" s="161" t="s">
        <v>941</v>
      </c>
      <c r="C22" s="13"/>
      <c r="D22" s="13"/>
      <c r="E22" s="13"/>
      <c r="F22" s="13"/>
      <c r="G22" s="13"/>
    </row>
    <row r="23" spans="1:7" x14ac:dyDescent="0.25">
      <c r="A23" s="13"/>
      <c r="B23" s="161"/>
      <c r="C23" s="13"/>
      <c r="D23" s="13"/>
      <c r="E23" s="13"/>
      <c r="F23" s="13"/>
      <c r="G23" s="13"/>
    </row>
    <row r="24" spans="1:7" x14ac:dyDescent="0.25">
      <c r="A24" s="13"/>
      <c r="B24" s="163" t="s">
        <v>942</v>
      </c>
      <c r="C24" s="13"/>
      <c r="D24" s="13"/>
      <c r="E24" s="13"/>
      <c r="F24" s="13"/>
      <c r="G24" s="13"/>
    </row>
    <row r="25" spans="1:7" x14ac:dyDescent="0.25">
      <c r="A25" s="13"/>
      <c r="B25" s="13" t="s">
        <v>943</v>
      </c>
      <c r="C25" s="13"/>
      <c r="D25" s="13"/>
      <c r="E25" s="13"/>
      <c r="F25" s="13"/>
      <c r="G25" s="13"/>
    </row>
    <row r="26" spans="1:7" x14ac:dyDescent="0.25">
      <c r="A26" s="13"/>
      <c r="B26" s="13" t="s">
        <v>944</v>
      </c>
      <c r="C26" s="13"/>
      <c r="D26" s="13"/>
      <c r="E26" s="13"/>
      <c r="F26" s="13"/>
      <c r="G26" s="13"/>
    </row>
    <row r="27" spans="1:7" x14ac:dyDescent="0.25">
      <c r="A27" s="13"/>
      <c r="B27" s="13"/>
      <c r="C27" s="13"/>
      <c r="D27" s="13"/>
      <c r="E27" s="13"/>
      <c r="F27" s="13"/>
      <c r="G27" s="13"/>
    </row>
    <row r="28" spans="1:7" x14ac:dyDescent="0.25">
      <c r="A28" s="13" t="s">
        <v>945</v>
      </c>
      <c r="B28" s="164" t="s">
        <v>946</v>
      </c>
      <c r="C28" s="13"/>
      <c r="D28" s="13"/>
      <c r="E28" s="13"/>
      <c r="F28" s="13"/>
      <c r="G28" s="13"/>
    </row>
    <row r="29" spans="1:7" x14ac:dyDescent="0.25">
      <c r="A29" s="13"/>
      <c r="B29" s="163" t="s">
        <v>947</v>
      </c>
      <c r="C29" s="13"/>
      <c r="D29" s="13"/>
      <c r="E29" s="13"/>
      <c r="F29" s="13"/>
      <c r="G29" s="13"/>
    </row>
    <row r="30" spans="1:7" x14ac:dyDescent="0.25">
      <c r="A30" s="13"/>
      <c r="B30" s="163"/>
      <c r="C30" s="13"/>
      <c r="D30" s="13"/>
      <c r="E30" s="13"/>
      <c r="F30" s="13"/>
      <c r="G30" s="13"/>
    </row>
    <row r="31" spans="1:7" x14ac:dyDescent="0.25">
      <c r="A31" s="165"/>
      <c r="B31" s="163" t="s">
        <v>948</v>
      </c>
      <c r="C31" s="13"/>
      <c r="D31" s="13"/>
      <c r="E31" s="13"/>
      <c r="F31" s="13"/>
      <c r="G31" s="13"/>
    </row>
    <row r="32" spans="1:7" x14ac:dyDescent="0.25">
      <c r="A32" s="165" t="s">
        <v>949</v>
      </c>
      <c r="B32" s="166" t="s">
        <v>950</v>
      </c>
      <c r="C32" s="13"/>
      <c r="D32" s="13"/>
      <c r="E32" s="13"/>
      <c r="F32" s="13"/>
      <c r="G32" s="13"/>
    </row>
    <row r="33" spans="1:7" x14ac:dyDescent="0.25">
      <c r="A33" s="165"/>
      <c r="B33" s="167" t="s">
        <v>951</v>
      </c>
      <c r="C33" s="13"/>
      <c r="D33" s="13"/>
      <c r="E33" s="13"/>
      <c r="F33" s="13"/>
      <c r="G33" s="13"/>
    </row>
    <row r="34" spans="1:7" x14ac:dyDescent="0.25">
      <c r="A34" s="165">
        <v>2</v>
      </c>
      <c r="B34" s="166" t="s">
        <v>952</v>
      </c>
      <c r="C34" s="13"/>
      <c r="D34" s="13"/>
      <c r="E34" s="13"/>
      <c r="F34" s="13"/>
      <c r="G34" s="13"/>
    </row>
    <row r="35" spans="1:7" x14ac:dyDescent="0.25">
      <c r="A35" s="13"/>
      <c r="B35" s="168" t="s">
        <v>953</v>
      </c>
      <c r="C35" s="13"/>
      <c r="D35" s="13"/>
      <c r="E35" s="13"/>
      <c r="F35" s="13"/>
      <c r="G35" s="13"/>
    </row>
  </sheetData>
  <sheetProtection algorithmName="SHA-512" hashValue="+xpxisQoxB07TYuodX+4Ri4v+ey5q3MdAC1U558XjNCTBrWCLR0/KNmWMndKZWkPwa/WiSfUQmLhH1A6tuC8CQ==" saltValue="yDEpMxtwvBkGCFbPGZ0sIw==" spinCount="100000" sheet="1" objects="1" scenarios="1"/>
  <mergeCells count="3">
    <mergeCell ref="B1:G2"/>
    <mergeCell ref="A4:G4"/>
    <mergeCell ref="B9:E9"/>
  </mergeCells>
  <dataValidations count="3">
    <dataValidation type="list" allowBlank="1" showInputMessage="1" showErrorMessage="1" sqref="A7" xr:uid="{00000000-0002-0000-0200-000000000000}">
      <formula1>"Yes,No"</formula1>
    </dataValidation>
    <dataValidation type="list" allowBlank="1" showInputMessage="1" showErrorMessage="1" sqref="C7" xr:uid="{00000000-0002-0000-0200-000001000000}">
      <formula1>$L$7:$L$9</formula1>
    </dataValidation>
    <dataValidation type="list" allowBlank="1" showInputMessage="1" showErrorMessage="1" sqref="B7" xr:uid="{00000000-0002-0000-0200-000002000000}">
      <formula1>$M$7:$M$8</formula1>
    </dataValidation>
  </dataValidation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M13"/>
  <sheetViews>
    <sheetView workbookViewId="0">
      <selection activeCell="C2" sqref="C2"/>
    </sheetView>
  </sheetViews>
  <sheetFormatPr defaultColWidth="0" defaultRowHeight="15" zeroHeight="1" x14ac:dyDescent="0.25"/>
  <cols>
    <col min="1" max="1" width="16.5703125" style="13" customWidth="1"/>
    <col min="2" max="2" width="36.140625" style="13" customWidth="1"/>
    <col min="3" max="3" width="23" style="13" customWidth="1"/>
    <col min="4" max="5" width="16.5703125" style="13" customWidth="1"/>
    <col min="6" max="6" width="56.7109375" style="13" customWidth="1"/>
    <col min="7" max="7" width="1" style="13" customWidth="1"/>
    <col min="8" max="16384" width="9.140625" style="13" hidden="1"/>
  </cols>
  <sheetData>
    <row r="1" spans="1:13" ht="36" x14ac:dyDescent="0.25">
      <c r="A1" s="92" t="s">
        <v>866</v>
      </c>
      <c r="B1" s="92" t="s">
        <v>867</v>
      </c>
      <c r="C1" s="92" t="s">
        <v>868</v>
      </c>
      <c r="D1" s="92" t="s">
        <v>869</v>
      </c>
      <c r="E1" s="92" t="s">
        <v>870</v>
      </c>
      <c r="F1" s="92" t="s">
        <v>871</v>
      </c>
    </row>
    <row r="2" spans="1:13" x14ac:dyDescent="0.25">
      <c r="A2" s="104"/>
      <c r="B2" s="104"/>
      <c r="C2" s="104"/>
      <c r="D2" s="104"/>
      <c r="E2" s="104"/>
      <c r="F2" s="104"/>
    </row>
    <row r="3" spans="1:13" x14ac:dyDescent="0.25">
      <c r="D3" s="100"/>
    </row>
    <row r="4" spans="1:13" x14ac:dyDescent="0.25"/>
    <row r="5" spans="1:13" x14ac:dyDescent="0.25">
      <c r="A5" s="397" t="s">
        <v>905</v>
      </c>
      <c r="B5" s="397"/>
      <c r="C5" s="397"/>
      <c r="M5" s="13" t="s">
        <v>873</v>
      </c>
    </row>
    <row r="6" spans="1:13" ht="24" x14ac:dyDescent="0.25">
      <c r="A6" s="101" t="s">
        <v>893</v>
      </c>
      <c r="B6" s="101" t="s">
        <v>903</v>
      </c>
      <c r="C6" s="101" t="s">
        <v>904</v>
      </c>
      <c r="D6" s="76"/>
      <c r="M6" s="13" t="s">
        <v>874</v>
      </c>
    </row>
    <row r="7" spans="1:13" x14ac:dyDescent="0.25">
      <c r="A7" s="102" t="s">
        <v>894</v>
      </c>
      <c r="B7" s="103" t="s">
        <v>895</v>
      </c>
      <c r="C7" s="103" t="s">
        <v>896</v>
      </c>
      <c r="M7" s="13" t="s">
        <v>875</v>
      </c>
    </row>
    <row r="8" spans="1:13" x14ac:dyDescent="0.25">
      <c r="A8" s="102" t="s">
        <v>897</v>
      </c>
      <c r="B8" s="102" t="s">
        <v>898</v>
      </c>
      <c r="C8" s="102" t="s">
        <v>899</v>
      </c>
      <c r="M8" s="13" t="s">
        <v>876</v>
      </c>
    </row>
    <row r="9" spans="1:13" x14ac:dyDescent="0.25">
      <c r="A9" s="102" t="s">
        <v>900</v>
      </c>
      <c r="B9" s="102" t="s">
        <v>901</v>
      </c>
      <c r="C9" s="102" t="s">
        <v>902</v>
      </c>
      <c r="M9" s="13" t="s">
        <v>877</v>
      </c>
    </row>
    <row r="10" spans="1:13" ht="6.75" customHeight="1" x14ac:dyDescent="0.25">
      <c r="M10" s="13" t="s">
        <v>878</v>
      </c>
    </row>
    <row r="11" spans="1:13" hidden="1" x14ac:dyDescent="0.25">
      <c r="M11" s="13" t="s">
        <v>879</v>
      </c>
    </row>
    <row r="12" spans="1:13" hidden="1" x14ac:dyDescent="0.25">
      <c r="M12" s="13" t="s">
        <v>880</v>
      </c>
    </row>
    <row r="13" spans="1:13" hidden="1" x14ac:dyDescent="0.25">
      <c r="M13" s="13" t="s">
        <v>872</v>
      </c>
    </row>
  </sheetData>
  <sheetProtection algorithmName="SHA-512" hashValue="RBmOFehK9/+QM29LcfwlFigwPrIUlx+lgQePV2NaTA4y5hzzGryLbpy5x8OnfNPta0fsjivApQZaCFjlpLuHtg==" saltValue="QDynx/vCi/VcHNBfq+rMYQ==" spinCount="100000" sheet="1" objects="1" scenarios="1"/>
  <mergeCells count="1">
    <mergeCell ref="A5:C5"/>
  </mergeCells>
  <dataValidations count="2">
    <dataValidation type="list" allowBlank="1" showInputMessage="1" showErrorMessage="1" sqref="A2" xr:uid="{00000000-0002-0000-0300-000000000000}">
      <formula1>"Yes,No"</formula1>
    </dataValidation>
    <dataValidation type="list" allowBlank="1" showInputMessage="1" showErrorMessage="1" sqref="B2" xr:uid="{00000000-0002-0000-0300-000001000000}">
      <formula1>$M$5:$M$13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3">
    <tabColor rgb="FFFFC000"/>
  </sheetPr>
  <dimension ref="A1:V99"/>
  <sheetViews>
    <sheetView zoomScale="80" zoomScaleNormal="80" workbookViewId="0">
      <selection activeCell="A74" sqref="A74:A79"/>
    </sheetView>
  </sheetViews>
  <sheetFormatPr defaultColWidth="0" defaultRowHeight="15" zeroHeight="1" x14ac:dyDescent="0.25"/>
  <cols>
    <col min="1" max="1" width="9.140625" style="13" customWidth="1"/>
    <col min="2" max="12" width="17.28515625" style="13" customWidth="1"/>
    <col min="13" max="16" width="9.140625" style="13" customWidth="1"/>
    <col min="17" max="17" width="20.5703125" style="236" customWidth="1"/>
    <col min="18" max="18" width="2.85546875" style="13" customWidth="1"/>
    <col min="19" max="16384" width="9.140625" style="13" hidden="1"/>
  </cols>
  <sheetData>
    <row r="1" spans="1:22" ht="20.25" x14ac:dyDescent="0.3">
      <c r="A1" s="439" t="s">
        <v>488</v>
      </c>
      <c r="B1" s="439"/>
      <c r="C1" s="439"/>
      <c r="D1" s="439"/>
      <c r="E1" s="439"/>
      <c r="F1" s="439"/>
      <c r="G1" s="439"/>
      <c r="H1" s="439"/>
      <c r="I1" s="439"/>
      <c r="J1" s="439"/>
      <c r="K1" s="439"/>
      <c r="L1" s="439"/>
      <c r="M1" s="439"/>
      <c r="N1" s="439"/>
      <c r="O1" s="439"/>
      <c r="P1" s="439"/>
      <c r="Q1" s="218"/>
    </row>
    <row r="2" spans="1:22" x14ac:dyDescent="0.25">
      <c r="A2" s="443" t="s">
        <v>0</v>
      </c>
      <c r="B2" s="443"/>
      <c r="C2" s="443"/>
      <c r="D2" s="381">
        <f>'Loan Details'!B3</f>
        <v>0</v>
      </c>
      <c r="E2" s="381"/>
      <c r="F2" s="381"/>
      <c r="G2" s="381"/>
      <c r="H2" s="381"/>
      <c r="I2" s="381"/>
      <c r="J2" s="381"/>
      <c r="K2" s="381"/>
      <c r="L2" s="381"/>
      <c r="M2" s="381"/>
      <c r="N2" s="381"/>
      <c r="O2" s="381"/>
      <c r="P2" s="381"/>
      <c r="Q2" s="219"/>
    </row>
    <row r="3" spans="1:22" x14ac:dyDescent="0.25">
      <c r="A3" s="443" t="s">
        <v>2</v>
      </c>
      <c r="B3" s="443"/>
      <c r="C3" s="443"/>
      <c r="D3" s="382">
        <f>'Loan Details'!B4</f>
        <v>0.18</v>
      </c>
      <c r="E3" s="382"/>
      <c r="F3" s="382"/>
      <c r="G3" s="382"/>
      <c r="H3" s="382"/>
      <c r="I3" s="382"/>
      <c r="J3" s="382"/>
      <c r="K3" s="382"/>
      <c r="L3" s="382"/>
      <c r="M3" s="382"/>
      <c r="N3" s="382"/>
      <c r="O3" s="382"/>
      <c r="P3" s="382"/>
      <c r="Q3" s="220"/>
    </row>
    <row r="4" spans="1:22" x14ac:dyDescent="0.25">
      <c r="A4" s="443" t="s">
        <v>3</v>
      </c>
      <c r="B4" s="443"/>
      <c r="C4" s="443"/>
      <c r="D4" s="383">
        <f>'Loan Details'!B5</f>
        <v>48</v>
      </c>
      <c r="E4" s="383"/>
      <c r="F4" s="383"/>
      <c r="G4" s="383"/>
      <c r="H4" s="383"/>
      <c r="I4" s="383"/>
      <c r="J4" s="383"/>
      <c r="K4" s="383"/>
      <c r="L4" s="383"/>
      <c r="M4" s="383"/>
      <c r="N4" s="383"/>
      <c r="O4" s="383"/>
      <c r="P4" s="383"/>
      <c r="Q4" s="221"/>
    </row>
    <row r="5" spans="1:22" x14ac:dyDescent="0.25">
      <c r="A5" s="443" t="s">
        <v>483</v>
      </c>
      <c r="B5" s="443"/>
      <c r="C5" s="443"/>
      <c r="D5" s="440">
        <f>IFERROR(PMT(D3/12,D4,-D2),"-")</f>
        <v>0</v>
      </c>
      <c r="E5" s="440"/>
      <c r="F5" s="440"/>
      <c r="G5" s="440"/>
      <c r="H5" s="440"/>
      <c r="I5" s="440"/>
      <c r="J5" s="440"/>
      <c r="K5" s="440"/>
      <c r="L5" s="440"/>
      <c r="M5" s="440"/>
      <c r="N5" s="440"/>
      <c r="O5" s="440"/>
      <c r="P5" s="440"/>
      <c r="Q5" s="222"/>
    </row>
    <row r="6" spans="1:22" x14ac:dyDescent="0.25">
      <c r="A6" s="443" t="s">
        <v>517</v>
      </c>
      <c r="B6" s="443"/>
      <c r="C6" s="443"/>
      <c r="D6" s="441">
        <f>SUM(J29,J42,J55,J68,J81)</f>
        <v>0</v>
      </c>
      <c r="E6" s="441"/>
      <c r="F6" s="441"/>
      <c r="G6" s="441"/>
      <c r="H6" s="441"/>
      <c r="I6" s="441"/>
      <c r="J6" s="441"/>
      <c r="K6" s="441"/>
      <c r="L6" s="441"/>
      <c r="M6" s="441"/>
      <c r="N6" s="441"/>
      <c r="O6" s="441"/>
      <c r="P6" s="441"/>
      <c r="Q6" s="223"/>
    </row>
    <row r="7" spans="1:22" x14ac:dyDescent="0.25">
      <c r="A7" s="443" t="s">
        <v>518</v>
      </c>
      <c r="B7" s="443"/>
      <c r="C7" s="443"/>
      <c r="D7" s="442" t="str">
        <f>IFERROR(D6/D5,"-")</f>
        <v>-</v>
      </c>
      <c r="E7" s="442"/>
      <c r="F7" s="442"/>
      <c r="G7" s="442"/>
      <c r="H7" s="442"/>
      <c r="I7" s="442"/>
      <c r="J7" s="442"/>
      <c r="K7" s="442"/>
      <c r="L7" s="442"/>
      <c r="M7" s="442"/>
      <c r="N7" s="442"/>
      <c r="O7" s="442"/>
      <c r="P7" s="442"/>
      <c r="Q7" s="224"/>
      <c r="U7" s="13" t="s">
        <v>535</v>
      </c>
      <c r="V7" s="13" t="s">
        <v>567</v>
      </c>
    </row>
    <row r="8" spans="1:22" ht="15" customHeight="1" x14ac:dyDescent="0.25">
      <c r="A8" s="443" t="s">
        <v>484</v>
      </c>
      <c r="B8" s="443"/>
      <c r="C8" s="443"/>
      <c r="D8" s="440">
        <f>SUM(H30+H43+H56+H69+H82)</f>
        <v>0</v>
      </c>
      <c r="E8" s="440"/>
      <c r="F8" s="440"/>
      <c r="G8" s="440"/>
      <c r="H8" s="440"/>
      <c r="I8" s="440"/>
      <c r="J8" s="440"/>
      <c r="K8" s="440"/>
      <c r="L8" s="440"/>
      <c r="M8" s="440"/>
      <c r="N8" s="440"/>
      <c r="O8" s="440"/>
      <c r="P8" s="440"/>
      <c r="Q8" s="222"/>
      <c r="U8" s="13" t="s">
        <v>537</v>
      </c>
      <c r="V8" s="13" t="s">
        <v>568</v>
      </c>
    </row>
    <row r="9" spans="1:22" ht="15" customHeight="1" x14ac:dyDescent="0.25">
      <c r="A9" s="443" t="s">
        <v>519</v>
      </c>
      <c r="B9" s="443"/>
      <c r="C9" s="443"/>
      <c r="D9" s="440">
        <f>D8/2</f>
        <v>0</v>
      </c>
      <c r="E9" s="440"/>
      <c r="F9" s="440"/>
      <c r="G9" s="440"/>
      <c r="H9" s="440"/>
      <c r="I9" s="440"/>
      <c r="J9" s="440"/>
      <c r="K9" s="440"/>
      <c r="L9" s="440"/>
      <c r="M9" s="440"/>
      <c r="N9" s="440"/>
      <c r="O9" s="440"/>
      <c r="P9" s="440"/>
      <c r="Q9" s="222"/>
      <c r="U9" s="13" t="s">
        <v>513</v>
      </c>
      <c r="V9" s="13" t="s">
        <v>516</v>
      </c>
    </row>
    <row r="10" spans="1:22" ht="15" customHeight="1" x14ac:dyDescent="0.25">
      <c r="A10" s="443" t="s">
        <v>520</v>
      </c>
      <c r="B10" s="443"/>
      <c r="C10" s="443"/>
      <c r="D10" s="440">
        <f>PV(D3/12,D4,-D9)</f>
        <v>0</v>
      </c>
      <c r="E10" s="440"/>
      <c r="F10" s="440"/>
      <c r="G10" s="440"/>
      <c r="H10" s="440"/>
      <c r="I10" s="440"/>
      <c r="J10" s="440"/>
      <c r="K10" s="440"/>
      <c r="L10" s="440"/>
      <c r="M10" s="440"/>
      <c r="N10" s="440"/>
      <c r="O10" s="440"/>
      <c r="P10" s="440"/>
      <c r="Q10" s="222"/>
      <c r="U10" s="13" t="s">
        <v>514</v>
      </c>
      <c r="V10" s="13" t="s">
        <v>569</v>
      </c>
    </row>
    <row r="11" spans="1:22" ht="15" customHeight="1" x14ac:dyDescent="0.25">
      <c r="A11" s="443" t="s">
        <v>522</v>
      </c>
      <c r="B11" s="443"/>
      <c r="C11" s="443"/>
      <c r="D11" s="433">
        <f>MIN(D10,D2)</f>
        <v>0</v>
      </c>
      <c r="E11" s="434"/>
      <c r="F11" s="434"/>
      <c r="G11" s="434"/>
      <c r="H11" s="434"/>
      <c r="I11" s="434"/>
      <c r="J11" s="434"/>
      <c r="K11" s="434"/>
      <c r="L11" s="434"/>
      <c r="M11" s="434"/>
      <c r="N11" s="434"/>
      <c r="O11" s="434"/>
      <c r="P11" s="435"/>
      <c r="Q11" s="222"/>
      <c r="U11" s="13" t="s">
        <v>515</v>
      </c>
      <c r="V11" s="13" t="s">
        <v>570</v>
      </c>
    </row>
    <row r="12" spans="1:22" ht="15" customHeight="1" x14ac:dyDescent="0.25">
      <c r="A12" s="443" t="s">
        <v>12</v>
      </c>
      <c r="B12" s="443"/>
      <c r="C12" s="443"/>
      <c r="D12" s="433">
        <f>IFERROR(PMT(D3/12,D4,-D11),"-")</f>
        <v>0</v>
      </c>
      <c r="E12" s="434"/>
      <c r="F12" s="434"/>
      <c r="G12" s="434"/>
      <c r="H12" s="434"/>
      <c r="I12" s="434"/>
      <c r="J12" s="434"/>
      <c r="K12" s="434"/>
      <c r="L12" s="434"/>
      <c r="M12" s="434"/>
      <c r="N12" s="434"/>
      <c r="O12" s="434"/>
      <c r="P12" s="435"/>
      <c r="Q12" s="222"/>
      <c r="U12" s="13" t="s">
        <v>502</v>
      </c>
      <c r="V12" s="13" t="s">
        <v>571</v>
      </c>
    </row>
    <row r="13" spans="1:22" ht="15" customHeight="1" x14ac:dyDescent="0.25">
      <c r="A13" s="445" t="s">
        <v>910</v>
      </c>
      <c r="B13" s="445"/>
      <c r="C13" s="445"/>
      <c r="D13" s="436" t="str">
        <f>IFERROR(D8/D12,"-")</f>
        <v>-</v>
      </c>
      <c r="E13" s="437"/>
      <c r="F13" s="437"/>
      <c r="G13" s="437"/>
      <c r="H13" s="437"/>
      <c r="I13" s="437"/>
      <c r="J13" s="437"/>
      <c r="K13" s="437"/>
      <c r="L13" s="437"/>
      <c r="M13" s="437"/>
      <c r="N13" s="437"/>
      <c r="O13" s="437"/>
      <c r="P13" s="438"/>
      <c r="Q13" s="224" t="str">
        <f>IF(D13&lt;1,"ABB &lt;1. Not Doable"," ")</f>
        <v xml:space="preserve"> </v>
      </c>
      <c r="U13" s="13" t="s">
        <v>503</v>
      </c>
      <c r="V13" s="13" t="s">
        <v>572</v>
      </c>
    </row>
    <row r="14" spans="1:22" ht="15" customHeight="1" x14ac:dyDescent="0.25">
      <c r="A14" s="409" t="s">
        <v>554</v>
      </c>
      <c r="B14" s="410"/>
      <c r="C14" s="410"/>
      <c r="D14" s="410"/>
      <c r="E14" s="410"/>
      <c r="F14" s="411"/>
      <c r="G14" s="412" t="s">
        <v>556</v>
      </c>
      <c r="H14" s="412"/>
      <c r="I14" s="412"/>
      <c r="J14" s="412" t="s">
        <v>685</v>
      </c>
      <c r="K14" s="412"/>
      <c r="L14" s="412"/>
      <c r="M14" s="403" t="s">
        <v>557</v>
      </c>
      <c r="N14" s="404"/>
      <c r="O14" s="404"/>
      <c r="P14" s="405"/>
      <c r="Q14" s="225"/>
      <c r="U14" s="13" t="s">
        <v>504</v>
      </c>
      <c r="V14" s="13" t="s">
        <v>573</v>
      </c>
    </row>
    <row r="15" spans="1:22" ht="15" customHeight="1" x14ac:dyDescent="0.25">
      <c r="A15" s="398" t="s">
        <v>689</v>
      </c>
      <c r="B15" s="399"/>
      <c r="C15" s="399"/>
      <c r="D15" s="399"/>
      <c r="E15" s="399"/>
      <c r="F15" s="400"/>
      <c r="G15" s="413">
        <f>SUM(M28,M41,M54,M67,M80)</f>
        <v>0</v>
      </c>
      <c r="H15" s="414"/>
      <c r="I15" s="415"/>
      <c r="J15" s="402">
        <f>SUM(P28,P41,P54,P67,P80)</f>
        <v>0</v>
      </c>
      <c r="K15" s="401"/>
      <c r="L15" s="401"/>
      <c r="M15" s="406" t="str">
        <f>IFERROR(G15/J15,"-")</f>
        <v>-</v>
      </c>
      <c r="N15" s="407"/>
      <c r="O15" s="407"/>
      <c r="P15" s="408"/>
      <c r="Q15" s="226"/>
      <c r="U15" s="13" t="s">
        <v>544</v>
      </c>
      <c r="V15" s="13" t="s">
        <v>574</v>
      </c>
    </row>
    <row r="16" spans="1:22" ht="15" customHeight="1" x14ac:dyDescent="0.25">
      <c r="A16" s="398" t="s">
        <v>690</v>
      </c>
      <c r="B16" s="399"/>
      <c r="C16" s="399"/>
      <c r="D16" s="399"/>
      <c r="E16" s="399"/>
      <c r="F16" s="400"/>
      <c r="G16" s="402">
        <f>SUM(N28,N41,N54,N67,N80)</f>
        <v>0</v>
      </c>
      <c r="H16" s="401"/>
      <c r="I16" s="401"/>
      <c r="J16" s="402">
        <f>SUM(O28,O41,O54,O67,O80)</f>
        <v>0</v>
      </c>
      <c r="K16" s="401"/>
      <c r="L16" s="401"/>
      <c r="M16" s="406" t="str">
        <f>IFERROR(G16/J16,"-")</f>
        <v>-</v>
      </c>
      <c r="N16" s="407"/>
      <c r="O16" s="407"/>
      <c r="P16" s="408"/>
      <c r="Q16" s="226"/>
      <c r="U16" s="13" t="s">
        <v>546</v>
      </c>
      <c r="V16" s="13" t="s">
        <v>575</v>
      </c>
    </row>
    <row r="17" spans="1:22" ht="15" customHeight="1" x14ac:dyDescent="0.25">
      <c r="A17" s="398" t="s">
        <v>248</v>
      </c>
      <c r="B17" s="399"/>
      <c r="C17" s="399"/>
      <c r="D17" s="399"/>
      <c r="E17" s="399"/>
      <c r="F17" s="400"/>
      <c r="G17" s="401">
        <f>G16+G15</f>
        <v>0</v>
      </c>
      <c r="H17" s="401"/>
      <c r="I17" s="401"/>
      <c r="J17" s="402">
        <f>J16+J15</f>
        <v>0</v>
      </c>
      <c r="K17" s="401"/>
      <c r="L17" s="401"/>
      <c r="M17" s="406" t="str">
        <f>IFERROR(G17/J17,"-")</f>
        <v>-</v>
      </c>
      <c r="N17" s="407"/>
      <c r="O17" s="407"/>
      <c r="P17" s="408"/>
      <c r="Q17" s="226"/>
      <c r="U17" s="13" t="s">
        <v>548</v>
      </c>
      <c r="V17" s="13" t="s">
        <v>576</v>
      </c>
    </row>
    <row r="18" spans="1:22" ht="18.75" x14ac:dyDescent="0.25">
      <c r="A18" s="424" t="s">
        <v>489</v>
      </c>
      <c r="B18" s="424"/>
      <c r="C18" s="424"/>
      <c r="D18" s="424"/>
      <c r="E18" s="424"/>
      <c r="F18" s="424"/>
      <c r="G18" s="424"/>
      <c r="H18" s="424"/>
      <c r="I18" s="424"/>
      <c r="J18" s="424"/>
      <c r="K18" s="424"/>
      <c r="L18" s="424"/>
      <c r="M18" s="424"/>
      <c r="N18" s="424"/>
      <c r="O18" s="424"/>
      <c r="P18" s="424"/>
      <c r="Q18" s="227"/>
      <c r="U18" s="13" t="s">
        <v>550</v>
      </c>
      <c r="V18" s="13" t="s">
        <v>577</v>
      </c>
    </row>
    <row r="19" spans="1:22" ht="15.75" customHeight="1" x14ac:dyDescent="0.25">
      <c r="A19" s="425" t="s">
        <v>692</v>
      </c>
      <c r="B19" s="426"/>
      <c r="C19" s="427"/>
      <c r="D19" s="428"/>
      <c r="E19" s="430"/>
      <c r="F19" s="4" t="s">
        <v>691</v>
      </c>
      <c r="G19" s="431"/>
      <c r="H19" s="432"/>
      <c r="I19" s="47" t="s">
        <v>693</v>
      </c>
      <c r="J19" s="428"/>
      <c r="K19" s="429"/>
      <c r="L19" s="430"/>
      <c r="M19" s="46" t="s">
        <v>490</v>
      </c>
      <c r="N19" s="416"/>
      <c r="O19" s="417"/>
      <c r="P19" s="418"/>
      <c r="Q19" s="228"/>
    </row>
    <row r="20" spans="1:22" x14ac:dyDescent="0.25">
      <c r="A20" s="444" t="s">
        <v>492</v>
      </c>
      <c r="B20" s="444" t="s">
        <v>493</v>
      </c>
      <c r="C20" s="444"/>
      <c r="D20" s="444"/>
      <c r="E20" s="444"/>
      <c r="F20" s="444"/>
      <c r="G20" s="444"/>
      <c r="H20" s="419" t="s">
        <v>494</v>
      </c>
      <c r="I20" s="419" t="s">
        <v>683</v>
      </c>
      <c r="J20" s="419" t="s">
        <v>495</v>
      </c>
      <c r="K20" s="419" t="s">
        <v>496</v>
      </c>
      <c r="L20" s="419" t="s">
        <v>497</v>
      </c>
      <c r="M20" s="419" t="s">
        <v>498</v>
      </c>
      <c r="N20" s="419" t="s">
        <v>499</v>
      </c>
      <c r="O20" s="419" t="s">
        <v>500</v>
      </c>
      <c r="P20" s="423" t="s">
        <v>501</v>
      </c>
      <c r="Q20" s="229"/>
    </row>
    <row r="21" spans="1:22" x14ac:dyDescent="0.25">
      <c r="A21" s="444"/>
      <c r="B21" s="12">
        <v>5</v>
      </c>
      <c r="C21" s="12">
        <v>10</v>
      </c>
      <c r="D21" s="12">
        <v>15</v>
      </c>
      <c r="E21" s="12">
        <v>20</v>
      </c>
      <c r="F21" s="12">
        <v>25</v>
      </c>
      <c r="G21" s="12">
        <v>30</v>
      </c>
      <c r="H21" s="419"/>
      <c r="I21" s="419"/>
      <c r="J21" s="419"/>
      <c r="K21" s="419"/>
      <c r="L21" s="419"/>
      <c r="M21" s="419"/>
      <c r="N21" s="419"/>
      <c r="O21" s="419"/>
      <c r="P21" s="423"/>
      <c r="Q21" s="229"/>
    </row>
    <row r="22" spans="1:22" x14ac:dyDescent="0.25">
      <c r="A22" s="5">
        <v>43922</v>
      </c>
      <c r="B22" s="43">
        <v>0</v>
      </c>
      <c r="C22" s="43">
        <v>0</v>
      </c>
      <c r="D22" s="43">
        <v>0</v>
      </c>
      <c r="E22" s="43">
        <v>0</v>
      </c>
      <c r="F22" s="43">
        <v>0</v>
      </c>
      <c r="G22" s="43">
        <v>0</v>
      </c>
      <c r="H22" s="42">
        <f t="shared" ref="H22:H27" si="0">AVERAGE(B22:G22)</f>
        <v>0</v>
      </c>
      <c r="I22" s="43">
        <v>0</v>
      </c>
      <c r="J22" s="43">
        <v>0</v>
      </c>
      <c r="K22" s="44">
        <v>0</v>
      </c>
      <c r="L22" s="45">
        <f t="shared" ref="L22:L27" si="1">J22-K22</f>
        <v>0</v>
      </c>
      <c r="M22" s="7">
        <v>0</v>
      </c>
      <c r="N22" s="7">
        <v>0</v>
      </c>
      <c r="O22" s="7">
        <v>0</v>
      </c>
      <c r="P22" s="234">
        <v>0</v>
      </c>
      <c r="Q22" s="230"/>
    </row>
    <row r="23" spans="1:22" x14ac:dyDescent="0.25">
      <c r="A23" s="5">
        <f>EDATE(A22,1)</f>
        <v>43952</v>
      </c>
      <c r="B23" s="43">
        <v>0</v>
      </c>
      <c r="C23" s="43">
        <v>0</v>
      </c>
      <c r="D23" s="43">
        <v>0</v>
      </c>
      <c r="E23" s="43">
        <v>0</v>
      </c>
      <c r="F23" s="43">
        <v>0</v>
      </c>
      <c r="G23" s="43">
        <v>0</v>
      </c>
      <c r="H23" s="42">
        <f t="shared" ref="H23:H25" si="2">AVERAGE(B23:G23)</f>
        <v>0</v>
      </c>
      <c r="I23" s="43">
        <v>0</v>
      </c>
      <c r="J23" s="43">
        <v>0</v>
      </c>
      <c r="K23" s="44">
        <v>0</v>
      </c>
      <c r="L23" s="45">
        <f t="shared" ref="L23:L25" si="3">J23-K23</f>
        <v>0</v>
      </c>
      <c r="M23" s="7">
        <v>0</v>
      </c>
      <c r="N23" s="7">
        <v>0</v>
      </c>
      <c r="O23" s="7">
        <v>0</v>
      </c>
      <c r="P23" s="234">
        <v>0</v>
      </c>
      <c r="Q23" s="230"/>
    </row>
    <row r="24" spans="1:22" x14ac:dyDescent="0.25">
      <c r="A24" s="5">
        <f t="shared" ref="A24:A27" si="4">EDATE(A23,1)</f>
        <v>43983</v>
      </c>
      <c r="B24" s="43">
        <v>0</v>
      </c>
      <c r="C24" s="43">
        <v>0</v>
      </c>
      <c r="D24" s="43">
        <v>0</v>
      </c>
      <c r="E24" s="43">
        <v>0</v>
      </c>
      <c r="F24" s="43">
        <v>0</v>
      </c>
      <c r="G24" s="43">
        <v>0</v>
      </c>
      <c r="H24" s="42">
        <f t="shared" si="2"/>
        <v>0</v>
      </c>
      <c r="I24" s="43">
        <v>0</v>
      </c>
      <c r="J24" s="43">
        <v>0</v>
      </c>
      <c r="K24" s="44">
        <v>0</v>
      </c>
      <c r="L24" s="45">
        <f t="shared" si="3"/>
        <v>0</v>
      </c>
      <c r="M24" s="7">
        <v>0</v>
      </c>
      <c r="N24" s="7">
        <v>0</v>
      </c>
      <c r="O24" s="7">
        <v>0</v>
      </c>
      <c r="P24" s="234">
        <v>0</v>
      </c>
      <c r="Q24" s="230"/>
    </row>
    <row r="25" spans="1:22" x14ac:dyDescent="0.25">
      <c r="A25" s="5">
        <f t="shared" si="4"/>
        <v>44013</v>
      </c>
      <c r="B25" s="43">
        <v>0</v>
      </c>
      <c r="C25" s="43">
        <v>0</v>
      </c>
      <c r="D25" s="43">
        <v>0</v>
      </c>
      <c r="E25" s="43">
        <v>0</v>
      </c>
      <c r="F25" s="43">
        <v>0</v>
      </c>
      <c r="G25" s="43">
        <v>0</v>
      </c>
      <c r="H25" s="42">
        <f t="shared" si="2"/>
        <v>0</v>
      </c>
      <c r="I25" s="43">
        <v>0</v>
      </c>
      <c r="J25" s="43">
        <v>0</v>
      </c>
      <c r="K25" s="44">
        <v>0</v>
      </c>
      <c r="L25" s="45">
        <f t="shared" si="3"/>
        <v>0</v>
      </c>
      <c r="M25" s="7">
        <v>0</v>
      </c>
      <c r="N25" s="7">
        <v>0</v>
      </c>
      <c r="O25" s="7">
        <v>0</v>
      </c>
      <c r="P25" s="234">
        <v>0</v>
      </c>
      <c r="Q25" s="230"/>
    </row>
    <row r="26" spans="1:22" x14ac:dyDescent="0.25">
      <c r="A26" s="5">
        <f t="shared" si="4"/>
        <v>44044</v>
      </c>
      <c r="B26" s="43">
        <v>0</v>
      </c>
      <c r="C26" s="43">
        <v>0</v>
      </c>
      <c r="D26" s="43">
        <v>0</v>
      </c>
      <c r="E26" s="43">
        <v>0</v>
      </c>
      <c r="F26" s="43">
        <v>0</v>
      </c>
      <c r="G26" s="43">
        <v>0</v>
      </c>
      <c r="H26" s="42">
        <f t="shared" si="0"/>
        <v>0</v>
      </c>
      <c r="I26" s="43">
        <v>0</v>
      </c>
      <c r="J26" s="43">
        <v>0</v>
      </c>
      <c r="K26" s="44">
        <v>0</v>
      </c>
      <c r="L26" s="45">
        <f t="shared" si="1"/>
        <v>0</v>
      </c>
      <c r="M26" s="7">
        <v>0</v>
      </c>
      <c r="N26" s="7">
        <v>0</v>
      </c>
      <c r="O26" s="7">
        <v>0</v>
      </c>
      <c r="P26" s="234">
        <v>0</v>
      </c>
      <c r="Q26" s="230"/>
    </row>
    <row r="27" spans="1:22" x14ac:dyDescent="0.25">
      <c r="A27" s="5">
        <f t="shared" si="4"/>
        <v>44075</v>
      </c>
      <c r="B27" s="43">
        <v>0</v>
      </c>
      <c r="C27" s="43">
        <v>0</v>
      </c>
      <c r="D27" s="43">
        <v>0</v>
      </c>
      <c r="E27" s="43">
        <v>0</v>
      </c>
      <c r="F27" s="43">
        <v>0</v>
      </c>
      <c r="G27" s="43">
        <v>0</v>
      </c>
      <c r="H27" s="42">
        <f t="shared" si="0"/>
        <v>0</v>
      </c>
      <c r="I27" s="43">
        <v>0</v>
      </c>
      <c r="J27" s="43">
        <v>0</v>
      </c>
      <c r="K27" s="44">
        <v>0</v>
      </c>
      <c r="L27" s="45">
        <f t="shared" si="1"/>
        <v>0</v>
      </c>
      <c r="M27" s="7">
        <v>0</v>
      </c>
      <c r="N27" s="7">
        <v>0</v>
      </c>
      <c r="O27" s="7">
        <v>0</v>
      </c>
      <c r="P27" s="234">
        <v>0</v>
      </c>
      <c r="Q27" s="230"/>
    </row>
    <row r="28" spans="1:22" x14ac:dyDescent="0.25">
      <c r="A28" s="11" t="s">
        <v>505</v>
      </c>
      <c r="B28" s="42">
        <f t="shared" ref="B28:P28" si="5">SUM(B22:B27)</f>
        <v>0</v>
      </c>
      <c r="C28" s="42">
        <f t="shared" si="5"/>
        <v>0</v>
      </c>
      <c r="D28" s="42">
        <f t="shared" si="5"/>
        <v>0</v>
      </c>
      <c r="E28" s="42">
        <f t="shared" si="5"/>
        <v>0</v>
      </c>
      <c r="F28" s="42">
        <f t="shared" si="5"/>
        <v>0</v>
      </c>
      <c r="G28" s="42">
        <f t="shared" si="5"/>
        <v>0</v>
      </c>
      <c r="H28" s="42">
        <f t="shared" si="5"/>
        <v>0</v>
      </c>
      <c r="I28" s="42">
        <f t="shared" si="5"/>
        <v>0</v>
      </c>
      <c r="J28" s="42">
        <f t="shared" si="5"/>
        <v>0</v>
      </c>
      <c r="K28" s="42">
        <f t="shared" si="5"/>
        <v>0</v>
      </c>
      <c r="L28" s="42">
        <f t="shared" si="5"/>
        <v>0</v>
      </c>
      <c r="M28" s="237">
        <f t="shared" si="5"/>
        <v>0</v>
      </c>
      <c r="N28" s="237">
        <f t="shared" si="5"/>
        <v>0</v>
      </c>
      <c r="O28" s="237">
        <f t="shared" si="5"/>
        <v>0</v>
      </c>
      <c r="P28" s="237">
        <f t="shared" si="5"/>
        <v>0</v>
      </c>
      <c r="Q28" s="231"/>
    </row>
    <row r="29" spans="1:22" x14ac:dyDescent="0.25">
      <c r="A29" s="11" t="s">
        <v>494</v>
      </c>
      <c r="B29" s="42">
        <f t="shared" ref="B29:P29" si="6">AVERAGE(B22:B27)</f>
        <v>0</v>
      </c>
      <c r="C29" s="42">
        <f t="shared" si="6"/>
        <v>0</v>
      </c>
      <c r="D29" s="42">
        <f t="shared" si="6"/>
        <v>0</v>
      </c>
      <c r="E29" s="42">
        <f t="shared" si="6"/>
        <v>0</v>
      </c>
      <c r="F29" s="42">
        <f t="shared" si="6"/>
        <v>0</v>
      </c>
      <c r="G29" s="42">
        <f t="shared" si="6"/>
        <v>0</v>
      </c>
      <c r="H29" s="42">
        <f t="shared" si="6"/>
        <v>0</v>
      </c>
      <c r="I29" s="42">
        <f t="shared" si="6"/>
        <v>0</v>
      </c>
      <c r="J29" s="42">
        <f t="shared" si="6"/>
        <v>0</v>
      </c>
      <c r="K29" s="42">
        <f t="shared" si="6"/>
        <v>0</v>
      </c>
      <c r="L29" s="42">
        <f t="shared" si="6"/>
        <v>0</v>
      </c>
      <c r="M29" s="237">
        <f t="shared" si="6"/>
        <v>0</v>
      </c>
      <c r="N29" s="237">
        <f t="shared" si="6"/>
        <v>0</v>
      </c>
      <c r="O29" s="237">
        <f t="shared" si="6"/>
        <v>0</v>
      </c>
      <c r="P29" s="237">
        <f t="shared" si="6"/>
        <v>0</v>
      </c>
      <c r="Q29" s="232"/>
    </row>
    <row r="30" spans="1:22" ht="38.25" x14ac:dyDescent="0.25">
      <c r="A30" s="11" t="s">
        <v>506</v>
      </c>
      <c r="B30" s="42">
        <f>B29+I29</f>
        <v>0</v>
      </c>
      <c r="C30" s="42">
        <f>C29+I29</f>
        <v>0</v>
      </c>
      <c r="D30" s="42">
        <f>D29+I29</f>
        <v>0</v>
      </c>
      <c r="E30" s="42">
        <f>E29+I29</f>
        <v>0</v>
      </c>
      <c r="F30" s="42">
        <f>F29+I29</f>
        <v>0</v>
      </c>
      <c r="G30" s="42">
        <f>G29+I29</f>
        <v>0</v>
      </c>
      <c r="H30" s="42">
        <f>H29+I29</f>
        <v>0</v>
      </c>
      <c r="I30" s="420"/>
      <c r="J30" s="421"/>
      <c r="K30" s="421"/>
      <c r="L30" s="421"/>
      <c r="M30" s="421"/>
      <c r="N30" s="422"/>
      <c r="O30" s="6" t="s">
        <v>507</v>
      </c>
      <c r="P30" s="235" t="s">
        <v>508</v>
      </c>
      <c r="Q30" s="233"/>
    </row>
    <row r="31" spans="1:22" ht="18.75" x14ac:dyDescent="0.25">
      <c r="A31" s="424" t="s">
        <v>509</v>
      </c>
      <c r="B31" s="424"/>
      <c r="C31" s="424"/>
      <c r="D31" s="424"/>
      <c r="E31" s="424"/>
      <c r="F31" s="424"/>
      <c r="G31" s="424"/>
      <c r="H31" s="424"/>
      <c r="I31" s="424"/>
      <c r="J31" s="424"/>
      <c r="K31" s="424"/>
      <c r="L31" s="424"/>
      <c r="M31" s="424"/>
      <c r="N31" s="424"/>
      <c r="O31" s="424"/>
      <c r="P31" s="424"/>
      <c r="Q31" s="227"/>
    </row>
    <row r="32" spans="1:22" ht="15.75" customHeight="1" x14ac:dyDescent="0.25">
      <c r="A32" s="425" t="s">
        <v>692</v>
      </c>
      <c r="B32" s="426"/>
      <c r="C32" s="427"/>
      <c r="D32" s="428"/>
      <c r="E32" s="430"/>
      <c r="F32" s="4" t="s">
        <v>691</v>
      </c>
      <c r="G32" s="431"/>
      <c r="H32" s="432"/>
      <c r="I32" s="47" t="s">
        <v>693</v>
      </c>
      <c r="J32" s="428"/>
      <c r="K32" s="429"/>
      <c r="L32" s="430"/>
      <c r="M32" s="47" t="s">
        <v>490</v>
      </c>
      <c r="N32" s="416"/>
      <c r="O32" s="417"/>
      <c r="P32" s="418"/>
      <c r="Q32" s="228"/>
    </row>
    <row r="33" spans="1:17" ht="15" customHeight="1" x14ac:dyDescent="0.25">
      <c r="A33" s="444" t="s">
        <v>492</v>
      </c>
      <c r="B33" s="444" t="s">
        <v>493</v>
      </c>
      <c r="C33" s="444"/>
      <c r="D33" s="444"/>
      <c r="E33" s="444"/>
      <c r="F33" s="444"/>
      <c r="G33" s="444"/>
      <c r="H33" s="419" t="s">
        <v>494</v>
      </c>
      <c r="I33" s="419" t="s">
        <v>683</v>
      </c>
      <c r="J33" s="419" t="s">
        <v>495</v>
      </c>
      <c r="K33" s="419" t="s">
        <v>496</v>
      </c>
      <c r="L33" s="419" t="s">
        <v>497</v>
      </c>
      <c r="M33" s="419" t="s">
        <v>498</v>
      </c>
      <c r="N33" s="419" t="s">
        <v>499</v>
      </c>
      <c r="O33" s="419" t="s">
        <v>500</v>
      </c>
      <c r="P33" s="423" t="s">
        <v>501</v>
      </c>
      <c r="Q33" s="229"/>
    </row>
    <row r="34" spans="1:17" x14ac:dyDescent="0.25">
      <c r="A34" s="444"/>
      <c r="B34" s="41">
        <v>5</v>
      </c>
      <c r="C34" s="41">
        <v>10</v>
      </c>
      <c r="D34" s="41">
        <v>15</v>
      </c>
      <c r="E34" s="41">
        <v>20</v>
      </c>
      <c r="F34" s="41">
        <v>25</v>
      </c>
      <c r="G34" s="41">
        <v>30</v>
      </c>
      <c r="H34" s="419"/>
      <c r="I34" s="419"/>
      <c r="J34" s="419"/>
      <c r="K34" s="419"/>
      <c r="L34" s="419"/>
      <c r="M34" s="419"/>
      <c r="N34" s="419"/>
      <c r="O34" s="419"/>
      <c r="P34" s="423"/>
      <c r="Q34" s="229"/>
    </row>
    <row r="35" spans="1:17" x14ac:dyDescent="0.25">
      <c r="A35" s="5">
        <v>43922</v>
      </c>
      <c r="B35" s="43">
        <v>0</v>
      </c>
      <c r="C35" s="43">
        <v>0</v>
      </c>
      <c r="D35" s="43">
        <v>0</v>
      </c>
      <c r="E35" s="43">
        <v>0</v>
      </c>
      <c r="F35" s="43">
        <v>0</v>
      </c>
      <c r="G35" s="43">
        <v>0</v>
      </c>
      <c r="H35" s="42">
        <f t="shared" ref="H35:H40" si="7">AVERAGE(B35:G35)</f>
        <v>0</v>
      </c>
      <c r="I35" s="43">
        <v>0</v>
      </c>
      <c r="J35" s="43">
        <v>0</v>
      </c>
      <c r="K35" s="44">
        <v>0</v>
      </c>
      <c r="L35" s="45">
        <f t="shared" ref="L35:L40" si="8">J35-K35</f>
        <v>0</v>
      </c>
      <c r="M35" s="7">
        <v>0</v>
      </c>
      <c r="N35" s="7">
        <v>0</v>
      </c>
      <c r="O35" s="7">
        <v>0</v>
      </c>
      <c r="P35" s="234">
        <v>0</v>
      </c>
      <c r="Q35" s="230"/>
    </row>
    <row r="36" spans="1:17" x14ac:dyDescent="0.25">
      <c r="A36" s="5">
        <f>EDATE(A35,1)</f>
        <v>43952</v>
      </c>
      <c r="B36" s="43">
        <v>0</v>
      </c>
      <c r="C36" s="43">
        <v>0</v>
      </c>
      <c r="D36" s="43">
        <v>0</v>
      </c>
      <c r="E36" s="43">
        <v>0</v>
      </c>
      <c r="F36" s="43">
        <v>0</v>
      </c>
      <c r="G36" s="43">
        <v>0</v>
      </c>
      <c r="H36" s="42">
        <f t="shared" si="7"/>
        <v>0</v>
      </c>
      <c r="I36" s="43">
        <v>0</v>
      </c>
      <c r="J36" s="43">
        <v>0</v>
      </c>
      <c r="K36" s="44">
        <v>0</v>
      </c>
      <c r="L36" s="45">
        <f t="shared" si="8"/>
        <v>0</v>
      </c>
      <c r="M36" s="7">
        <v>0</v>
      </c>
      <c r="N36" s="7">
        <v>0</v>
      </c>
      <c r="O36" s="7">
        <v>0</v>
      </c>
      <c r="P36" s="234">
        <v>0</v>
      </c>
      <c r="Q36" s="230"/>
    </row>
    <row r="37" spans="1:17" x14ac:dyDescent="0.25">
      <c r="A37" s="5">
        <f t="shared" ref="A37:A40" si="9">EDATE(A36,1)</f>
        <v>43983</v>
      </c>
      <c r="B37" s="43">
        <v>0</v>
      </c>
      <c r="C37" s="43">
        <v>0</v>
      </c>
      <c r="D37" s="43">
        <v>0</v>
      </c>
      <c r="E37" s="43">
        <v>0</v>
      </c>
      <c r="F37" s="43">
        <v>0</v>
      </c>
      <c r="G37" s="43">
        <v>0</v>
      </c>
      <c r="H37" s="42">
        <f t="shared" si="7"/>
        <v>0</v>
      </c>
      <c r="I37" s="43">
        <v>0</v>
      </c>
      <c r="J37" s="43">
        <v>0</v>
      </c>
      <c r="K37" s="44">
        <v>0</v>
      </c>
      <c r="L37" s="45">
        <f t="shared" si="8"/>
        <v>0</v>
      </c>
      <c r="M37" s="7">
        <v>0</v>
      </c>
      <c r="N37" s="7">
        <v>0</v>
      </c>
      <c r="O37" s="7">
        <v>0</v>
      </c>
      <c r="P37" s="234">
        <v>0</v>
      </c>
      <c r="Q37" s="230"/>
    </row>
    <row r="38" spans="1:17" x14ac:dyDescent="0.25">
      <c r="A38" s="5">
        <f t="shared" si="9"/>
        <v>44013</v>
      </c>
      <c r="B38" s="43">
        <v>0</v>
      </c>
      <c r="C38" s="43">
        <v>0</v>
      </c>
      <c r="D38" s="43">
        <v>0</v>
      </c>
      <c r="E38" s="43">
        <v>0</v>
      </c>
      <c r="F38" s="43">
        <v>0</v>
      </c>
      <c r="G38" s="43">
        <v>0</v>
      </c>
      <c r="H38" s="42">
        <f t="shared" si="7"/>
        <v>0</v>
      </c>
      <c r="I38" s="43">
        <v>0</v>
      </c>
      <c r="J38" s="43">
        <v>0</v>
      </c>
      <c r="K38" s="44">
        <v>0</v>
      </c>
      <c r="L38" s="45">
        <f t="shared" si="8"/>
        <v>0</v>
      </c>
      <c r="M38" s="7">
        <v>0</v>
      </c>
      <c r="N38" s="7">
        <v>0</v>
      </c>
      <c r="O38" s="7">
        <v>0</v>
      </c>
      <c r="P38" s="234">
        <v>0</v>
      </c>
      <c r="Q38" s="230"/>
    </row>
    <row r="39" spans="1:17" x14ac:dyDescent="0.25">
      <c r="A39" s="5">
        <f t="shared" si="9"/>
        <v>44044</v>
      </c>
      <c r="B39" s="43">
        <v>0</v>
      </c>
      <c r="C39" s="43">
        <v>0</v>
      </c>
      <c r="D39" s="43">
        <v>0</v>
      </c>
      <c r="E39" s="43">
        <v>0</v>
      </c>
      <c r="F39" s="43">
        <v>0</v>
      </c>
      <c r="G39" s="43">
        <v>0</v>
      </c>
      <c r="H39" s="42">
        <f t="shared" si="7"/>
        <v>0</v>
      </c>
      <c r="I39" s="43">
        <v>0</v>
      </c>
      <c r="J39" s="43">
        <v>0</v>
      </c>
      <c r="K39" s="44">
        <v>0</v>
      </c>
      <c r="L39" s="45">
        <f t="shared" si="8"/>
        <v>0</v>
      </c>
      <c r="M39" s="7">
        <v>0</v>
      </c>
      <c r="N39" s="7">
        <v>0</v>
      </c>
      <c r="O39" s="7">
        <v>0</v>
      </c>
      <c r="P39" s="234">
        <v>0</v>
      </c>
      <c r="Q39" s="230"/>
    </row>
    <row r="40" spans="1:17" x14ac:dyDescent="0.25">
      <c r="A40" s="5">
        <f t="shared" si="9"/>
        <v>44075</v>
      </c>
      <c r="B40" s="43">
        <v>0</v>
      </c>
      <c r="C40" s="43">
        <v>0</v>
      </c>
      <c r="D40" s="43">
        <v>0</v>
      </c>
      <c r="E40" s="43">
        <v>0</v>
      </c>
      <c r="F40" s="43">
        <v>0</v>
      </c>
      <c r="G40" s="43">
        <v>0</v>
      </c>
      <c r="H40" s="42">
        <f t="shared" si="7"/>
        <v>0</v>
      </c>
      <c r="I40" s="43">
        <v>0</v>
      </c>
      <c r="J40" s="43">
        <v>0</v>
      </c>
      <c r="K40" s="44">
        <v>0</v>
      </c>
      <c r="L40" s="45">
        <f t="shared" si="8"/>
        <v>0</v>
      </c>
      <c r="M40" s="7">
        <v>0</v>
      </c>
      <c r="N40" s="7">
        <v>0</v>
      </c>
      <c r="O40" s="7">
        <v>0</v>
      </c>
      <c r="P40" s="234">
        <v>0</v>
      </c>
      <c r="Q40" s="230"/>
    </row>
    <row r="41" spans="1:17" x14ac:dyDescent="0.25">
      <c r="A41" s="183" t="s">
        <v>505</v>
      </c>
      <c r="B41" s="42">
        <f t="shared" ref="B41:P41" si="10">SUM(B35:B40)</f>
        <v>0</v>
      </c>
      <c r="C41" s="42">
        <f t="shared" si="10"/>
        <v>0</v>
      </c>
      <c r="D41" s="42">
        <f t="shared" si="10"/>
        <v>0</v>
      </c>
      <c r="E41" s="42">
        <f t="shared" si="10"/>
        <v>0</v>
      </c>
      <c r="F41" s="42">
        <f t="shared" si="10"/>
        <v>0</v>
      </c>
      <c r="G41" s="42">
        <f t="shared" si="10"/>
        <v>0</v>
      </c>
      <c r="H41" s="42">
        <f t="shared" si="10"/>
        <v>0</v>
      </c>
      <c r="I41" s="42">
        <f t="shared" si="10"/>
        <v>0</v>
      </c>
      <c r="J41" s="42">
        <f t="shared" si="10"/>
        <v>0</v>
      </c>
      <c r="K41" s="42">
        <f t="shared" si="10"/>
        <v>0</v>
      </c>
      <c r="L41" s="42">
        <f t="shared" si="10"/>
        <v>0</v>
      </c>
      <c r="M41" s="237">
        <f t="shared" si="10"/>
        <v>0</v>
      </c>
      <c r="N41" s="237">
        <f t="shared" si="10"/>
        <v>0</v>
      </c>
      <c r="O41" s="237">
        <f t="shared" si="10"/>
        <v>0</v>
      </c>
      <c r="P41" s="237">
        <f t="shared" si="10"/>
        <v>0</v>
      </c>
      <c r="Q41" s="231"/>
    </row>
    <row r="42" spans="1:17" x14ac:dyDescent="0.25">
      <c r="A42" s="183" t="s">
        <v>494</v>
      </c>
      <c r="B42" s="42">
        <f t="shared" ref="B42:P42" si="11">AVERAGE(B35:B40)</f>
        <v>0</v>
      </c>
      <c r="C42" s="42">
        <f t="shared" si="11"/>
        <v>0</v>
      </c>
      <c r="D42" s="42">
        <f t="shared" si="11"/>
        <v>0</v>
      </c>
      <c r="E42" s="42">
        <f t="shared" si="11"/>
        <v>0</v>
      </c>
      <c r="F42" s="42">
        <f t="shared" si="11"/>
        <v>0</v>
      </c>
      <c r="G42" s="42">
        <f t="shared" si="11"/>
        <v>0</v>
      </c>
      <c r="H42" s="42">
        <f t="shared" si="11"/>
        <v>0</v>
      </c>
      <c r="I42" s="42">
        <f t="shared" si="11"/>
        <v>0</v>
      </c>
      <c r="J42" s="42">
        <f t="shared" si="11"/>
        <v>0</v>
      </c>
      <c r="K42" s="42">
        <f t="shared" si="11"/>
        <v>0</v>
      </c>
      <c r="L42" s="42">
        <f t="shared" si="11"/>
        <v>0</v>
      </c>
      <c r="M42" s="237">
        <f t="shared" si="11"/>
        <v>0</v>
      </c>
      <c r="N42" s="237">
        <f t="shared" si="11"/>
        <v>0</v>
      </c>
      <c r="O42" s="237">
        <f t="shared" si="11"/>
        <v>0</v>
      </c>
      <c r="P42" s="237">
        <f t="shared" si="11"/>
        <v>0</v>
      </c>
      <c r="Q42" s="232"/>
    </row>
    <row r="43" spans="1:17" ht="38.25" x14ac:dyDescent="0.25">
      <c r="A43" s="40" t="s">
        <v>506</v>
      </c>
      <c r="B43" s="42">
        <f>B42+I42</f>
        <v>0</v>
      </c>
      <c r="C43" s="42">
        <f>C42+I42</f>
        <v>0</v>
      </c>
      <c r="D43" s="42">
        <f>D42+I42</f>
        <v>0</v>
      </c>
      <c r="E43" s="42">
        <f>E42+I42</f>
        <v>0</v>
      </c>
      <c r="F43" s="42">
        <f>F42+I42</f>
        <v>0</v>
      </c>
      <c r="G43" s="42">
        <f>G42+I42</f>
        <v>0</v>
      </c>
      <c r="H43" s="42">
        <f>H42+I42</f>
        <v>0</v>
      </c>
      <c r="I43" s="420"/>
      <c r="J43" s="421"/>
      <c r="K43" s="421"/>
      <c r="L43" s="421"/>
      <c r="M43" s="421"/>
      <c r="N43" s="422"/>
      <c r="O43" s="6" t="s">
        <v>507</v>
      </c>
      <c r="P43" s="235" t="s">
        <v>508</v>
      </c>
      <c r="Q43" s="233"/>
    </row>
    <row r="44" spans="1:17" ht="18.75" x14ac:dyDescent="0.25">
      <c r="A44" s="424" t="s">
        <v>510</v>
      </c>
      <c r="B44" s="424"/>
      <c r="C44" s="424"/>
      <c r="D44" s="424"/>
      <c r="E44" s="424"/>
      <c r="F44" s="424"/>
      <c r="G44" s="424"/>
      <c r="H44" s="424"/>
      <c r="I44" s="424"/>
      <c r="J44" s="424"/>
      <c r="K44" s="424"/>
      <c r="L44" s="424"/>
      <c r="M44" s="424"/>
      <c r="N44" s="424"/>
      <c r="O44" s="424"/>
      <c r="P44" s="424"/>
      <c r="Q44" s="227"/>
    </row>
    <row r="45" spans="1:17" ht="15.75" customHeight="1" x14ac:dyDescent="0.25">
      <c r="A45" s="425" t="s">
        <v>692</v>
      </c>
      <c r="B45" s="426"/>
      <c r="C45" s="427"/>
      <c r="D45" s="428"/>
      <c r="E45" s="430"/>
      <c r="F45" s="4" t="s">
        <v>691</v>
      </c>
      <c r="G45" s="431"/>
      <c r="H45" s="432"/>
      <c r="I45" s="47" t="s">
        <v>693</v>
      </c>
      <c r="J45" s="428"/>
      <c r="K45" s="429"/>
      <c r="L45" s="430"/>
      <c r="M45" s="47" t="s">
        <v>490</v>
      </c>
      <c r="N45" s="416"/>
      <c r="O45" s="417"/>
      <c r="P45" s="418"/>
      <c r="Q45" s="228"/>
    </row>
    <row r="46" spans="1:17" ht="15" customHeight="1" x14ac:dyDescent="0.25">
      <c r="A46" s="444" t="s">
        <v>492</v>
      </c>
      <c r="B46" s="444" t="s">
        <v>493</v>
      </c>
      <c r="C46" s="444"/>
      <c r="D46" s="444"/>
      <c r="E46" s="444"/>
      <c r="F46" s="444"/>
      <c r="G46" s="444"/>
      <c r="H46" s="419" t="s">
        <v>494</v>
      </c>
      <c r="I46" s="419" t="s">
        <v>683</v>
      </c>
      <c r="J46" s="419" t="s">
        <v>495</v>
      </c>
      <c r="K46" s="419" t="s">
        <v>496</v>
      </c>
      <c r="L46" s="419" t="s">
        <v>497</v>
      </c>
      <c r="M46" s="419" t="s">
        <v>498</v>
      </c>
      <c r="N46" s="419" t="s">
        <v>499</v>
      </c>
      <c r="O46" s="419" t="s">
        <v>500</v>
      </c>
      <c r="P46" s="423" t="s">
        <v>501</v>
      </c>
      <c r="Q46" s="229"/>
    </row>
    <row r="47" spans="1:17" x14ac:dyDescent="0.25">
      <c r="A47" s="444"/>
      <c r="B47" s="41">
        <v>5</v>
      </c>
      <c r="C47" s="41">
        <v>10</v>
      </c>
      <c r="D47" s="41">
        <v>15</v>
      </c>
      <c r="E47" s="41">
        <v>20</v>
      </c>
      <c r="F47" s="41">
        <v>25</v>
      </c>
      <c r="G47" s="41">
        <v>30</v>
      </c>
      <c r="H47" s="419"/>
      <c r="I47" s="419"/>
      <c r="J47" s="419"/>
      <c r="K47" s="419"/>
      <c r="L47" s="419"/>
      <c r="M47" s="419"/>
      <c r="N47" s="419"/>
      <c r="O47" s="419"/>
      <c r="P47" s="423"/>
      <c r="Q47" s="229"/>
    </row>
    <row r="48" spans="1:17" x14ac:dyDescent="0.25">
      <c r="A48" s="5">
        <v>43922</v>
      </c>
      <c r="B48" s="43">
        <v>0</v>
      </c>
      <c r="C48" s="43">
        <v>0</v>
      </c>
      <c r="D48" s="43">
        <v>0</v>
      </c>
      <c r="E48" s="43">
        <v>0</v>
      </c>
      <c r="F48" s="43">
        <v>0</v>
      </c>
      <c r="G48" s="43">
        <v>0</v>
      </c>
      <c r="H48" s="42">
        <f t="shared" ref="H48:H53" si="12">AVERAGE(B48:G48)</f>
        <v>0</v>
      </c>
      <c r="I48" s="43">
        <v>0</v>
      </c>
      <c r="J48" s="43">
        <v>0</v>
      </c>
      <c r="K48" s="44">
        <v>0</v>
      </c>
      <c r="L48" s="45">
        <f t="shared" ref="L48:L53" si="13">J48-K48</f>
        <v>0</v>
      </c>
      <c r="M48" s="7">
        <v>0</v>
      </c>
      <c r="N48" s="7">
        <v>0</v>
      </c>
      <c r="O48" s="7">
        <v>0</v>
      </c>
      <c r="P48" s="234">
        <v>0</v>
      </c>
      <c r="Q48" s="230"/>
    </row>
    <row r="49" spans="1:17" x14ac:dyDescent="0.25">
      <c r="A49" s="5">
        <f>EDATE(A48,1)</f>
        <v>43952</v>
      </c>
      <c r="B49" s="43">
        <v>0</v>
      </c>
      <c r="C49" s="43">
        <v>0</v>
      </c>
      <c r="D49" s="43">
        <v>0</v>
      </c>
      <c r="E49" s="43">
        <v>0</v>
      </c>
      <c r="F49" s="43">
        <v>0</v>
      </c>
      <c r="G49" s="43">
        <v>0</v>
      </c>
      <c r="H49" s="42">
        <f t="shared" si="12"/>
        <v>0</v>
      </c>
      <c r="I49" s="43">
        <v>0</v>
      </c>
      <c r="J49" s="43">
        <v>0</v>
      </c>
      <c r="K49" s="44">
        <v>0</v>
      </c>
      <c r="L49" s="45">
        <f t="shared" si="13"/>
        <v>0</v>
      </c>
      <c r="M49" s="7">
        <v>0</v>
      </c>
      <c r="N49" s="7">
        <v>0</v>
      </c>
      <c r="O49" s="7">
        <v>0</v>
      </c>
      <c r="P49" s="234">
        <v>0</v>
      </c>
      <c r="Q49" s="230"/>
    </row>
    <row r="50" spans="1:17" x14ac:dyDescent="0.25">
      <c r="A50" s="5">
        <f t="shared" ref="A50:A53" si="14">EDATE(A49,1)</f>
        <v>43983</v>
      </c>
      <c r="B50" s="43">
        <v>0</v>
      </c>
      <c r="C50" s="43">
        <v>0</v>
      </c>
      <c r="D50" s="43">
        <v>0</v>
      </c>
      <c r="E50" s="43">
        <v>0</v>
      </c>
      <c r="F50" s="43">
        <v>0</v>
      </c>
      <c r="G50" s="43">
        <v>0</v>
      </c>
      <c r="H50" s="42">
        <f t="shared" si="12"/>
        <v>0</v>
      </c>
      <c r="I50" s="43">
        <v>0</v>
      </c>
      <c r="J50" s="43">
        <v>0</v>
      </c>
      <c r="K50" s="44">
        <v>0</v>
      </c>
      <c r="L50" s="45">
        <f t="shared" si="13"/>
        <v>0</v>
      </c>
      <c r="M50" s="7">
        <v>0</v>
      </c>
      <c r="N50" s="7">
        <v>0</v>
      </c>
      <c r="O50" s="7">
        <v>0</v>
      </c>
      <c r="P50" s="234">
        <v>0</v>
      </c>
      <c r="Q50" s="230"/>
    </row>
    <row r="51" spans="1:17" x14ac:dyDescent="0.25">
      <c r="A51" s="5">
        <f t="shared" si="14"/>
        <v>44013</v>
      </c>
      <c r="B51" s="43">
        <v>0</v>
      </c>
      <c r="C51" s="43">
        <v>0</v>
      </c>
      <c r="D51" s="43">
        <v>0</v>
      </c>
      <c r="E51" s="43">
        <v>0</v>
      </c>
      <c r="F51" s="43">
        <v>0</v>
      </c>
      <c r="G51" s="43">
        <v>0</v>
      </c>
      <c r="H51" s="42">
        <f t="shared" si="12"/>
        <v>0</v>
      </c>
      <c r="I51" s="43">
        <v>0</v>
      </c>
      <c r="J51" s="43">
        <v>0</v>
      </c>
      <c r="K51" s="44">
        <v>0</v>
      </c>
      <c r="L51" s="45">
        <f t="shared" si="13"/>
        <v>0</v>
      </c>
      <c r="M51" s="7">
        <v>0</v>
      </c>
      <c r="N51" s="7">
        <v>0</v>
      </c>
      <c r="O51" s="7">
        <v>0</v>
      </c>
      <c r="P51" s="234">
        <v>0</v>
      </c>
      <c r="Q51" s="230"/>
    </row>
    <row r="52" spans="1:17" x14ac:dyDescent="0.25">
      <c r="A52" s="5">
        <f t="shared" si="14"/>
        <v>44044</v>
      </c>
      <c r="B52" s="43">
        <v>0</v>
      </c>
      <c r="C52" s="43">
        <v>0</v>
      </c>
      <c r="D52" s="43">
        <v>0</v>
      </c>
      <c r="E52" s="43">
        <v>0</v>
      </c>
      <c r="F52" s="43">
        <v>0</v>
      </c>
      <c r="G52" s="43">
        <v>0</v>
      </c>
      <c r="H52" s="42">
        <f t="shared" si="12"/>
        <v>0</v>
      </c>
      <c r="I52" s="43">
        <v>0</v>
      </c>
      <c r="J52" s="43">
        <v>0</v>
      </c>
      <c r="K52" s="44">
        <v>0</v>
      </c>
      <c r="L52" s="45">
        <f t="shared" si="13"/>
        <v>0</v>
      </c>
      <c r="M52" s="7">
        <v>0</v>
      </c>
      <c r="N52" s="7">
        <v>0</v>
      </c>
      <c r="O52" s="7">
        <v>0</v>
      </c>
      <c r="P52" s="234">
        <v>0</v>
      </c>
      <c r="Q52" s="230"/>
    </row>
    <row r="53" spans="1:17" x14ac:dyDescent="0.25">
      <c r="A53" s="5">
        <f t="shared" si="14"/>
        <v>44075</v>
      </c>
      <c r="B53" s="43">
        <v>0</v>
      </c>
      <c r="C53" s="43">
        <v>0</v>
      </c>
      <c r="D53" s="43">
        <v>0</v>
      </c>
      <c r="E53" s="43">
        <v>0</v>
      </c>
      <c r="F53" s="43">
        <v>0</v>
      </c>
      <c r="G53" s="43">
        <v>0</v>
      </c>
      <c r="H53" s="42">
        <f t="shared" si="12"/>
        <v>0</v>
      </c>
      <c r="I53" s="43">
        <v>0</v>
      </c>
      <c r="J53" s="43">
        <v>0</v>
      </c>
      <c r="K53" s="44">
        <v>0</v>
      </c>
      <c r="L53" s="45">
        <f t="shared" si="13"/>
        <v>0</v>
      </c>
      <c r="M53" s="7">
        <v>0</v>
      </c>
      <c r="N53" s="7">
        <v>0</v>
      </c>
      <c r="O53" s="7">
        <v>0</v>
      </c>
      <c r="P53" s="234">
        <v>0</v>
      </c>
      <c r="Q53" s="230"/>
    </row>
    <row r="54" spans="1:17" x14ac:dyDescent="0.25">
      <c r="A54" s="183" t="s">
        <v>505</v>
      </c>
      <c r="B54" s="42">
        <f t="shared" ref="B54:P54" si="15">SUM(B48:B53)</f>
        <v>0</v>
      </c>
      <c r="C54" s="42">
        <f t="shared" si="15"/>
        <v>0</v>
      </c>
      <c r="D54" s="42">
        <f t="shared" si="15"/>
        <v>0</v>
      </c>
      <c r="E54" s="42">
        <f t="shared" si="15"/>
        <v>0</v>
      </c>
      <c r="F54" s="42">
        <f t="shared" si="15"/>
        <v>0</v>
      </c>
      <c r="G54" s="42">
        <f t="shared" si="15"/>
        <v>0</v>
      </c>
      <c r="H54" s="42">
        <f t="shared" si="15"/>
        <v>0</v>
      </c>
      <c r="I54" s="42">
        <f t="shared" si="15"/>
        <v>0</v>
      </c>
      <c r="J54" s="42">
        <f t="shared" si="15"/>
        <v>0</v>
      </c>
      <c r="K54" s="42">
        <f t="shared" si="15"/>
        <v>0</v>
      </c>
      <c r="L54" s="42">
        <f t="shared" si="15"/>
        <v>0</v>
      </c>
      <c r="M54" s="237">
        <f t="shared" si="15"/>
        <v>0</v>
      </c>
      <c r="N54" s="237">
        <f t="shared" si="15"/>
        <v>0</v>
      </c>
      <c r="O54" s="237">
        <f t="shared" si="15"/>
        <v>0</v>
      </c>
      <c r="P54" s="237">
        <f t="shared" si="15"/>
        <v>0</v>
      </c>
      <c r="Q54" s="231"/>
    </row>
    <row r="55" spans="1:17" x14ac:dyDescent="0.25">
      <c r="A55" s="183" t="s">
        <v>494</v>
      </c>
      <c r="B55" s="42">
        <f t="shared" ref="B55:P55" si="16">AVERAGE(B48:B53)</f>
        <v>0</v>
      </c>
      <c r="C55" s="42">
        <f t="shared" si="16"/>
        <v>0</v>
      </c>
      <c r="D55" s="42">
        <f t="shared" si="16"/>
        <v>0</v>
      </c>
      <c r="E55" s="42">
        <f t="shared" si="16"/>
        <v>0</v>
      </c>
      <c r="F55" s="42">
        <f t="shared" si="16"/>
        <v>0</v>
      </c>
      <c r="G55" s="42">
        <f t="shared" si="16"/>
        <v>0</v>
      </c>
      <c r="H55" s="42">
        <f t="shared" si="16"/>
        <v>0</v>
      </c>
      <c r="I55" s="42">
        <f t="shared" si="16"/>
        <v>0</v>
      </c>
      <c r="J55" s="42">
        <f t="shared" si="16"/>
        <v>0</v>
      </c>
      <c r="K55" s="42">
        <f t="shared" si="16"/>
        <v>0</v>
      </c>
      <c r="L55" s="42">
        <f t="shared" si="16"/>
        <v>0</v>
      </c>
      <c r="M55" s="237">
        <f t="shared" si="16"/>
        <v>0</v>
      </c>
      <c r="N55" s="237">
        <f t="shared" si="16"/>
        <v>0</v>
      </c>
      <c r="O55" s="237">
        <f t="shared" si="16"/>
        <v>0</v>
      </c>
      <c r="P55" s="237">
        <f t="shared" si="16"/>
        <v>0</v>
      </c>
      <c r="Q55" s="232"/>
    </row>
    <row r="56" spans="1:17" ht="38.25" x14ac:dyDescent="0.25">
      <c r="A56" s="40" t="s">
        <v>506</v>
      </c>
      <c r="B56" s="42">
        <f>B55+I55</f>
        <v>0</v>
      </c>
      <c r="C56" s="42">
        <f>C55+I55</f>
        <v>0</v>
      </c>
      <c r="D56" s="42">
        <f>D55+I55</f>
        <v>0</v>
      </c>
      <c r="E56" s="42">
        <f>E55+I55</f>
        <v>0</v>
      </c>
      <c r="F56" s="42">
        <f>F55+I55</f>
        <v>0</v>
      </c>
      <c r="G56" s="42">
        <f>G55+I55</f>
        <v>0</v>
      </c>
      <c r="H56" s="42">
        <f>H55+I55</f>
        <v>0</v>
      </c>
      <c r="I56" s="420"/>
      <c r="J56" s="421"/>
      <c r="K56" s="421"/>
      <c r="L56" s="421"/>
      <c r="M56" s="421"/>
      <c r="N56" s="422"/>
      <c r="O56" s="6" t="s">
        <v>507</v>
      </c>
      <c r="P56" s="235" t="s">
        <v>508</v>
      </c>
      <c r="Q56" s="233"/>
    </row>
    <row r="57" spans="1:17" ht="18.75" x14ac:dyDescent="0.25">
      <c r="A57" s="424" t="s">
        <v>511</v>
      </c>
      <c r="B57" s="424"/>
      <c r="C57" s="424"/>
      <c r="D57" s="424"/>
      <c r="E57" s="424"/>
      <c r="F57" s="424"/>
      <c r="G57" s="424"/>
      <c r="H57" s="424"/>
      <c r="I57" s="424"/>
      <c r="J57" s="424"/>
      <c r="K57" s="424"/>
      <c r="L57" s="424"/>
      <c r="M57" s="424"/>
      <c r="N57" s="424"/>
      <c r="O57" s="424"/>
      <c r="P57" s="424"/>
      <c r="Q57" s="227"/>
    </row>
    <row r="58" spans="1:17" ht="15.75" customHeight="1" x14ac:dyDescent="0.25">
      <c r="A58" s="425" t="s">
        <v>692</v>
      </c>
      <c r="B58" s="426"/>
      <c r="C58" s="427"/>
      <c r="D58" s="428"/>
      <c r="E58" s="430"/>
      <c r="F58" s="4" t="s">
        <v>691</v>
      </c>
      <c r="G58" s="431"/>
      <c r="H58" s="432"/>
      <c r="I58" s="47" t="s">
        <v>693</v>
      </c>
      <c r="J58" s="428"/>
      <c r="K58" s="429"/>
      <c r="L58" s="430"/>
      <c r="M58" s="47" t="s">
        <v>490</v>
      </c>
      <c r="N58" s="416"/>
      <c r="O58" s="417"/>
      <c r="P58" s="418"/>
      <c r="Q58" s="228"/>
    </row>
    <row r="59" spans="1:17" ht="15" customHeight="1" x14ac:dyDescent="0.25">
      <c r="A59" s="444" t="s">
        <v>492</v>
      </c>
      <c r="B59" s="444" t="s">
        <v>493</v>
      </c>
      <c r="C59" s="444"/>
      <c r="D59" s="444"/>
      <c r="E59" s="444"/>
      <c r="F59" s="444"/>
      <c r="G59" s="444"/>
      <c r="H59" s="419" t="s">
        <v>494</v>
      </c>
      <c r="I59" s="419" t="s">
        <v>683</v>
      </c>
      <c r="J59" s="419" t="s">
        <v>495</v>
      </c>
      <c r="K59" s="419" t="s">
        <v>496</v>
      </c>
      <c r="L59" s="419" t="s">
        <v>497</v>
      </c>
      <c r="M59" s="419" t="s">
        <v>498</v>
      </c>
      <c r="N59" s="419" t="s">
        <v>499</v>
      </c>
      <c r="O59" s="419" t="s">
        <v>500</v>
      </c>
      <c r="P59" s="423" t="s">
        <v>501</v>
      </c>
      <c r="Q59" s="229"/>
    </row>
    <row r="60" spans="1:17" x14ac:dyDescent="0.25">
      <c r="A60" s="444"/>
      <c r="B60" s="41">
        <v>5</v>
      </c>
      <c r="C60" s="41">
        <v>10</v>
      </c>
      <c r="D60" s="41">
        <v>15</v>
      </c>
      <c r="E60" s="41">
        <v>20</v>
      </c>
      <c r="F60" s="41">
        <v>25</v>
      </c>
      <c r="G60" s="41">
        <v>30</v>
      </c>
      <c r="H60" s="419"/>
      <c r="I60" s="419"/>
      <c r="J60" s="419"/>
      <c r="K60" s="419"/>
      <c r="L60" s="419"/>
      <c r="M60" s="419"/>
      <c r="N60" s="419"/>
      <c r="O60" s="419"/>
      <c r="P60" s="423"/>
      <c r="Q60" s="229"/>
    </row>
    <row r="61" spans="1:17" x14ac:dyDescent="0.25">
      <c r="A61" s="5">
        <v>43922</v>
      </c>
      <c r="B61" s="43">
        <v>0</v>
      </c>
      <c r="C61" s="43">
        <v>0</v>
      </c>
      <c r="D61" s="43">
        <v>0</v>
      </c>
      <c r="E61" s="43">
        <v>0</v>
      </c>
      <c r="F61" s="43">
        <v>0</v>
      </c>
      <c r="G61" s="43">
        <v>0</v>
      </c>
      <c r="H61" s="42">
        <f t="shared" ref="H61:H66" si="17">AVERAGE(B61:G61)</f>
        <v>0</v>
      </c>
      <c r="I61" s="43">
        <v>0</v>
      </c>
      <c r="J61" s="43">
        <v>0</v>
      </c>
      <c r="K61" s="44">
        <v>0</v>
      </c>
      <c r="L61" s="45">
        <f t="shared" ref="L61:L66" si="18">J61-K61</f>
        <v>0</v>
      </c>
      <c r="M61" s="7">
        <v>0</v>
      </c>
      <c r="N61" s="7">
        <v>0</v>
      </c>
      <c r="O61" s="7">
        <v>0</v>
      </c>
      <c r="P61" s="234">
        <v>0</v>
      </c>
      <c r="Q61" s="230"/>
    </row>
    <row r="62" spans="1:17" x14ac:dyDescent="0.25">
      <c r="A62" s="5">
        <f>EDATE(A61,1)</f>
        <v>43952</v>
      </c>
      <c r="B62" s="43">
        <v>0</v>
      </c>
      <c r="C62" s="43">
        <v>0</v>
      </c>
      <c r="D62" s="43">
        <v>0</v>
      </c>
      <c r="E62" s="43">
        <v>0</v>
      </c>
      <c r="F62" s="43">
        <v>0</v>
      </c>
      <c r="G62" s="43">
        <v>0</v>
      </c>
      <c r="H62" s="42">
        <f t="shared" si="17"/>
        <v>0</v>
      </c>
      <c r="I62" s="43">
        <v>0</v>
      </c>
      <c r="J62" s="43">
        <v>0</v>
      </c>
      <c r="K62" s="44">
        <v>0</v>
      </c>
      <c r="L62" s="45">
        <f t="shared" si="18"/>
        <v>0</v>
      </c>
      <c r="M62" s="7">
        <v>0</v>
      </c>
      <c r="N62" s="7">
        <v>0</v>
      </c>
      <c r="O62" s="7">
        <v>0</v>
      </c>
      <c r="P62" s="234">
        <v>0</v>
      </c>
      <c r="Q62" s="230"/>
    </row>
    <row r="63" spans="1:17" x14ac:dyDescent="0.25">
      <c r="A63" s="5">
        <f t="shared" ref="A63:A66" si="19">EDATE(A62,1)</f>
        <v>43983</v>
      </c>
      <c r="B63" s="43">
        <v>0</v>
      </c>
      <c r="C63" s="43">
        <v>0</v>
      </c>
      <c r="D63" s="43">
        <v>0</v>
      </c>
      <c r="E63" s="43">
        <v>0</v>
      </c>
      <c r="F63" s="43">
        <v>0</v>
      </c>
      <c r="G63" s="43">
        <v>0</v>
      </c>
      <c r="H63" s="42">
        <f t="shared" si="17"/>
        <v>0</v>
      </c>
      <c r="I63" s="43">
        <v>0</v>
      </c>
      <c r="J63" s="43">
        <v>0</v>
      </c>
      <c r="K63" s="44">
        <v>0</v>
      </c>
      <c r="L63" s="45">
        <f t="shared" si="18"/>
        <v>0</v>
      </c>
      <c r="M63" s="7">
        <v>0</v>
      </c>
      <c r="N63" s="7">
        <v>0</v>
      </c>
      <c r="O63" s="7">
        <v>0</v>
      </c>
      <c r="P63" s="234">
        <v>0</v>
      </c>
      <c r="Q63" s="230"/>
    </row>
    <row r="64" spans="1:17" x14ac:dyDescent="0.25">
      <c r="A64" s="5">
        <f t="shared" si="19"/>
        <v>44013</v>
      </c>
      <c r="B64" s="43">
        <v>0</v>
      </c>
      <c r="C64" s="43">
        <v>0</v>
      </c>
      <c r="D64" s="43">
        <v>0</v>
      </c>
      <c r="E64" s="43">
        <v>0</v>
      </c>
      <c r="F64" s="43">
        <v>0</v>
      </c>
      <c r="G64" s="43">
        <v>0</v>
      </c>
      <c r="H64" s="42">
        <f t="shared" si="17"/>
        <v>0</v>
      </c>
      <c r="I64" s="43">
        <v>0</v>
      </c>
      <c r="J64" s="43">
        <v>0</v>
      </c>
      <c r="K64" s="44">
        <v>0</v>
      </c>
      <c r="L64" s="45">
        <f t="shared" si="18"/>
        <v>0</v>
      </c>
      <c r="M64" s="7">
        <v>0</v>
      </c>
      <c r="N64" s="7">
        <v>0</v>
      </c>
      <c r="O64" s="7">
        <v>0</v>
      </c>
      <c r="P64" s="234">
        <v>0</v>
      </c>
      <c r="Q64" s="230"/>
    </row>
    <row r="65" spans="1:17" x14ac:dyDescent="0.25">
      <c r="A65" s="5">
        <f t="shared" si="19"/>
        <v>44044</v>
      </c>
      <c r="B65" s="43">
        <v>0</v>
      </c>
      <c r="C65" s="43">
        <v>0</v>
      </c>
      <c r="D65" s="43">
        <v>0</v>
      </c>
      <c r="E65" s="43">
        <v>0</v>
      </c>
      <c r="F65" s="43">
        <v>0</v>
      </c>
      <c r="G65" s="43">
        <v>0</v>
      </c>
      <c r="H65" s="42">
        <f t="shared" si="17"/>
        <v>0</v>
      </c>
      <c r="I65" s="43">
        <v>0</v>
      </c>
      <c r="J65" s="43">
        <v>0</v>
      </c>
      <c r="K65" s="44">
        <v>0</v>
      </c>
      <c r="L65" s="45">
        <f t="shared" si="18"/>
        <v>0</v>
      </c>
      <c r="M65" s="7">
        <v>0</v>
      </c>
      <c r="N65" s="7">
        <v>0</v>
      </c>
      <c r="O65" s="7">
        <v>0</v>
      </c>
      <c r="P65" s="234">
        <v>0</v>
      </c>
      <c r="Q65" s="230"/>
    </row>
    <row r="66" spans="1:17" x14ac:dyDescent="0.25">
      <c r="A66" s="5">
        <f t="shared" si="19"/>
        <v>44075</v>
      </c>
      <c r="B66" s="43">
        <v>0</v>
      </c>
      <c r="C66" s="43">
        <v>0</v>
      </c>
      <c r="D66" s="43">
        <v>0</v>
      </c>
      <c r="E66" s="43">
        <v>0</v>
      </c>
      <c r="F66" s="43">
        <v>0</v>
      </c>
      <c r="G66" s="43">
        <v>0</v>
      </c>
      <c r="H66" s="42">
        <f t="shared" si="17"/>
        <v>0</v>
      </c>
      <c r="I66" s="43">
        <v>0</v>
      </c>
      <c r="J66" s="43">
        <v>0</v>
      </c>
      <c r="K66" s="44">
        <v>0</v>
      </c>
      <c r="L66" s="45">
        <f t="shared" si="18"/>
        <v>0</v>
      </c>
      <c r="M66" s="7">
        <v>0</v>
      </c>
      <c r="N66" s="7">
        <v>0</v>
      </c>
      <c r="O66" s="7">
        <v>0</v>
      </c>
      <c r="P66" s="234">
        <v>0</v>
      </c>
      <c r="Q66" s="230"/>
    </row>
    <row r="67" spans="1:17" x14ac:dyDescent="0.25">
      <c r="A67" s="183" t="s">
        <v>505</v>
      </c>
      <c r="B67" s="42">
        <f t="shared" ref="B67:P67" si="20">SUM(B61:B66)</f>
        <v>0</v>
      </c>
      <c r="C67" s="42">
        <f t="shared" si="20"/>
        <v>0</v>
      </c>
      <c r="D67" s="42">
        <f t="shared" si="20"/>
        <v>0</v>
      </c>
      <c r="E67" s="42">
        <f t="shared" si="20"/>
        <v>0</v>
      </c>
      <c r="F67" s="42">
        <f t="shared" si="20"/>
        <v>0</v>
      </c>
      <c r="G67" s="42">
        <f t="shared" si="20"/>
        <v>0</v>
      </c>
      <c r="H67" s="42">
        <f t="shared" si="20"/>
        <v>0</v>
      </c>
      <c r="I67" s="42">
        <f t="shared" si="20"/>
        <v>0</v>
      </c>
      <c r="J67" s="42">
        <f t="shared" si="20"/>
        <v>0</v>
      </c>
      <c r="K67" s="42">
        <f t="shared" si="20"/>
        <v>0</v>
      </c>
      <c r="L67" s="42">
        <f t="shared" si="20"/>
        <v>0</v>
      </c>
      <c r="M67" s="237">
        <f t="shared" si="20"/>
        <v>0</v>
      </c>
      <c r="N67" s="237">
        <f t="shared" si="20"/>
        <v>0</v>
      </c>
      <c r="O67" s="237">
        <f t="shared" si="20"/>
        <v>0</v>
      </c>
      <c r="P67" s="237">
        <f t="shared" si="20"/>
        <v>0</v>
      </c>
      <c r="Q67" s="231"/>
    </row>
    <row r="68" spans="1:17" x14ac:dyDescent="0.25">
      <c r="A68" s="183" t="s">
        <v>494</v>
      </c>
      <c r="B68" s="42">
        <f t="shared" ref="B68:P68" si="21">AVERAGE(B61:B66)</f>
        <v>0</v>
      </c>
      <c r="C68" s="42">
        <f t="shared" si="21"/>
        <v>0</v>
      </c>
      <c r="D68" s="42">
        <f t="shared" si="21"/>
        <v>0</v>
      </c>
      <c r="E68" s="42">
        <f t="shared" si="21"/>
        <v>0</v>
      </c>
      <c r="F68" s="42">
        <f t="shared" si="21"/>
        <v>0</v>
      </c>
      <c r="G68" s="42">
        <f t="shared" si="21"/>
        <v>0</v>
      </c>
      <c r="H68" s="42">
        <f t="shared" si="21"/>
        <v>0</v>
      </c>
      <c r="I68" s="42">
        <f t="shared" si="21"/>
        <v>0</v>
      </c>
      <c r="J68" s="42">
        <f t="shared" si="21"/>
        <v>0</v>
      </c>
      <c r="K68" s="42">
        <f t="shared" si="21"/>
        <v>0</v>
      </c>
      <c r="L68" s="42">
        <f t="shared" si="21"/>
        <v>0</v>
      </c>
      <c r="M68" s="237">
        <f t="shared" si="21"/>
        <v>0</v>
      </c>
      <c r="N68" s="237">
        <f t="shared" si="21"/>
        <v>0</v>
      </c>
      <c r="O68" s="237">
        <f t="shared" si="21"/>
        <v>0</v>
      </c>
      <c r="P68" s="237">
        <f t="shared" si="21"/>
        <v>0</v>
      </c>
      <c r="Q68" s="232"/>
    </row>
    <row r="69" spans="1:17" ht="38.25" x14ac:dyDescent="0.25">
      <c r="A69" s="40" t="s">
        <v>506</v>
      </c>
      <c r="B69" s="42">
        <f>B68+I68</f>
        <v>0</v>
      </c>
      <c r="C69" s="42">
        <f>C68+I68</f>
        <v>0</v>
      </c>
      <c r="D69" s="42">
        <f>D68+I68</f>
        <v>0</v>
      </c>
      <c r="E69" s="42">
        <f>E68+I68</f>
        <v>0</v>
      </c>
      <c r="F69" s="42">
        <f>F68+I68</f>
        <v>0</v>
      </c>
      <c r="G69" s="42">
        <f>G68+I68</f>
        <v>0</v>
      </c>
      <c r="H69" s="42">
        <f>H68+I68</f>
        <v>0</v>
      </c>
      <c r="I69" s="420"/>
      <c r="J69" s="421"/>
      <c r="K69" s="421"/>
      <c r="L69" s="421"/>
      <c r="M69" s="421"/>
      <c r="N69" s="422"/>
      <c r="O69" s="6" t="s">
        <v>507</v>
      </c>
      <c r="P69" s="235" t="s">
        <v>508</v>
      </c>
      <c r="Q69" s="233"/>
    </row>
    <row r="70" spans="1:17" ht="18.75" x14ac:dyDescent="0.25">
      <c r="A70" s="424" t="s">
        <v>512</v>
      </c>
      <c r="B70" s="424"/>
      <c r="C70" s="424"/>
      <c r="D70" s="424"/>
      <c r="E70" s="424"/>
      <c r="F70" s="424"/>
      <c r="G70" s="424"/>
      <c r="H70" s="424"/>
      <c r="I70" s="424"/>
      <c r="J70" s="424"/>
      <c r="K70" s="424"/>
      <c r="L70" s="424"/>
      <c r="M70" s="424"/>
      <c r="N70" s="424"/>
      <c r="O70" s="424"/>
      <c r="P70" s="424"/>
      <c r="Q70" s="227"/>
    </row>
    <row r="71" spans="1:17" ht="15.75" customHeight="1" x14ac:dyDescent="0.25">
      <c r="A71" s="425" t="s">
        <v>692</v>
      </c>
      <c r="B71" s="426"/>
      <c r="C71" s="427"/>
      <c r="D71" s="428"/>
      <c r="E71" s="430"/>
      <c r="F71" s="4" t="s">
        <v>691</v>
      </c>
      <c r="G71" s="431"/>
      <c r="H71" s="432"/>
      <c r="I71" s="47" t="s">
        <v>693</v>
      </c>
      <c r="J71" s="428"/>
      <c r="K71" s="429"/>
      <c r="L71" s="430"/>
      <c r="M71" s="47" t="s">
        <v>490</v>
      </c>
      <c r="N71" s="416"/>
      <c r="O71" s="417"/>
      <c r="P71" s="418"/>
      <c r="Q71" s="228"/>
    </row>
    <row r="72" spans="1:17" ht="15" customHeight="1" x14ac:dyDescent="0.25">
      <c r="A72" s="444" t="s">
        <v>492</v>
      </c>
      <c r="B72" s="444" t="s">
        <v>493</v>
      </c>
      <c r="C72" s="444"/>
      <c r="D72" s="444"/>
      <c r="E72" s="444"/>
      <c r="F72" s="444"/>
      <c r="G72" s="444"/>
      <c r="H72" s="419" t="s">
        <v>494</v>
      </c>
      <c r="I72" s="419" t="s">
        <v>683</v>
      </c>
      <c r="J72" s="419" t="s">
        <v>495</v>
      </c>
      <c r="K72" s="419" t="s">
        <v>496</v>
      </c>
      <c r="L72" s="419" t="s">
        <v>497</v>
      </c>
      <c r="M72" s="419" t="s">
        <v>498</v>
      </c>
      <c r="N72" s="419" t="s">
        <v>499</v>
      </c>
      <c r="O72" s="419" t="s">
        <v>500</v>
      </c>
      <c r="P72" s="423" t="s">
        <v>501</v>
      </c>
      <c r="Q72" s="229"/>
    </row>
    <row r="73" spans="1:17" x14ac:dyDescent="0.25">
      <c r="A73" s="444"/>
      <c r="B73" s="41">
        <v>5</v>
      </c>
      <c r="C73" s="41">
        <v>10</v>
      </c>
      <c r="D73" s="41">
        <v>15</v>
      </c>
      <c r="E73" s="41">
        <v>20</v>
      </c>
      <c r="F73" s="41">
        <v>25</v>
      </c>
      <c r="G73" s="41">
        <v>30</v>
      </c>
      <c r="H73" s="419"/>
      <c r="I73" s="419"/>
      <c r="J73" s="419"/>
      <c r="K73" s="419"/>
      <c r="L73" s="419"/>
      <c r="M73" s="419"/>
      <c r="N73" s="419"/>
      <c r="O73" s="419"/>
      <c r="P73" s="423"/>
      <c r="Q73" s="229"/>
    </row>
    <row r="74" spans="1:17" x14ac:dyDescent="0.25">
      <c r="A74" s="5">
        <v>43922</v>
      </c>
      <c r="B74" s="43">
        <v>0</v>
      </c>
      <c r="C74" s="43">
        <v>0</v>
      </c>
      <c r="D74" s="43">
        <v>0</v>
      </c>
      <c r="E74" s="43">
        <v>0</v>
      </c>
      <c r="F74" s="43">
        <v>0</v>
      </c>
      <c r="G74" s="43">
        <v>0</v>
      </c>
      <c r="H74" s="42">
        <f t="shared" ref="H74:H79" si="22">AVERAGE(B74:G74)</f>
        <v>0</v>
      </c>
      <c r="I74" s="43">
        <v>0</v>
      </c>
      <c r="J74" s="43">
        <v>0</v>
      </c>
      <c r="K74" s="44">
        <v>0</v>
      </c>
      <c r="L74" s="45">
        <f t="shared" ref="L74:L79" si="23">J74-K74</f>
        <v>0</v>
      </c>
      <c r="M74" s="7">
        <v>0</v>
      </c>
      <c r="N74" s="7">
        <v>0</v>
      </c>
      <c r="O74" s="7">
        <v>0</v>
      </c>
      <c r="P74" s="234">
        <v>0</v>
      </c>
      <c r="Q74" s="230"/>
    </row>
    <row r="75" spans="1:17" x14ac:dyDescent="0.25">
      <c r="A75" s="5">
        <f>EDATE(A74,1)</f>
        <v>43952</v>
      </c>
      <c r="B75" s="43">
        <v>0</v>
      </c>
      <c r="C75" s="43">
        <v>0</v>
      </c>
      <c r="D75" s="43">
        <v>0</v>
      </c>
      <c r="E75" s="43">
        <v>0</v>
      </c>
      <c r="F75" s="43">
        <v>0</v>
      </c>
      <c r="G75" s="43">
        <v>0</v>
      </c>
      <c r="H75" s="42">
        <f t="shared" si="22"/>
        <v>0</v>
      </c>
      <c r="I75" s="43">
        <v>0</v>
      </c>
      <c r="J75" s="43">
        <v>0</v>
      </c>
      <c r="K75" s="44">
        <v>0</v>
      </c>
      <c r="L75" s="45">
        <f t="shared" si="23"/>
        <v>0</v>
      </c>
      <c r="M75" s="7">
        <v>0</v>
      </c>
      <c r="N75" s="7">
        <v>0</v>
      </c>
      <c r="O75" s="7">
        <v>0</v>
      </c>
      <c r="P75" s="234">
        <v>0</v>
      </c>
      <c r="Q75" s="230"/>
    </row>
    <row r="76" spans="1:17" x14ac:dyDescent="0.25">
      <c r="A76" s="5">
        <f t="shared" ref="A76:A79" si="24">EDATE(A75,1)</f>
        <v>43983</v>
      </c>
      <c r="B76" s="43">
        <v>0</v>
      </c>
      <c r="C76" s="43">
        <v>0</v>
      </c>
      <c r="D76" s="43">
        <v>0</v>
      </c>
      <c r="E76" s="43">
        <v>0</v>
      </c>
      <c r="F76" s="43">
        <v>0</v>
      </c>
      <c r="G76" s="43">
        <v>0</v>
      </c>
      <c r="H76" s="42">
        <f t="shared" si="22"/>
        <v>0</v>
      </c>
      <c r="I76" s="43">
        <v>0</v>
      </c>
      <c r="J76" s="43">
        <v>0</v>
      </c>
      <c r="K76" s="44">
        <v>0</v>
      </c>
      <c r="L76" s="45">
        <f t="shared" si="23"/>
        <v>0</v>
      </c>
      <c r="M76" s="7">
        <v>0</v>
      </c>
      <c r="N76" s="7">
        <v>0</v>
      </c>
      <c r="O76" s="7">
        <v>0</v>
      </c>
      <c r="P76" s="234">
        <v>0</v>
      </c>
      <c r="Q76" s="230"/>
    </row>
    <row r="77" spans="1:17" x14ac:dyDescent="0.25">
      <c r="A77" s="5">
        <f t="shared" si="24"/>
        <v>44013</v>
      </c>
      <c r="B77" s="43">
        <v>0</v>
      </c>
      <c r="C77" s="43">
        <v>0</v>
      </c>
      <c r="D77" s="43">
        <v>0</v>
      </c>
      <c r="E77" s="43">
        <v>0</v>
      </c>
      <c r="F77" s="43">
        <v>0</v>
      </c>
      <c r="G77" s="43">
        <v>0</v>
      </c>
      <c r="H77" s="42">
        <f t="shared" si="22"/>
        <v>0</v>
      </c>
      <c r="I77" s="43">
        <v>0</v>
      </c>
      <c r="J77" s="43">
        <v>0</v>
      </c>
      <c r="K77" s="44">
        <v>0</v>
      </c>
      <c r="L77" s="45">
        <f t="shared" si="23"/>
        <v>0</v>
      </c>
      <c r="M77" s="7">
        <v>0</v>
      </c>
      <c r="N77" s="7">
        <v>0</v>
      </c>
      <c r="O77" s="7">
        <v>0</v>
      </c>
      <c r="P77" s="234">
        <v>0</v>
      </c>
      <c r="Q77" s="230"/>
    </row>
    <row r="78" spans="1:17" x14ac:dyDescent="0.25">
      <c r="A78" s="5">
        <f t="shared" si="24"/>
        <v>44044</v>
      </c>
      <c r="B78" s="43">
        <v>0</v>
      </c>
      <c r="C78" s="43">
        <v>0</v>
      </c>
      <c r="D78" s="43">
        <v>0</v>
      </c>
      <c r="E78" s="43">
        <v>0</v>
      </c>
      <c r="F78" s="43">
        <v>0</v>
      </c>
      <c r="G78" s="43">
        <v>0</v>
      </c>
      <c r="H78" s="42">
        <f t="shared" si="22"/>
        <v>0</v>
      </c>
      <c r="I78" s="43">
        <v>0</v>
      </c>
      <c r="J78" s="43">
        <v>0</v>
      </c>
      <c r="K78" s="44">
        <v>0</v>
      </c>
      <c r="L78" s="45">
        <f t="shared" si="23"/>
        <v>0</v>
      </c>
      <c r="M78" s="7">
        <v>0</v>
      </c>
      <c r="N78" s="7">
        <v>0</v>
      </c>
      <c r="O78" s="7">
        <v>0</v>
      </c>
      <c r="P78" s="234">
        <v>0</v>
      </c>
      <c r="Q78" s="230"/>
    </row>
    <row r="79" spans="1:17" x14ac:dyDescent="0.25">
      <c r="A79" s="5">
        <f t="shared" si="24"/>
        <v>44075</v>
      </c>
      <c r="B79" s="43">
        <v>0</v>
      </c>
      <c r="C79" s="43">
        <v>0</v>
      </c>
      <c r="D79" s="43">
        <v>0</v>
      </c>
      <c r="E79" s="43">
        <v>0</v>
      </c>
      <c r="F79" s="43">
        <v>0</v>
      </c>
      <c r="G79" s="43">
        <v>0</v>
      </c>
      <c r="H79" s="42">
        <f t="shared" si="22"/>
        <v>0</v>
      </c>
      <c r="I79" s="43">
        <v>0</v>
      </c>
      <c r="J79" s="43">
        <v>0</v>
      </c>
      <c r="K79" s="44">
        <v>0</v>
      </c>
      <c r="L79" s="45">
        <f t="shared" si="23"/>
        <v>0</v>
      </c>
      <c r="M79" s="7">
        <v>0</v>
      </c>
      <c r="N79" s="7">
        <v>0</v>
      </c>
      <c r="O79" s="7">
        <v>0</v>
      </c>
      <c r="P79" s="234">
        <v>0</v>
      </c>
      <c r="Q79" s="230"/>
    </row>
    <row r="80" spans="1:17" ht="18" customHeight="1" x14ac:dyDescent="0.25">
      <c r="A80" s="183" t="s">
        <v>505</v>
      </c>
      <c r="B80" s="42">
        <f t="shared" ref="B80:P80" si="25">SUM(B74:B79)</f>
        <v>0</v>
      </c>
      <c r="C80" s="42">
        <f t="shared" si="25"/>
        <v>0</v>
      </c>
      <c r="D80" s="42">
        <f t="shared" si="25"/>
        <v>0</v>
      </c>
      <c r="E80" s="42">
        <f t="shared" si="25"/>
        <v>0</v>
      </c>
      <c r="F80" s="42">
        <f t="shared" si="25"/>
        <v>0</v>
      </c>
      <c r="G80" s="42">
        <f t="shared" si="25"/>
        <v>0</v>
      </c>
      <c r="H80" s="42">
        <f t="shared" si="25"/>
        <v>0</v>
      </c>
      <c r="I80" s="42">
        <f t="shared" si="25"/>
        <v>0</v>
      </c>
      <c r="J80" s="42">
        <f t="shared" si="25"/>
        <v>0</v>
      </c>
      <c r="K80" s="42">
        <f t="shared" si="25"/>
        <v>0</v>
      </c>
      <c r="L80" s="42">
        <f t="shared" si="25"/>
        <v>0</v>
      </c>
      <c r="M80" s="237">
        <f t="shared" si="25"/>
        <v>0</v>
      </c>
      <c r="N80" s="237">
        <f t="shared" si="25"/>
        <v>0</v>
      </c>
      <c r="O80" s="237">
        <f t="shared" si="25"/>
        <v>0</v>
      </c>
      <c r="P80" s="237">
        <f t="shared" si="25"/>
        <v>0</v>
      </c>
      <c r="Q80" s="231"/>
    </row>
    <row r="81" spans="1:17" ht="25.5" customHeight="1" x14ac:dyDescent="0.25">
      <c r="A81" s="183" t="s">
        <v>494</v>
      </c>
      <c r="B81" s="42">
        <f t="shared" ref="B81:P81" si="26">AVERAGE(B74:B79)</f>
        <v>0</v>
      </c>
      <c r="C81" s="42">
        <f t="shared" si="26"/>
        <v>0</v>
      </c>
      <c r="D81" s="42">
        <f t="shared" si="26"/>
        <v>0</v>
      </c>
      <c r="E81" s="42">
        <f t="shared" si="26"/>
        <v>0</v>
      </c>
      <c r="F81" s="42">
        <f t="shared" si="26"/>
        <v>0</v>
      </c>
      <c r="G81" s="42">
        <f t="shared" si="26"/>
        <v>0</v>
      </c>
      <c r="H81" s="42">
        <f t="shared" si="26"/>
        <v>0</v>
      </c>
      <c r="I81" s="42">
        <f t="shared" si="26"/>
        <v>0</v>
      </c>
      <c r="J81" s="42">
        <f t="shared" si="26"/>
        <v>0</v>
      </c>
      <c r="K81" s="42">
        <f t="shared" si="26"/>
        <v>0</v>
      </c>
      <c r="L81" s="42">
        <f t="shared" si="26"/>
        <v>0</v>
      </c>
      <c r="M81" s="237">
        <f t="shared" si="26"/>
        <v>0</v>
      </c>
      <c r="N81" s="237">
        <f t="shared" si="26"/>
        <v>0</v>
      </c>
      <c r="O81" s="237">
        <f t="shared" si="26"/>
        <v>0</v>
      </c>
      <c r="P81" s="237">
        <f t="shared" si="26"/>
        <v>0</v>
      </c>
      <c r="Q81" s="232"/>
    </row>
    <row r="82" spans="1:17" ht="24.75" customHeight="1" x14ac:dyDescent="0.25">
      <c r="A82" s="40" t="s">
        <v>506</v>
      </c>
      <c r="B82" s="42">
        <f>B81+I81</f>
        <v>0</v>
      </c>
      <c r="C82" s="42">
        <f>C81+I81</f>
        <v>0</v>
      </c>
      <c r="D82" s="42">
        <f>D81+I81</f>
        <v>0</v>
      </c>
      <c r="E82" s="42">
        <f>E81+I81</f>
        <v>0</v>
      </c>
      <c r="F82" s="42">
        <f>F81+I81</f>
        <v>0</v>
      </c>
      <c r="G82" s="42">
        <f>G81+I81</f>
        <v>0</v>
      </c>
      <c r="H82" s="42">
        <f>H81+I81</f>
        <v>0</v>
      </c>
      <c r="I82" s="420"/>
      <c r="J82" s="421"/>
      <c r="K82" s="421"/>
      <c r="L82" s="421"/>
      <c r="M82" s="421"/>
      <c r="N82" s="422"/>
      <c r="O82" s="6" t="s">
        <v>507</v>
      </c>
      <c r="P82" s="235" t="s">
        <v>508</v>
      </c>
      <c r="Q82" s="233"/>
    </row>
    <row r="85" spans="1:17" x14ac:dyDescent="0.25"/>
    <row r="86" spans="1:17" x14ac:dyDescent="0.25"/>
    <row r="87" spans="1:17" x14ac:dyDescent="0.25"/>
    <row r="88" spans="1:17" x14ac:dyDescent="0.25"/>
    <row r="89" spans="1:17" x14ac:dyDescent="0.25"/>
    <row r="90" spans="1:17" x14ac:dyDescent="0.25"/>
    <row r="91" spans="1:17" x14ac:dyDescent="0.25"/>
    <row r="92" spans="1:17" x14ac:dyDescent="0.25"/>
    <row r="93" spans="1:17" x14ac:dyDescent="0.25"/>
    <row r="94" spans="1:17" x14ac:dyDescent="0.25"/>
    <row r="95" spans="1:17" x14ac:dyDescent="0.25"/>
    <row r="96" spans="1:17" x14ac:dyDescent="0.25"/>
    <row r="97" x14ac:dyDescent="0.25"/>
    <row r="98" x14ac:dyDescent="0.25"/>
    <row r="99" x14ac:dyDescent="0.25"/>
  </sheetData>
  <sheetProtection algorithmName="SHA-512" hashValue="1rkAknTGFk1v41p1etYucl0/ESDPBLaG8z27ZZzdOm7vhNY8+ntBx0NLWeOU4+GvjZSXpP+HL1DglOLGfCi3/A==" saltValue="2lNV5LYNWkXKcGHnVrgYTw==" spinCount="100000" sheet="1" objects="1" scenarios="1"/>
  <mergeCells count="131">
    <mergeCell ref="A31:P31"/>
    <mergeCell ref="A8:C8"/>
    <mergeCell ref="A10:C10"/>
    <mergeCell ref="A11:C11"/>
    <mergeCell ref="A13:C13"/>
    <mergeCell ref="N33:N34"/>
    <mergeCell ref="O33:O34"/>
    <mergeCell ref="A18:P18"/>
    <mergeCell ref="A20:A21"/>
    <mergeCell ref="B20:G20"/>
    <mergeCell ref="H20:H21"/>
    <mergeCell ref="J20:J21"/>
    <mergeCell ref="K20:K21"/>
    <mergeCell ref="L20:L21"/>
    <mergeCell ref="A33:A34"/>
    <mergeCell ref="B33:G33"/>
    <mergeCell ref="H33:H34"/>
    <mergeCell ref="J33:J34"/>
    <mergeCell ref="K33:K34"/>
    <mergeCell ref="D19:E19"/>
    <mergeCell ref="G19:H19"/>
    <mergeCell ref="D32:E32"/>
    <mergeCell ref="G32:H32"/>
    <mergeCell ref="D10:P10"/>
    <mergeCell ref="N58:P58"/>
    <mergeCell ref="I59:I60"/>
    <mergeCell ref="I69:N69"/>
    <mergeCell ref="N71:P71"/>
    <mergeCell ref="M72:M73"/>
    <mergeCell ref="N72:N73"/>
    <mergeCell ref="A57:P57"/>
    <mergeCell ref="A46:A47"/>
    <mergeCell ref="B46:G46"/>
    <mergeCell ref="H46:H47"/>
    <mergeCell ref="J46:J47"/>
    <mergeCell ref="K46:K47"/>
    <mergeCell ref="L46:L47"/>
    <mergeCell ref="M46:M47"/>
    <mergeCell ref="N46:N47"/>
    <mergeCell ref="O46:O47"/>
    <mergeCell ref="P46:P47"/>
    <mergeCell ref="I56:N56"/>
    <mergeCell ref="D58:E58"/>
    <mergeCell ref="G58:H58"/>
    <mergeCell ref="D71:E71"/>
    <mergeCell ref="G71:H71"/>
    <mergeCell ref="A58:C58"/>
    <mergeCell ref="J58:L58"/>
    <mergeCell ref="I82:N82"/>
    <mergeCell ref="A70:P70"/>
    <mergeCell ref="A59:A60"/>
    <mergeCell ref="B59:G59"/>
    <mergeCell ref="H59:H60"/>
    <mergeCell ref="J59:J60"/>
    <mergeCell ref="K59:K60"/>
    <mergeCell ref="L59:L60"/>
    <mergeCell ref="M59:M60"/>
    <mergeCell ref="N59:N60"/>
    <mergeCell ref="O59:O60"/>
    <mergeCell ref="P59:P60"/>
    <mergeCell ref="O72:O73"/>
    <mergeCell ref="P72:P73"/>
    <mergeCell ref="A72:A73"/>
    <mergeCell ref="B72:G72"/>
    <mergeCell ref="H72:H73"/>
    <mergeCell ref="J72:J73"/>
    <mergeCell ref="K72:K73"/>
    <mergeCell ref="L72:L73"/>
    <mergeCell ref="I72:I73"/>
    <mergeCell ref="A71:C71"/>
    <mergeCell ref="J71:L71"/>
    <mergeCell ref="D11:P11"/>
    <mergeCell ref="D13:P13"/>
    <mergeCell ref="A1:P1"/>
    <mergeCell ref="D2:P2"/>
    <mergeCell ref="D3:P3"/>
    <mergeCell ref="D4:P4"/>
    <mergeCell ref="D5:P5"/>
    <mergeCell ref="D6:P6"/>
    <mergeCell ref="D7:P7"/>
    <mergeCell ref="A9:C9"/>
    <mergeCell ref="D8:P8"/>
    <mergeCell ref="D9:P9"/>
    <mergeCell ref="A2:C2"/>
    <mergeCell ref="A3:C3"/>
    <mergeCell ref="A4:C4"/>
    <mergeCell ref="A5:C5"/>
    <mergeCell ref="A6:C6"/>
    <mergeCell ref="A7:C7"/>
    <mergeCell ref="A12:C12"/>
    <mergeCell ref="D12:P12"/>
    <mergeCell ref="N19:P19"/>
    <mergeCell ref="N32:P32"/>
    <mergeCell ref="I33:I34"/>
    <mergeCell ref="I43:N43"/>
    <mergeCell ref="N45:P45"/>
    <mergeCell ref="I46:I47"/>
    <mergeCell ref="L33:L34"/>
    <mergeCell ref="M33:M34"/>
    <mergeCell ref="O20:O21"/>
    <mergeCell ref="P20:P21"/>
    <mergeCell ref="M20:M21"/>
    <mergeCell ref="N20:N21"/>
    <mergeCell ref="A44:P44"/>
    <mergeCell ref="P33:P34"/>
    <mergeCell ref="I20:I21"/>
    <mergeCell ref="I30:N30"/>
    <mergeCell ref="A19:C19"/>
    <mergeCell ref="J19:L19"/>
    <mergeCell ref="D45:E45"/>
    <mergeCell ref="G45:H45"/>
    <mergeCell ref="A32:C32"/>
    <mergeCell ref="J32:L32"/>
    <mergeCell ref="A45:C45"/>
    <mergeCell ref="J45:L45"/>
    <mergeCell ref="A17:F17"/>
    <mergeCell ref="G17:I17"/>
    <mergeCell ref="J17:L17"/>
    <mergeCell ref="M14:P14"/>
    <mergeCell ref="M15:P15"/>
    <mergeCell ref="M16:P16"/>
    <mergeCell ref="M17:P17"/>
    <mergeCell ref="A14:F14"/>
    <mergeCell ref="G14:I14"/>
    <mergeCell ref="J14:L14"/>
    <mergeCell ref="A15:F15"/>
    <mergeCell ref="G15:I15"/>
    <mergeCell ref="J15:L15"/>
    <mergeCell ref="A16:F16"/>
    <mergeCell ref="G16:I16"/>
    <mergeCell ref="J16:L16"/>
  </mergeCells>
  <dataValidations count="4">
    <dataValidation operator="greaterThanOrEqual" showInputMessage="1" showErrorMessage="1" sqref="D3:Q3" xr:uid="{00000000-0002-0000-0400-000000000000}"/>
    <dataValidation type="whole" allowBlank="1" showInputMessage="1" showErrorMessage="1" sqref="D4" xr:uid="{00000000-0002-0000-0400-000001000000}">
      <formula1>12</formula1>
      <formula2>60</formula2>
    </dataValidation>
    <dataValidation type="list" allowBlank="1" showInputMessage="1" showErrorMessage="1" sqref="N19:Q19 N71:Q71 N45:Q45 N32:Q32 N58:Q58" xr:uid="{00000000-0002-0000-0400-000002000000}">
      <formula1>$V$7:$V$18</formula1>
    </dataValidation>
    <dataValidation type="whole" allowBlank="1" showInputMessage="1" showErrorMessage="1" errorTitle="Max. Loan Amount" error="Max. Amount = 30L ONLY" promptTitle="Max. loan Amount" prompt="ABB - 50 L" sqref="D2:P2" xr:uid="{00000000-0002-0000-0400-000003000000}">
      <formula1>100000</formula1>
      <formula2>3000000</formula2>
    </dataValidation>
  </dataValidations>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1:T321"/>
  <sheetViews>
    <sheetView zoomScale="90" zoomScaleNormal="90" workbookViewId="0">
      <selection activeCell="N10" sqref="N10:P10"/>
    </sheetView>
  </sheetViews>
  <sheetFormatPr defaultColWidth="0" defaultRowHeight="15" zeroHeight="1" x14ac:dyDescent="0.25"/>
  <cols>
    <col min="1" max="1" width="9.140625" style="13" customWidth="1"/>
    <col min="2" max="5" width="8.85546875" style="13" customWidth="1"/>
    <col min="6" max="6" width="11.28515625" style="13" customWidth="1"/>
    <col min="7" max="7" width="9.140625" style="13" customWidth="1"/>
    <col min="8" max="12" width="18" style="13" customWidth="1"/>
    <col min="13" max="14" width="11.7109375" style="13" customWidth="1"/>
    <col min="15" max="15" width="11.140625" style="13" customWidth="1"/>
    <col min="16" max="16" width="9.140625" style="13" customWidth="1"/>
    <col min="17" max="17" width="0.85546875" style="13" customWidth="1"/>
    <col min="18" max="19" width="9.140625" style="13" hidden="1" customWidth="1"/>
    <col min="20" max="20" width="10.7109375" style="13" hidden="1" customWidth="1"/>
    <col min="21" max="16384" width="9.140625" style="13" hidden="1"/>
  </cols>
  <sheetData>
    <row r="1" spans="1:20" ht="20.25" x14ac:dyDescent="0.3">
      <c r="A1" s="439" t="s">
        <v>524</v>
      </c>
      <c r="B1" s="439"/>
      <c r="C1" s="439"/>
      <c r="D1" s="439"/>
      <c r="E1" s="439"/>
      <c r="F1" s="439"/>
      <c r="G1" s="439"/>
      <c r="H1" s="439"/>
      <c r="I1" s="439"/>
      <c r="J1" s="439"/>
      <c r="K1" s="439"/>
      <c r="L1" s="439"/>
      <c r="M1" s="439"/>
      <c r="N1" s="439"/>
      <c r="O1" s="439"/>
      <c r="P1" s="439"/>
    </row>
    <row r="2" spans="1:20" ht="15" customHeight="1" x14ac:dyDescent="0.25">
      <c r="A2" s="409" t="s">
        <v>552</v>
      </c>
      <c r="B2" s="410"/>
      <c r="C2" s="410"/>
      <c r="D2" s="410"/>
      <c r="E2" s="410"/>
      <c r="F2" s="411"/>
      <c r="G2" s="461">
        <f>SUM(J19,J32,J45,J58,J71,J84,J97,J110,J123,J136,J149,J162,J175,J188,J201,J214,J227)</f>
        <v>0</v>
      </c>
      <c r="H2" s="462"/>
      <c r="I2" s="462"/>
      <c r="J2" s="462"/>
      <c r="K2" s="462"/>
      <c r="L2" s="462"/>
      <c r="M2" s="462"/>
      <c r="N2" s="462"/>
      <c r="O2" s="462"/>
      <c r="P2" s="463"/>
      <c r="S2" s="13" t="s">
        <v>535</v>
      </c>
      <c r="T2" s="13" t="s">
        <v>567</v>
      </c>
    </row>
    <row r="3" spans="1:20" x14ac:dyDescent="0.25">
      <c r="A3" s="409" t="s">
        <v>553</v>
      </c>
      <c r="B3" s="410"/>
      <c r="C3" s="410"/>
      <c r="D3" s="410"/>
      <c r="E3" s="410"/>
      <c r="F3" s="411"/>
      <c r="G3" s="454">
        <f>'Loan Details'!E15</f>
        <v>0</v>
      </c>
      <c r="H3" s="455"/>
      <c r="I3" s="455"/>
      <c r="J3" s="455"/>
      <c r="K3" s="455"/>
      <c r="L3" s="455"/>
      <c r="M3" s="455"/>
      <c r="N3" s="455"/>
      <c r="O3" s="455"/>
      <c r="P3" s="456"/>
      <c r="S3" s="13" t="s">
        <v>537</v>
      </c>
      <c r="T3" s="13" t="s">
        <v>568</v>
      </c>
    </row>
    <row r="4" spans="1:20" x14ac:dyDescent="0.25">
      <c r="A4" s="409" t="s">
        <v>485</v>
      </c>
      <c r="B4" s="410"/>
      <c r="C4" s="410"/>
      <c r="D4" s="410"/>
      <c r="E4" s="410"/>
      <c r="F4" s="411"/>
      <c r="G4" s="457" t="e">
        <f>(G2*2)/G3</f>
        <v>#DIV/0!</v>
      </c>
      <c r="H4" s="458"/>
      <c r="I4" s="458"/>
      <c r="J4" s="458"/>
      <c r="K4" s="458"/>
      <c r="L4" s="458"/>
      <c r="M4" s="458"/>
      <c r="N4" s="458"/>
      <c r="O4" s="458"/>
      <c r="P4" s="459"/>
      <c r="S4" s="13" t="s">
        <v>513</v>
      </c>
      <c r="T4" s="13" t="s">
        <v>516</v>
      </c>
    </row>
    <row r="5" spans="1:20" x14ac:dyDescent="0.25">
      <c r="A5" s="409" t="s">
        <v>554</v>
      </c>
      <c r="B5" s="410"/>
      <c r="C5" s="410"/>
      <c r="D5" s="410"/>
      <c r="E5" s="410"/>
      <c r="F5" s="411"/>
      <c r="G5" s="412" t="s">
        <v>556</v>
      </c>
      <c r="H5" s="412"/>
      <c r="I5" s="412"/>
      <c r="J5" s="412"/>
      <c r="K5" s="412" t="s">
        <v>685</v>
      </c>
      <c r="L5" s="412"/>
      <c r="M5" s="412"/>
      <c r="N5" s="412" t="s">
        <v>557</v>
      </c>
      <c r="O5" s="412"/>
      <c r="P5" s="412"/>
      <c r="S5" s="13" t="s">
        <v>514</v>
      </c>
      <c r="T5" s="13" t="s">
        <v>569</v>
      </c>
    </row>
    <row r="6" spans="1:20" x14ac:dyDescent="0.25">
      <c r="A6" s="398" t="s">
        <v>555</v>
      </c>
      <c r="B6" s="399"/>
      <c r="C6" s="399"/>
      <c r="D6" s="399"/>
      <c r="E6" s="399"/>
      <c r="F6" s="400"/>
      <c r="G6" s="401">
        <f>SUM(M19,M32,M45,M58,M71,M84,M97,M110,M123,M136,M149,M162,M175,M188,M201,M214,M227,M240,M253,M266)</f>
        <v>0</v>
      </c>
      <c r="H6" s="401"/>
      <c r="I6" s="401"/>
      <c r="J6" s="401"/>
      <c r="K6" s="402">
        <f>SUM(P19,P32,P45,P58,P71,P84,P97,P110,P123,P136,P149,P162,P175,P188,P201,P214,P227,P240,P253,P266)</f>
        <v>0</v>
      </c>
      <c r="L6" s="401"/>
      <c r="M6" s="401"/>
      <c r="N6" s="460" t="e">
        <f>G6/K6</f>
        <v>#DIV/0!</v>
      </c>
      <c r="O6" s="460"/>
      <c r="P6" s="460"/>
      <c r="S6" s="13" t="s">
        <v>515</v>
      </c>
      <c r="T6" s="13" t="s">
        <v>570</v>
      </c>
    </row>
    <row r="7" spans="1:20" x14ac:dyDescent="0.25">
      <c r="A7" s="398" t="s">
        <v>558</v>
      </c>
      <c r="B7" s="399"/>
      <c r="C7" s="399"/>
      <c r="D7" s="399"/>
      <c r="E7" s="399"/>
      <c r="F7" s="400"/>
      <c r="G7" s="401">
        <f>SUM(N19,N32,N45,N58,N71,N84,N97,N110,N123,N136,N149,N162,N175,N188,N201,N214,N227,N240,N253,N266)</f>
        <v>0</v>
      </c>
      <c r="H7" s="401"/>
      <c r="I7" s="401"/>
      <c r="J7" s="401"/>
      <c r="K7" s="402">
        <f>SUM(O19,O32,O45,O58,O71,O84,O97,O110,O123,O136,O149,O162,O175,O188,O201,O214,O227,O240,O253,O266)</f>
        <v>0</v>
      </c>
      <c r="L7" s="401"/>
      <c r="M7" s="401"/>
      <c r="N7" s="460" t="e">
        <f>G7/K7</f>
        <v>#DIV/0!</v>
      </c>
      <c r="O7" s="460"/>
      <c r="P7" s="460"/>
      <c r="S7" s="13" t="s">
        <v>502</v>
      </c>
      <c r="T7" s="13" t="s">
        <v>571</v>
      </c>
    </row>
    <row r="8" spans="1:20" x14ac:dyDescent="0.25">
      <c r="A8" s="398" t="s">
        <v>248</v>
      </c>
      <c r="B8" s="399"/>
      <c r="C8" s="399"/>
      <c r="D8" s="399"/>
      <c r="E8" s="399"/>
      <c r="F8" s="400"/>
      <c r="G8" s="401">
        <f>G7+G6</f>
        <v>0</v>
      </c>
      <c r="H8" s="401"/>
      <c r="I8" s="401"/>
      <c r="J8" s="401"/>
      <c r="K8" s="401">
        <f>K7+K6</f>
        <v>0</v>
      </c>
      <c r="L8" s="401"/>
      <c r="M8" s="401"/>
      <c r="N8" s="460" t="e">
        <f>G8/K8</f>
        <v>#DIV/0!</v>
      </c>
      <c r="O8" s="460"/>
      <c r="P8" s="460"/>
      <c r="S8" s="13" t="s">
        <v>503</v>
      </c>
      <c r="T8" s="13" t="s">
        <v>572</v>
      </c>
    </row>
    <row r="9" spans="1:20" ht="18.75" x14ac:dyDescent="0.25">
      <c r="A9" s="424" t="s">
        <v>489</v>
      </c>
      <c r="B9" s="424"/>
      <c r="C9" s="424"/>
      <c r="D9" s="424"/>
      <c r="E9" s="424"/>
      <c r="F9" s="424"/>
      <c r="G9" s="424"/>
      <c r="H9" s="424"/>
      <c r="I9" s="424"/>
      <c r="J9" s="424"/>
      <c r="K9" s="424"/>
      <c r="L9" s="424"/>
      <c r="M9" s="424"/>
      <c r="N9" s="424"/>
      <c r="O9" s="424"/>
      <c r="P9" s="424"/>
      <c r="S9" s="13" t="s">
        <v>504</v>
      </c>
      <c r="T9" s="13" t="s">
        <v>573</v>
      </c>
    </row>
    <row r="10" spans="1:20" ht="25.5" x14ac:dyDescent="0.25">
      <c r="A10" s="425" t="s">
        <v>692</v>
      </c>
      <c r="B10" s="426"/>
      <c r="C10" s="427"/>
      <c r="D10" s="428"/>
      <c r="E10" s="429"/>
      <c r="F10" s="430"/>
      <c r="G10" s="4" t="s">
        <v>691</v>
      </c>
      <c r="H10" s="67" t="s">
        <v>849</v>
      </c>
      <c r="I10" s="47" t="s">
        <v>693</v>
      </c>
      <c r="J10" s="428" t="s">
        <v>849</v>
      </c>
      <c r="K10" s="429"/>
      <c r="L10" s="430"/>
      <c r="M10" s="46" t="s">
        <v>490</v>
      </c>
      <c r="N10" s="716"/>
      <c r="O10" s="717"/>
      <c r="P10" s="718"/>
      <c r="S10" s="13" t="s">
        <v>544</v>
      </c>
      <c r="T10" s="13" t="s">
        <v>574</v>
      </c>
    </row>
    <row r="11" spans="1:20" x14ac:dyDescent="0.25">
      <c r="A11" s="444" t="s">
        <v>492</v>
      </c>
      <c r="B11" s="444" t="s">
        <v>493</v>
      </c>
      <c r="C11" s="444"/>
      <c r="D11" s="444"/>
      <c r="E11" s="444"/>
      <c r="F11" s="444"/>
      <c r="G11" s="444"/>
      <c r="H11" s="419" t="s">
        <v>494</v>
      </c>
      <c r="I11" s="446" t="s">
        <v>683</v>
      </c>
      <c r="J11" s="419" t="s">
        <v>495</v>
      </c>
      <c r="K11" s="419" t="s">
        <v>496</v>
      </c>
      <c r="L11" s="419" t="s">
        <v>497</v>
      </c>
      <c r="M11" s="419" t="s">
        <v>498</v>
      </c>
      <c r="N11" s="419" t="s">
        <v>499</v>
      </c>
      <c r="O11" s="419" t="s">
        <v>500</v>
      </c>
      <c r="P11" s="419" t="s">
        <v>501</v>
      </c>
      <c r="S11" s="13" t="s">
        <v>546</v>
      </c>
      <c r="T11" s="13" t="s">
        <v>575</v>
      </c>
    </row>
    <row r="12" spans="1:20" x14ac:dyDescent="0.25">
      <c r="A12" s="444"/>
      <c r="B12" s="448">
        <v>5</v>
      </c>
      <c r="C12" s="449"/>
      <c r="D12" s="448">
        <v>15</v>
      </c>
      <c r="E12" s="449"/>
      <c r="F12" s="448">
        <v>25</v>
      </c>
      <c r="G12" s="449"/>
      <c r="H12" s="419"/>
      <c r="I12" s="447"/>
      <c r="J12" s="419"/>
      <c r="K12" s="419"/>
      <c r="L12" s="419"/>
      <c r="M12" s="419"/>
      <c r="N12" s="419"/>
      <c r="O12" s="419"/>
      <c r="P12" s="419"/>
      <c r="S12" s="13" t="s">
        <v>548</v>
      </c>
      <c r="T12" s="13" t="s">
        <v>576</v>
      </c>
    </row>
    <row r="13" spans="1:20" x14ac:dyDescent="0.25">
      <c r="A13" s="5">
        <v>43922</v>
      </c>
      <c r="B13" s="450">
        <v>0</v>
      </c>
      <c r="C13" s="451"/>
      <c r="D13" s="450">
        <v>0</v>
      </c>
      <c r="E13" s="451"/>
      <c r="F13" s="450">
        <v>0</v>
      </c>
      <c r="G13" s="451"/>
      <c r="H13" s="42">
        <f t="shared" ref="H13:H16" si="0">AVERAGE(B13:G13)</f>
        <v>0</v>
      </c>
      <c r="I13" s="43">
        <v>0</v>
      </c>
      <c r="J13" s="43">
        <v>0</v>
      </c>
      <c r="K13" s="44">
        <v>0</v>
      </c>
      <c r="L13" s="45">
        <f t="shared" ref="L13:L16" si="1">J13-K13</f>
        <v>0</v>
      </c>
      <c r="M13" s="7">
        <v>0</v>
      </c>
      <c r="N13" s="7">
        <v>0</v>
      </c>
      <c r="O13" s="7">
        <v>0</v>
      </c>
      <c r="P13" s="7">
        <v>0</v>
      </c>
      <c r="S13" s="13" t="s">
        <v>550</v>
      </c>
      <c r="T13" s="13" t="s">
        <v>577</v>
      </c>
    </row>
    <row r="14" spans="1:20" x14ac:dyDescent="0.25">
      <c r="A14" s="5">
        <f>EDATE(A13,1)</f>
        <v>43952</v>
      </c>
      <c r="B14" s="450">
        <v>0</v>
      </c>
      <c r="C14" s="451"/>
      <c r="D14" s="450">
        <v>0</v>
      </c>
      <c r="E14" s="451"/>
      <c r="F14" s="450">
        <v>0</v>
      </c>
      <c r="G14" s="451"/>
      <c r="H14" s="42">
        <f t="shared" si="0"/>
        <v>0</v>
      </c>
      <c r="I14" s="43">
        <v>0</v>
      </c>
      <c r="J14" s="43">
        <v>0</v>
      </c>
      <c r="K14" s="44">
        <v>0</v>
      </c>
      <c r="L14" s="45">
        <f t="shared" si="1"/>
        <v>0</v>
      </c>
      <c r="M14" s="7">
        <v>0</v>
      </c>
      <c r="N14" s="7">
        <v>0</v>
      </c>
      <c r="O14" s="7">
        <v>0</v>
      </c>
      <c r="P14" s="7">
        <v>0</v>
      </c>
    </row>
    <row r="15" spans="1:20" x14ac:dyDescent="0.25">
      <c r="A15" s="5">
        <f t="shared" ref="A15:A18" si="2">EDATE(A14,1)</f>
        <v>43983</v>
      </c>
      <c r="B15" s="450">
        <v>0</v>
      </c>
      <c r="C15" s="451"/>
      <c r="D15" s="450">
        <v>0</v>
      </c>
      <c r="E15" s="451"/>
      <c r="F15" s="450">
        <v>0</v>
      </c>
      <c r="G15" s="451"/>
      <c r="H15" s="42">
        <f t="shared" si="0"/>
        <v>0</v>
      </c>
      <c r="I15" s="43">
        <v>0</v>
      </c>
      <c r="J15" s="43">
        <v>0</v>
      </c>
      <c r="K15" s="44">
        <v>0</v>
      </c>
      <c r="L15" s="45">
        <f t="shared" si="1"/>
        <v>0</v>
      </c>
      <c r="M15" s="7">
        <v>0</v>
      </c>
      <c r="N15" s="7">
        <v>0</v>
      </c>
      <c r="O15" s="7">
        <v>0</v>
      </c>
      <c r="P15" s="7">
        <v>0</v>
      </c>
    </row>
    <row r="16" spans="1:20" x14ac:dyDescent="0.25">
      <c r="A16" s="5">
        <f t="shared" si="2"/>
        <v>44013</v>
      </c>
      <c r="B16" s="450">
        <v>0</v>
      </c>
      <c r="C16" s="451"/>
      <c r="D16" s="450">
        <v>0</v>
      </c>
      <c r="E16" s="451"/>
      <c r="F16" s="450">
        <v>0</v>
      </c>
      <c r="G16" s="451"/>
      <c r="H16" s="42">
        <f t="shared" si="0"/>
        <v>0</v>
      </c>
      <c r="I16" s="43">
        <v>0</v>
      </c>
      <c r="J16" s="43">
        <v>0</v>
      </c>
      <c r="K16" s="44">
        <v>0</v>
      </c>
      <c r="L16" s="45">
        <f t="shared" si="1"/>
        <v>0</v>
      </c>
      <c r="M16" s="7">
        <v>0</v>
      </c>
      <c r="N16" s="7">
        <v>0</v>
      </c>
      <c r="O16" s="7">
        <v>0</v>
      </c>
      <c r="P16" s="7">
        <v>0</v>
      </c>
    </row>
    <row r="17" spans="1:16" x14ac:dyDescent="0.25">
      <c r="A17" s="5">
        <f t="shared" si="2"/>
        <v>44044</v>
      </c>
      <c r="B17" s="450">
        <v>0</v>
      </c>
      <c r="C17" s="451"/>
      <c r="D17" s="450">
        <v>0</v>
      </c>
      <c r="E17" s="451"/>
      <c r="F17" s="450">
        <v>0</v>
      </c>
      <c r="G17" s="451"/>
      <c r="H17" s="42">
        <f t="shared" ref="H17:H18" si="3">AVERAGE(B17:G17)</f>
        <v>0</v>
      </c>
      <c r="I17" s="43">
        <v>0</v>
      </c>
      <c r="J17" s="43">
        <v>0</v>
      </c>
      <c r="K17" s="44">
        <v>0</v>
      </c>
      <c r="L17" s="45">
        <f t="shared" ref="L17:L18" si="4">J17-K17</f>
        <v>0</v>
      </c>
      <c r="M17" s="7">
        <v>0</v>
      </c>
      <c r="N17" s="7">
        <v>0</v>
      </c>
      <c r="O17" s="7">
        <v>0</v>
      </c>
      <c r="P17" s="7">
        <v>0</v>
      </c>
    </row>
    <row r="18" spans="1:16" x14ac:dyDescent="0.25">
      <c r="A18" s="5">
        <f t="shared" si="2"/>
        <v>44075</v>
      </c>
      <c r="B18" s="450">
        <v>0</v>
      </c>
      <c r="C18" s="451"/>
      <c r="D18" s="450">
        <v>0</v>
      </c>
      <c r="E18" s="451"/>
      <c r="F18" s="450">
        <v>0</v>
      </c>
      <c r="G18" s="451"/>
      <c r="H18" s="42">
        <f t="shared" si="3"/>
        <v>0</v>
      </c>
      <c r="I18" s="43">
        <v>0</v>
      </c>
      <c r="J18" s="43">
        <v>0</v>
      </c>
      <c r="K18" s="44">
        <v>0</v>
      </c>
      <c r="L18" s="45">
        <f t="shared" si="4"/>
        <v>0</v>
      </c>
      <c r="M18" s="7">
        <v>0</v>
      </c>
      <c r="N18" s="7">
        <v>0</v>
      </c>
      <c r="O18" s="7">
        <v>0</v>
      </c>
      <c r="P18" s="7">
        <v>0</v>
      </c>
    </row>
    <row r="19" spans="1:16" x14ac:dyDescent="0.25">
      <c r="A19" s="11" t="s">
        <v>505</v>
      </c>
      <c r="B19" s="452">
        <f>SUM(B13:C18)</f>
        <v>0</v>
      </c>
      <c r="C19" s="453"/>
      <c r="D19" s="452">
        <f>SUM(D13:E18)</f>
        <v>0</v>
      </c>
      <c r="E19" s="453"/>
      <c r="F19" s="452">
        <f>SUM(F13:G18)</f>
        <v>0</v>
      </c>
      <c r="G19" s="453"/>
      <c r="H19" s="42">
        <f t="shared" ref="H19:P19" si="5">SUM(H13:H18)</f>
        <v>0</v>
      </c>
      <c r="I19" s="42">
        <f t="shared" si="5"/>
        <v>0</v>
      </c>
      <c r="J19" s="42">
        <f t="shared" si="5"/>
        <v>0</v>
      </c>
      <c r="K19" s="42">
        <f t="shared" si="5"/>
        <v>0</v>
      </c>
      <c r="L19" s="42">
        <f t="shared" si="5"/>
        <v>0</v>
      </c>
      <c r="M19" s="10">
        <f t="shared" si="5"/>
        <v>0</v>
      </c>
      <c r="N19" s="10">
        <f t="shared" si="5"/>
        <v>0</v>
      </c>
      <c r="O19" s="8">
        <f t="shared" si="5"/>
        <v>0</v>
      </c>
      <c r="P19" s="8">
        <f t="shared" si="5"/>
        <v>0</v>
      </c>
    </row>
    <row r="20" spans="1:16" x14ac:dyDescent="0.25">
      <c r="A20" s="11" t="s">
        <v>494</v>
      </c>
      <c r="B20" s="452">
        <f>AVERAGE(B13:B18)</f>
        <v>0</v>
      </c>
      <c r="C20" s="453"/>
      <c r="D20" s="452">
        <f>AVERAGE(D13:D18)</f>
        <v>0</v>
      </c>
      <c r="E20" s="453"/>
      <c r="F20" s="452">
        <f>AVERAGE(F13:F18)</f>
        <v>0</v>
      </c>
      <c r="G20" s="453"/>
      <c r="H20" s="42">
        <f t="shared" ref="H20:N20" si="6">AVERAGE(H13:H18)</f>
        <v>0</v>
      </c>
      <c r="I20" s="42">
        <f t="shared" si="6"/>
        <v>0</v>
      </c>
      <c r="J20" s="42">
        <f t="shared" si="6"/>
        <v>0</v>
      </c>
      <c r="K20" s="42">
        <f t="shared" si="6"/>
        <v>0</v>
      </c>
      <c r="L20" s="42">
        <f t="shared" si="6"/>
        <v>0</v>
      </c>
      <c r="M20" s="10">
        <f t="shared" si="6"/>
        <v>0</v>
      </c>
      <c r="N20" s="10">
        <f t="shared" si="6"/>
        <v>0</v>
      </c>
      <c r="O20" s="53" t="e">
        <f>N19/O19</f>
        <v>#DIV/0!</v>
      </c>
      <c r="P20" s="53" t="e">
        <f>M19/P19</f>
        <v>#DIV/0!</v>
      </c>
    </row>
    <row r="21" spans="1:16" ht="38.25" x14ac:dyDescent="0.25">
      <c r="A21" s="11" t="s">
        <v>506</v>
      </c>
      <c r="B21" s="452">
        <f>B20+I20</f>
        <v>0</v>
      </c>
      <c r="C21" s="453"/>
      <c r="D21" s="452">
        <f>D20+I20</f>
        <v>0</v>
      </c>
      <c r="E21" s="453"/>
      <c r="F21" s="452">
        <f>F20+I20</f>
        <v>0</v>
      </c>
      <c r="G21" s="453"/>
      <c r="H21" s="42">
        <f>H20+I20</f>
        <v>0</v>
      </c>
      <c r="I21" s="420"/>
      <c r="J21" s="421"/>
      <c r="K21" s="421"/>
      <c r="L21" s="421"/>
      <c r="M21" s="421"/>
      <c r="N21" s="422"/>
      <c r="O21" s="6" t="s">
        <v>507</v>
      </c>
      <c r="P21" s="6" t="s">
        <v>508</v>
      </c>
    </row>
    <row r="22" spans="1:16" ht="18.75" x14ac:dyDescent="0.25">
      <c r="A22" s="424" t="s">
        <v>509</v>
      </c>
      <c r="B22" s="424"/>
      <c r="C22" s="424"/>
      <c r="D22" s="424"/>
      <c r="E22" s="424"/>
      <c r="F22" s="424"/>
      <c r="G22" s="424"/>
      <c r="H22" s="424"/>
      <c r="I22" s="424"/>
      <c r="J22" s="424"/>
      <c r="K22" s="424"/>
      <c r="L22" s="424"/>
      <c r="M22" s="424"/>
      <c r="N22" s="424"/>
      <c r="O22" s="424"/>
      <c r="P22" s="424"/>
    </row>
    <row r="23" spans="1:16" ht="25.5" x14ac:dyDescent="0.25">
      <c r="A23" s="425" t="s">
        <v>692</v>
      </c>
      <c r="B23" s="426"/>
      <c r="C23" s="427"/>
      <c r="D23" s="428"/>
      <c r="E23" s="429"/>
      <c r="F23" s="430"/>
      <c r="G23" s="4" t="s">
        <v>691</v>
      </c>
      <c r="H23" s="67" t="s">
        <v>849</v>
      </c>
      <c r="I23" s="47" t="s">
        <v>693</v>
      </c>
      <c r="J23" s="428" t="s">
        <v>849</v>
      </c>
      <c r="K23" s="429"/>
      <c r="L23" s="430"/>
      <c r="M23" s="46" t="s">
        <v>490</v>
      </c>
      <c r="N23" s="416"/>
      <c r="O23" s="417"/>
      <c r="P23" s="418"/>
    </row>
    <row r="24" spans="1:16" ht="15" customHeight="1" x14ac:dyDescent="0.25">
      <c r="A24" s="444" t="s">
        <v>492</v>
      </c>
      <c r="B24" s="444" t="s">
        <v>493</v>
      </c>
      <c r="C24" s="444"/>
      <c r="D24" s="444"/>
      <c r="E24" s="444"/>
      <c r="F24" s="444"/>
      <c r="G24" s="444"/>
      <c r="H24" s="419" t="s">
        <v>494</v>
      </c>
      <c r="I24" s="446" t="s">
        <v>683</v>
      </c>
      <c r="J24" s="419" t="s">
        <v>495</v>
      </c>
      <c r="K24" s="419" t="s">
        <v>496</v>
      </c>
      <c r="L24" s="419" t="s">
        <v>497</v>
      </c>
      <c r="M24" s="419" t="s">
        <v>498</v>
      </c>
      <c r="N24" s="419" t="s">
        <v>499</v>
      </c>
      <c r="O24" s="419" t="s">
        <v>500</v>
      </c>
      <c r="P24" s="419" t="s">
        <v>501</v>
      </c>
    </row>
    <row r="25" spans="1:16" x14ac:dyDescent="0.25">
      <c r="A25" s="444"/>
      <c r="B25" s="448">
        <v>5</v>
      </c>
      <c r="C25" s="449"/>
      <c r="D25" s="448">
        <v>15</v>
      </c>
      <c r="E25" s="449"/>
      <c r="F25" s="448">
        <v>25</v>
      </c>
      <c r="G25" s="449"/>
      <c r="H25" s="419"/>
      <c r="I25" s="447"/>
      <c r="J25" s="419"/>
      <c r="K25" s="419"/>
      <c r="L25" s="419"/>
      <c r="M25" s="419"/>
      <c r="N25" s="419"/>
      <c r="O25" s="419"/>
      <c r="P25" s="419"/>
    </row>
    <row r="26" spans="1:16" x14ac:dyDescent="0.25">
      <c r="A26" s="5">
        <v>43922</v>
      </c>
      <c r="B26" s="450">
        <v>0</v>
      </c>
      <c r="C26" s="451"/>
      <c r="D26" s="450">
        <v>0</v>
      </c>
      <c r="E26" s="451"/>
      <c r="F26" s="450">
        <v>0</v>
      </c>
      <c r="G26" s="451"/>
      <c r="H26" s="42">
        <f t="shared" ref="H26:H28" si="7">AVERAGE(B26:G26)</f>
        <v>0</v>
      </c>
      <c r="I26" s="43">
        <v>0</v>
      </c>
      <c r="J26" s="43">
        <v>0</v>
      </c>
      <c r="K26" s="44">
        <v>0</v>
      </c>
      <c r="L26" s="45">
        <f t="shared" ref="L26:L28" si="8">J26-K26</f>
        <v>0</v>
      </c>
      <c r="M26" s="7">
        <v>0</v>
      </c>
      <c r="N26" s="7">
        <v>0</v>
      </c>
      <c r="O26" s="7">
        <v>0</v>
      </c>
      <c r="P26" s="7">
        <v>0</v>
      </c>
    </row>
    <row r="27" spans="1:16" x14ac:dyDescent="0.25">
      <c r="A27" s="5">
        <f>EDATE(A26,1)</f>
        <v>43952</v>
      </c>
      <c r="B27" s="450">
        <v>0</v>
      </c>
      <c r="C27" s="451"/>
      <c r="D27" s="450">
        <v>0</v>
      </c>
      <c r="E27" s="451"/>
      <c r="F27" s="450">
        <v>0</v>
      </c>
      <c r="G27" s="451"/>
      <c r="H27" s="42">
        <f t="shared" si="7"/>
        <v>0</v>
      </c>
      <c r="I27" s="43">
        <v>0</v>
      </c>
      <c r="J27" s="43">
        <v>0</v>
      </c>
      <c r="K27" s="44">
        <v>0</v>
      </c>
      <c r="L27" s="45">
        <f t="shared" si="8"/>
        <v>0</v>
      </c>
      <c r="M27" s="7">
        <v>0</v>
      </c>
      <c r="N27" s="7">
        <v>0</v>
      </c>
      <c r="O27" s="7">
        <v>0</v>
      </c>
      <c r="P27" s="7">
        <v>0</v>
      </c>
    </row>
    <row r="28" spans="1:16" x14ac:dyDescent="0.25">
      <c r="A28" s="5">
        <f t="shared" ref="A28:A31" si="9">EDATE(A27,1)</f>
        <v>43983</v>
      </c>
      <c r="B28" s="450">
        <v>0</v>
      </c>
      <c r="C28" s="451"/>
      <c r="D28" s="450">
        <v>0</v>
      </c>
      <c r="E28" s="451"/>
      <c r="F28" s="450">
        <v>0</v>
      </c>
      <c r="G28" s="451"/>
      <c r="H28" s="42">
        <f t="shared" si="7"/>
        <v>0</v>
      </c>
      <c r="I28" s="43">
        <v>0</v>
      </c>
      <c r="J28" s="43">
        <v>0</v>
      </c>
      <c r="K28" s="44">
        <v>0</v>
      </c>
      <c r="L28" s="45">
        <f t="shared" si="8"/>
        <v>0</v>
      </c>
      <c r="M28" s="7">
        <v>0</v>
      </c>
      <c r="N28" s="7">
        <v>0</v>
      </c>
      <c r="O28" s="7">
        <v>0</v>
      </c>
      <c r="P28" s="7">
        <v>0</v>
      </c>
    </row>
    <row r="29" spans="1:16" x14ac:dyDescent="0.25">
      <c r="A29" s="5">
        <f t="shared" si="9"/>
        <v>44013</v>
      </c>
      <c r="B29" s="450">
        <v>0</v>
      </c>
      <c r="C29" s="451"/>
      <c r="D29" s="450">
        <v>0</v>
      </c>
      <c r="E29" s="451"/>
      <c r="F29" s="450">
        <v>0</v>
      </c>
      <c r="G29" s="451"/>
      <c r="H29" s="42">
        <f t="shared" ref="H29:H31" si="10">AVERAGE(B29:G29)</f>
        <v>0</v>
      </c>
      <c r="I29" s="43">
        <v>0</v>
      </c>
      <c r="J29" s="43">
        <v>0</v>
      </c>
      <c r="K29" s="44">
        <v>0</v>
      </c>
      <c r="L29" s="45">
        <f t="shared" ref="L29:L31" si="11">J29-K29</f>
        <v>0</v>
      </c>
      <c r="M29" s="7">
        <v>0</v>
      </c>
      <c r="N29" s="7">
        <v>0</v>
      </c>
      <c r="O29" s="7">
        <v>0</v>
      </c>
      <c r="P29" s="7">
        <v>0</v>
      </c>
    </row>
    <row r="30" spans="1:16" x14ac:dyDescent="0.25">
      <c r="A30" s="5">
        <f t="shared" si="9"/>
        <v>44044</v>
      </c>
      <c r="B30" s="450">
        <v>0</v>
      </c>
      <c r="C30" s="451"/>
      <c r="D30" s="450">
        <v>0</v>
      </c>
      <c r="E30" s="451"/>
      <c r="F30" s="450">
        <v>0</v>
      </c>
      <c r="G30" s="451"/>
      <c r="H30" s="42">
        <f t="shared" si="10"/>
        <v>0</v>
      </c>
      <c r="I30" s="43">
        <v>0</v>
      </c>
      <c r="J30" s="43">
        <v>0</v>
      </c>
      <c r="K30" s="44">
        <v>0</v>
      </c>
      <c r="L30" s="45">
        <f t="shared" si="11"/>
        <v>0</v>
      </c>
      <c r="M30" s="7">
        <v>0</v>
      </c>
      <c r="N30" s="7">
        <v>0</v>
      </c>
      <c r="O30" s="7">
        <v>0</v>
      </c>
      <c r="P30" s="7">
        <v>0</v>
      </c>
    </row>
    <row r="31" spans="1:16" x14ac:dyDescent="0.25">
      <c r="A31" s="5">
        <f t="shared" si="9"/>
        <v>44075</v>
      </c>
      <c r="B31" s="450">
        <v>0</v>
      </c>
      <c r="C31" s="451"/>
      <c r="D31" s="450">
        <v>0</v>
      </c>
      <c r="E31" s="451"/>
      <c r="F31" s="450">
        <v>0</v>
      </c>
      <c r="G31" s="451"/>
      <c r="H31" s="42">
        <f t="shared" si="10"/>
        <v>0</v>
      </c>
      <c r="I31" s="43">
        <v>0</v>
      </c>
      <c r="J31" s="43">
        <v>0</v>
      </c>
      <c r="K31" s="44">
        <v>0</v>
      </c>
      <c r="L31" s="45">
        <f t="shared" si="11"/>
        <v>0</v>
      </c>
      <c r="M31" s="7">
        <v>0</v>
      </c>
      <c r="N31" s="7">
        <v>0</v>
      </c>
      <c r="O31" s="7">
        <v>0</v>
      </c>
      <c r="P31" s="7">
        <v>0</v>
      </c>
    </row>
    <row r="32" spans="1:16" x14ac:dyDescent="0.25">
      <c r="A32" s="40" t="s">
        <v>505</v>
      </c>
      <c r="B32" s="452">
        <f>SUM(B26:B31)</f>
        <v>0</v>
      </c>
      <c r="C32" s="453"/>
      <c r="D32" s="452">
        <f>SUM(D26:D31)</f>
        <v>0</v>
      </c>
      <c r="E32" s="453"/>
      <c r="F32" s="452">
        <f>SUM(F26:F31)</f>
        <v>0</v>
      </c>
      <c r="G32" s="453"/>
      <c r="H32" s="42">
        <f t="shared" ref="H32:P32" si="12">SUM(H26:H31)</f>
        <v>0</v>
      </c>
      <c r="I32" s="42">
        <f t="shared" si="12"/>
        <v>0</v>
      </c>
      <c r="J32" s="42">
        <f t="shared" si="12"/>
        <v>0</v>
      </c>
      <c r="K32" s="42">
        <f t="shared" si="12"/>
        <v>0</v>
      </c>
      <c r="L32" s="42">
        <f t="shared" si="12"/>
        <v>0</v>
      </c>
      <c r="M32" s="10">
        <f t="shared" si="12"/>
        <v>0</v>
      </c>
      <c r="N32" s="10">
        <f t="shared" si="12"/>
        <v>0</v>
      </c>
      <c r="O32" s="8">
        <f t="shared" si="12"/>
        <v>0</v>
      </c>
      <c r="P32" s="8">
        <f t="shared" si="12"/>
        <v>0</v>
      </c>
    </row>
    <row r="33" spans="1:16" x14ac:dyDescent="0.25">
      <c r="A33" s="40" t="s">
        <v>494</v>
      </c>
      <c r="B33" s="452">
        <f>AVERAGE(B26:B31)</f>
        <v>0</v>
      </c>
      <c r="C33" s="453"/>
      <c r="D33" s="452">
        <f>AVERAGE(D26:D31)</f>
        <v>0</v>
      </c>
      <c r="E33" s="453"/>
      <c r="F33" s="452">
        <f>AVERAGE(F26:F31)</f>
        <v>0</v>
      </c>
      <c r="G33" s="453"/>
      <c r="H33" s="42">
        <f t="shared" ref="H33:N33" si="13">AVERAGE(H26:H31)</f>
        <v>0</v>
      </c>
      <c r="I33" s="42">
        <f t="shared" si="13"/>
        <v>0</v>
      </c>
      <c r="J33" s="42">
        <f t="shared" si="13"/>
        <v>0</v>
      </c>
      <c r="K33" s="42">
        <f t="shared" si="13"/>
        <v>0</v>
      </c>
      <c r="L33" s="42">
        <f t="shared" si="13"/>
        <v>0</v>
      </c>
      <c r="M33" s="10">
        <f t="shared" si="13"/>
        <v>0</v>
      </c>
      <c r="N33" s="10">
        <f t="shared" si="13"/>
        <v>0</v>
      </c>
      <c r="O33" s="53" t="e">
        <f>N32/O32</f>
        <v>#DIV/0!</v>
      </c>
      <c r="P33" s="53" t="e">
        <f>M32/P32</f>
        <v>#DIV/0!</v>
      </c>
    </row>
    <row r="34" spans="1:16" ht="38.25" x14ac:dyDescent="0.25">
      <c r="A34" s="40" t="s">
        <v>506</v>
      </c>
      <c r="B34" s="452">
        <f>B33+I33</f>
        <v>0</v>
      </c>
      <c r="C34" s="453"/>
      <c r="D34" s="452">
        <f>D33+I33</f>
        <v>0</v>
      </c>
      <c r="E34" s="453"/>
      <c r="F34" s="452">
        <f>F33+I33</f>
        <v>0</v>
      </c>
      <c r="G34" s="453"/>
      <c r="H34" s="42">
        <f>H33+I33</f>
        <v>0</v>
      </c>
      <c r="I34" s="420"/>
      <c r="J34" s="421"/>
      <c r="K34" s="421"/>
      <c r="L34" s="421"/>
      <c r="M34" s="421"/>
      <c r="N34" s="422"/>
      <c r="O34" s="6" t="s">
        <v>507</v>
      </c>
      <c r="P34" s="6" t="s">
        <v>508</v>
      </c>
    </row>
    <row r="35" spans="1:16" ht="18.75" x14ac:dyDescent="0.25">
      <c r="A35" s="424" t="s">
        <v>510</v>
      </c>
      <c r="B35" s="424"/>
      <c r="C35" s="424"/>
      <c r="D35" s="424"/>
      <c r="E35" s="424"/>
      <c r="F35" s="424"/>
      <c r="G35" s="424"/>
      <c r="H35" s="424"/>
      <c r="I35" s="424"/>
      <c r="J35" s="424"/>
      <c r="K35" s="424"/>
      <c r="L35" s="424"/>
      <c r="M35" s="424"/>
      <c r="N35" s="424"/>
      <c r="O35" s="424"/>
      <c r="P35" s="424"/>
    </row>
    <row r="36" spans="1:16" ht="25.5" x14ac:dyDescent="0.25">
      <c r="A36" s="425" t="s">
        <v>692</v>
      </c>
      <c r="B36" s="426"/>
      <c r="C36" s="427"/>
      <c r="D36" s="428"/>
      <c r="E36" s="429"/>
      <c r="F36" s="430"/>
      <c r="G36" s="4" t="s">
        <v>691</v>
      </c>
      <c r="H36" s="67" t="s">
        <v>849</v>
      </c>
      <c r="I36" s="47" t="s">
        <v>693</v>
      </c>
      <c r="J36" s="428" t="s">
        <v>849</v>
      </c>
      <c r="K36" s="429"/>
      <c r="L36" s="430"/>
      <c r="M36" s="46" t="s">
        <v>490</v>
      </c>
      <c r="N36" s="416"/>
      <c r="O36" s="417"/>
      <c r="P36" s="418"/>
    </row>
    <row r="37" spans="1:16" ht="15" customHeight="1" x14ac:dyDescent="0.25">
      <c r="A37" s="444" t="s">
        <v>492</v>
      </c>
      <c r="B37" s="444" t="s">
        <v>493</v>
      </c>
      <c r="C37" s="444"/>
      <c r="D37" s="444"/>
      <c r="E37" s="444"/>
      <c r="F37" s="444"/>
      <c r="G37" s="444"/>
      <c r="H37" s="419" t="s">
        <v>494</v>
      </c>
      <c r="I37" s="446" t="s">
        <v>683</v>
      </c>
      <c r="J37" s="419" t="s">
        <v>495</v>
      </c>
      <c r="K37" s="419" t="s">
        <v>496</v>
      </c>
      <c r="L37" s="419" t="s">
        <v>497</v>
      </c>
      <c r="M37" s="419" t="s">
        <v>498</v>
      </c>
      <c r="N37" s="419" t="s">
        <v>499</v>
      </c>
      <c r="O37" s="419" t="s">
        <v>500</v>
      </c>
      <c r="P37" s="419" t="s">
        <v>501</v>
      </c>
    </row>
    <row r="38" spans="1:16" x14ac:dyDescent="0.25">
      <c r="A38" s="444"/>
      <c r="B38" s="448">
        <v>5</v>
      </c>
      <c r="C38" s="449"/>
      <c r="D38" s="448">
        <v>15</v>
      </c>
      <c r="E38" s="449"/>
      <c r="F38" s="448">
        <v>25</v>
      </c>
      <c r="G38" s="449"/>
      <c r="H38" s="419"/>
      <c r="I38" s="447"/>
      <c r="J38" s="419"/>
      <c r="K38" s="419"/>
      <c r="L38" s="419"/>
      <c r="M38" s="419"/>
      <c r="N38" s="419"/>
      <c r="O38" s="419"/>
      <c r="P38" s="419"/>
    </row>
    <row r="39" spans="1:16" x14ac:dyDescent="0.25">
      <c r="A39" s="5">
        <v>43922</v>
      </c>
      <c r="B39" s="450">
        <v>0</v>
      </c>
      <c r="C39" s="451"/>
      <c r="D39" s="450">
        <v>0</v>
      </c>
      <c r="E39" s="451"/>
      <c r="F39" s="450">
        <v>0</v>
      </c>
      <c r="G39" s="451"/>
      <c r="H39" s="42">
        <f t="shared" ref="H39:H44" si="14">AVERAGE(B39:G39)</f>
        <v>0</v>
      </c>
      <c r="I39" s="43">
        <v>0</v>
      </c>
      <c r="J39" s="43">
        <v>0</v>
      </c>
      <c r="K39" s="44">
        <v>0</v>
      </c>
      <c r="L39" s="45">
        <f t="shared" ref="L39:L44" si="15">J39-K39</f>
        <v>0</v>
      </c>
      <c r="M39" s="7">
        <v>0</v>
      </c>
      <c r="N39" s="7">
        <v>0</v>
      </c>
      <c r="O39" s="7">
        <v>0</v>
      </c>
      <c r="P39" s="7">
        <v>0</v>
      </c>
    </row>
    <row r="40" spans="1:16" x14ac:dyDescent="0.25">
      <c r="A40" s="5">
        <f>EDATE(A39,1)</f>
        <v>43952</v>
      </c>
      <c r="B40" s="450">
        <v>0</v>
      </c>
      <c r="C40" s="451"/>
      <c r="D40" s="450">
        <v>0</v>
      </c>
      <c r="E40" s="451"/>
      <c r="F40" s="450">
        <v>0</v>
      </c>
      <c r="G40" s="451"/>
      <c r="H40" s="42">
        <f t="shared" si="14"/>
        <v>0</v>
      </c>
      <c r="I40" s="43">
        <v>0</v>
      </c>
      <c r="J40" s="43">
        <v>0</v>
      </c>
      <c r="K40" s="44">
        <v>0</v>
      </c>
      <c r="L40" s="45">
        <f t="shared" si="15"/>
        <v>0</v>
      </c>
      <c r="M40" s="7">
        <v>0</v>
      </c>
      <c r="N40" s="7">
        <v>0</v>
      </c>
      <c r="O40" s="7">
        <v>0</v>
      </c>
      <c r="P40" s="7">
        <v>0</v>
      </c>
    </row>
    <row r="41" spans="1:16" x14ac:dyDescent="0.25">
      <c r="A41" s="5">
        <f t="shared" ref="A41:A44" si="16">EDATE(A40,1)</f>
        <v>43983</v>
      </c>
      <c r="B41" s="450">
        <v>0</v>
      </c>
      <c r="C41" s="451"/>
      <c r="D41" s="450">
        <v>0</v>
      </c>
      <c r="E41" s="451"/>
      <c r="F41" s="450">
        <v>0</v>
      </c>
      <c r="G41" s="451"/>
      <c r="H41" s="42">
        <f t="shared" ref="H41:H43" si="17">AVERAGE(B41:G41)</f>
        <v>0</v>
      </c>
      <c r="I41" s="43">
        <v>0</v>
      </c>
      <c r="J41" s="43">
        <v>0</v>
      </c>
      <c r="K41" s="44">
        <v>0</v>
      </c>
      <c r="L41" s="45">
        <f t="shared" ref="L41:L43" si="18">J41-K41</f>
        <v>0</v>
      </c>
      <c r="M41" s="7">
        <v>0</v>
      </c>
      <c r="N41" s="7">
        <v>0</v>
      </c>
      <c r="O41" s="7">
        <v>0</v>
      </c>
      <c r="P41" s="7">
        <v>0</v>
      </c>
    </row>
    <row r="42" spans="1:16" x14ac:dyDescent="0.25">
      <c r="A42" s="5">
        <f t="shared" si="16"/>
        <v>44013</v>
      </c>
      <c r="B42" s="450">
        <v>0</v>
      </c>
      <c r="C42" s="451"/>
      <c r="D42" s="450">
        <v>0</v>
      </c>
      <c r="E42" s="451"/>
      <c r="F42" s="450">
        <v>0</v>
      </c>
      <c r="G42" s="451"/>
      <c r="H42" s="42">
        <f t="shared" si="17"/>
        <v>0</v>
      </c>
      <c r="I42" s="43">
        <v>0</v>
      </c>
      <c r="J42" s="43">
        <v>0</v>
      </c>
      <c r="K42" s="44">
        <v>0</v>
      </c>
      <c r="L42" s="45">
        <f t="shared" si="18"/>
        <v>0</v>
      </c>
      <c r="M42" s="7">
        <v>0</v>
      </c>
      <c r="N42" s="7">
        <v>0</v>
      </c>
      <c r="O42" s="7">
        <v>0</v>
      </c>
      <c r="P42" s="7">
        <v>0</v>
      </c>
    </row>
    <row r="43" spans="1:16" x14ac:dyDescent="0.25">
      <c r="A43" s="5">
        <f t="shared" si="16"/>
        <v>44044</v>
      </c>
      <c r="B43" s="450">
        <v>0</v>
      </c>
      <c r="C43" s="451"/>
      <c r="D43" s="450">
        <v>0</v>
      </c>
      <c r="E43" s="451"/>
      <c r="F43" s="450">
        <v>0</v>
      </c>
      <c r="G43" s="451"/>
      <c r="H43" s="42">
        <f t="shared" si="17"/>
        <v>0</v>
      </c>
      <c r="I43" s="43">
        <v>0</v>
      </c>
      <c r="J43" s="43">
        <v>0</v>
      </c>
      <c r="K43" s="44">
        <v>0</v>
      </c>
      <c r="L43" s="45">
        <f t="shared" si="18"/>
        <v>0</v>
      </c>
      <c r="M43" s="7">
        <v>0</v>
      </c>
      <c r="N43" s="7">
        <v>0</v>
      </c>
      <c r="O43" s="7">
        <v>0</v>
      </c>
      <c r="P43" s="7">
        <v>0</v>
      </c>
    </row>
    <row r="44" spans="1:16" x14ac:dyDescent="0.25">
      <c r="A44" s="5">
        <f t="shared" si="16"/>
        <v>44075</v>
      </c>
      <c r="B44" s="450">
        <v>0</v>
      </c>
      <c r="C44" s="451"/>
      <c r="D44" s="450">
        <v>0</v>
      </c>
      <c r="E44" s="451"/>
      <c r="F44" s="450">
        <v>0</v>
      </c>
      <c r="G44" s="451"/>
      <c r="H44" s="42">
        <f t="shared" si="14"/>
        <v>0</v>
      </c>
      <c r="I44" s="43">
        <v>0</v>
      </c>
      <c r="J44" s="43">
        <v>0</v>
      </c>
      <c r="K44" s="44">
        <v>0</v>
      </c>
      <c r="L44" s="45">
        <f t="shared" si="15"/>
        <v>0</v>
      </c>
      <c r="M44" s="7">
        <v>0</v>
      </c>
      <c r="N44" s="7">
        <v>0</v>
      </c>
      <c r="O44" s="7">
        <v>0</v>
      </c>
      <c r="P44" s="7">
        <v>0</v>
      </c>
    </row>
    <row r="45" spans="1:16" x14ac:dyDescent="0.25">
      <c r="A45" s="40" t="s">
        <v>505</v>
      </c>
      <c r="B45" s="452">
        <f>SUM(B39:B44)</f>
        <v>0</v>
      </c>
      <c r="C45" s="453"/>
      <c r="D45" s="452">
        <f>SUM(D39:D44)</f>
        <v>0</v>
      </c>
      <c r="E45" s="453"/>
      <c r="F45" s="452">
        <f>SUM(F39:F44)</f>
        <v>0</v>
      </c>
      <c r="G45" s="453"/>
      <c r="H45" s="42">
        <f t="shared" ref="H45:P45" si="19">SUM(H39:H44)</f>
        <v>0</v>
      </c>
      <c r="I45" s="42">
        <f t="shared" si="19"/>
        <v>0</v>
      </c>
      <c r="J45" s="42">
        <f t="shared" si="19"/>
        <v>0</v>
      </c>
      <c r="K45" s="42">
        <f t="shared" si="19"/>
        <v>0</v>
      </c>
      <c r="L45" s="42">
        <f t="shared" si="19"/>
        <v>0</v>
      </c>
      <c r="M45" s="10">
        <f t="shared" si="19"/>
        <v>0</v>
      </c>
      <c r="N45" s="10">
        <f t="shared" si="19"/>
        <v>0</v>
      </c>
      <c r="O45" s="8">
        <f t="shared" si="19"/>
        <v>0</v>
      </c>
      <c r="P45" s="8">
        <f t="shared" si="19"/>
        <v>0</v>
      </c>
    </row>
    <row r="46" spans="1:16" x14ac:dyDescent="0.25">
      <c r="A46" s="40" t="s">
        <v>494</v>
      </c>
      <c r="B46" s="452">
        <f>AVERAGE(B39:B44)</f>
        <v>0</v>
      </c>
      <c r="C46" s="453"/>
      <c r="D46" s="452">
        <f>AVERAGE(D39:D44)</f>
        <v>0</v>
      </c>
      <c r="E46" s="453"/>
      <c r="F46" s="452">
        <f>AVERAGE(F39:F44)</f>
        <v>0</v>
      </c>
      <c r="G46" s="453"/>
      <c r="H46" s="42">
        <f t="shared" ref="H46:N46" si="20">AVERAGE(H39:H44)</f>
        <v>0</v>
      </c>
      <c r="I46" s="42">
        <f t="shared" si="20"/>
        <v>0</v>
      </c>
      <c r="J46" s="42">
        <f t="shared" si="20"/>
        <v>0</v>
      </c>
      <c r="K46" s="42">
        <f t="shared" si="20"/>
        <v>0</v>
      </c>
      <c r="L46" s="42">
        <f t="shared" si="20"/>
        <v>0</v>
      </c>
      <c r="M46" s="10">
        <f t="shared" si="20"/>
        <v>0</v>
      </c>
      <c r="N46" s="10">
        <f t="shared" si="20"/>
        <v>0</v>
      </c>
      <c r="O46" s="53" t="e">
        <f>N45/O45</f>
        <v>#DIV/0!</v>
      </c>
      <c r="P46" s="53" t="e">
        <f>M45/P45</f>
        <v>#DIV/0!</v>
      </c>
    </row>
    <row r="47" spans="1:16" ht="38.25" x14ac:dyDescent="0.25">
      <c r="A47" s="40" t="s">
        <v>506</v>
      </c>
      <c r="B47" s="452">
        <f>B46+I46</f>
        <v>0</v>
      </c>
      <c r="C47" s="453"/>
      <c r="D47" s="452">
        <f>D46+I46</f>
        <v>0</v>
      </c>
      <c r="E47" s="453"/>
      <c r="F47" s="452">
        <f>F46+I46</f>
        <v>0</v>
      </c>
      <c r="G47" s="453"/>
      <c r="H47" s="42">
        <f>H46+I46</f>
        <v>0</v>
      </c>
      <c r="I47" s="420"/>
      <c r="J47" s="421"/>
      <c r="K47" s="421"/>
      <c r="L47" s="421"/>
      <c r="M47" s="421"/>
      <c r="N47" s="422"/>
      <c r="O47" s="6" t="s">
        <v>507</v>
      </c>
      <c r="P47" s="6" t="s">
        <v>508</v>
      </c>
    </row>
    <row r="48" spans="1:16" ht="18.75" x14ac:dyDescent="0.25">
      <c r="A48" s="424" t="s">
        <v>511</v>
      </c>
      <c r="B48" s="424"/>
      <c r="C48" s="424"/>
      <c r="D48" s="424"/>
      <c r="E48" s="424"/>
      <c r="F48" s="424"/>
      <c r="G48" s="424"/>
      <c r="H48" s="424"/>
      <c r="I48" s="424"/>
      <c r="J48" s="424"/>
      <c r="K48" s="424"/>
      <c r="L48" s="424"/>
      <c r="M48" s="424"/>
      <c r="N48" s="424"/>
      <c r="O48" s="424"/>
      <c r="P48" s="424"/>
    </row>
    <row r="49" spans="1:16" ht="25.5" x14ac:dyDescent="0.25">
      <c r="A49" s="425" t="s">
        <v>692</v>
      </c>
      <c r="B49" s="426"/>
      <c r="C49" s="427"/>
      <c r="D49" s="428"/>
      <c r="E49" s="429"/>
      <c r="F49" s="430"/>
      <c r="G49" s="4" t="s">
        <v>691</v>
      </c>
      <c r="H49" s="67" t="s">
        <v>849</v>
      </c>
      <c r="I49" s="47" t="s">
        <v>693</v>
      </c>
      <c r="J49" s="428" t="s">
        <v>849</v>
      </c>
      <c r="K49" s="429"/>
      <c r="L49" s="430"/>
      <c r="M49" s="46" t="s">
        <v>490</v>
      </c>
      <c r="N49" s="416"/>
      <c r="O49" s="417"/>
      <c r="P49" s="418"/>
    </row>
    <row r="50" spans="1:16" x14ac:dyDescent="0.25">
      <c r="A50" s="444" t="s">
        <v>492</v>
      </c>
      <c r="B50" s="444" t="s">
        <v>493</v>
      </c>
      <c r="C50" s="444"/>
      <c r="D50" s="444"/>
      <c r="E50" s="444"/>
      <c r="F50" s="444"/>
      <c r="G50" s="444"/>
      <c r="H50" s="419" t="s">
        <v>494</v>
      </c>
      <c r="I50" s="446" t="s">
        <v>683</v>
      </c>
      <c r="J50" s="419" t="s">
        <v>495</v>
      </c>
      <c r="K50" s="419" t="s">
        <v>496</v>
      </c>
      <c r="L50" s="419" t="s">
        <v>497</v>
      </c>
      <c r="M50" s="419" t="s">
        <v>498</v>
      </c>
      <c r="N50" s="419" t="s">
        <v>499</v>
      </c>
      <c r="O50" s="419" t="s">
        <v>500</v>
      </c>
      <c r="P50" s="419" t="s">
        <v>501</v>
      </c>
    </row>
    <row r="51" spans="1:16" x14ac:dyDescent="0.25">
      <c r="A51" s="444"/>
      <c r="B51" s="448">
        <v>5</v>
      </c>
      <c r="C51" s="449"/>
      <c r="D51" s="448">
        <v>15</v>
      </c>
      <c r="E51" s="449"/>
      <c r="F51" s="448">
        <v>25</v>
      </c>
      <c r="G51" s="449"/>
      <c r="H51" s="419"/>
      <c r="I51" s="447"/>
      <c r="J51" s="419"/>
      <c r="K51" s="419"/>
      <c r="L51" s="419"/>
      <c r="M51" s="419"/>
      <c r="N51" s="419"/>
      <c r="O51" s="419"/>
      <c r="P51" s="419"/>
    </row>
    <row r="52" spans="1:16" x14ac:dyDescent="0.25">
      <c r="A52" s="5">
        <v>43922</v>
      </c>
      <c r="B52" s="450">
        <v>0</v>
      </c>
      <c r="C52" s="451"/>
      <c r="D52" s="450">
        <v>0</v>
      </c>
      <c r="E52" s="451"/>
      <c r="F52" s="450">
        <v>0</v>
      </c>
      <c r="G52" s="451"/>
      <c r="H52" s="42">
        <f t="shared" ref="H52:H57" si="21">AVERAGE(B52:G52)</f>
        <v>0</v>
      </c>
      <c r="I52" s="43">
        <v>0</v>
      </c>
      <c r="J52" s="43">
        <v>0</v>
      </c>
      <c r="K52" s="44">
        <v>0</v>
      </c>
      <c r="L52" s="45">
        <f t="shared" ref="L52:L57" si="22">J52-K52</f>
        <v>0</v>
      </c>
      <c r="M52" s="7">
        <v>0</v>
      </c>
      <c r="N52" s="7">
        <v>0</v>
      </c>
      <c r="O52" s="7">
        <v>0</v>
      </c>
      <c r="P52" s="7">
        <v>0</v>
      </c>
    </row>
    <row r="53" spans="1:16" x14ac:dyDescent="0.25">
      <c r="A53" s="5">
        <f>EDATE(A52,1)</f>
        <v>43952</v>
      </c>
      <c r="B53" s="450">
        <v>0</v>
      </c>
      <c r="C53" s="451"/>
      <c r="D53" s="450">
        <v>0</v>
      </c>
      <c r="E53" s="451"/>
      <c r="F53" s="450">
        <v>0</v>
      </c>
      <c r="G53" s="451"/>
      <c r="H53" s="42">
        <f t="shared" ref="H53:H55" si="23">AVERAGE(B53:G53)</f>
        <v>0</v>
      </c>
      <c r="I53" s="43">
        <v>0</v>
      </c>
      <c r="J53" s="43">
        <v>0</v>
      </c>
      <c r="K53" s="44">
        <v>0</v>
      </c>
      <c r="L53" s="45">
        <f t="shared" ref="L53:L55" si="24">J53-K53</f>
        <v>0</v>
      </c>
      <c r="M53" s="7">
        <v>0</v>
      </c>
      <c r="N53" s="7">
        <v>0</v>
      </c>
      <c r="O53" s="7">
        <v>0</v>
      </c>
      <c r="P53" s="7">
        <v>0</v>
      </c>
    </row>
    <row r="54" spans="1:16" x14ac:dyDescent="0.25">
      <c r="A54" s="5">
        <f t="shared" ref="A54:A57" si="25">EDATE(A53,1)</f>
        <v>43983</v>
      </c>
      <c r="B54" s="450">
        <v>0</v>
      </c>
      <c r="C54" s="451"/>
      <c r="D54" s="450">
        <v>0</v>
      </c>
      <c r="E54" s="451"/>
      <c r="F54" s="450">
        <v>0</v>
      </c>
      <c r="G54" s="451"/>
      <c r="H54" s="42">
        <f t="shared" si="23"/>
        <v>0</v>
      </c>
      <c r="I54" s="43">
        <v>0</v>
      </c>
      <c r="J54" s="43">
        <v>0</v>
      </c>
      <c r="K54" s="44">
        <v>0</v>
      </c>
      <c r="L54" s="45">
        <f t="shared" si="24"/>
        <v>0</v>
      </c>
      <c r="M54" s="7">
        <v>0</v>
      </c>
      <c r="N54" s="7">
        <v>0</v>
      </c>
      <c r="O54" s="7">
        <v>0</v>
      </c>
      <c r="P54" s="7">
        <v>0</v>
      </c>
    </row>
    <row r="55" spans="1:16" x14ac:dyDescent="0.25">
      <c r="A55" s="5">
        <f t="shared" si="25"/>
        <v>44013</v>
      </c>
      <c r="B55" s="450">
        <v>0</v>
      </c>
      <c r="C55" s="451"/>
      <c r="D55" s="450">
        <v>0</v>
      </c>
      <c r="E55" s="451"/>
      <c r="F55" s="450">
        <v>0</v>
      </c>
      <c r="G55" s="451"/>
      <c r="H55" s="42">
        <f t="shared" si="23"/>
        <v>0</v>
      </c>
      <c r="I55" s="43">
        <v>0</v>
      </c>
      <c r="J55" s="43">
        <v>0</v>
      </c>
      <c r="K55" s="44">
        <v>0</v>
      </c>
      <c r="L55" s="45">
        <f t="shared" si="24"/>
        <v>0</v>
      </c>
      <c r="M55" s="7">
        <v>0</v>
      </c>
      <c r="N55" s="7">
        <v>0</v>
      </c>
      <c r="O55" s="7">
        <v>0</v>
      </c>
      <c r="P55" s="7">
        <v>0</v>
      </c>
    </row>
    <row r="56" spans="1:16" x14ac:dyDescent="0.25">
      <c r="A56" s="5">
        <f t="shared" si="25"/>
        <v>44044</v>
      </c>
      <c r="B56" s="450">
        <v>0</v>
      </c>
      <c r="C56" s="451"/>
      <c r="D56" s="450">
        <v>0</v>
      </c>
      <c r="E56" s="451"/>
      <c r="F56" s="450">
        <v>0</v>
      </c>
      <c r="G56" s="451"/>
      <c r="H56" s="42">
        <f t="shared" si="21"/>
        <v>0</v>
      </c>
      <c r="I56" s="43">
        <v>0</v>
      </c>
      <c r="J56" s="43">
        <v>0</v>
      </c>
      <c r="K56" s="44">
        <v>0</v>
      </c>
      <c r="L56" s="45">
        <f t="shared" si="22"/>
        <v>0</v>
      </c>
      <c r="M56" s="7">
        <v>0</v>
      </c>
      <c r="N56" s="7">
        <v>0</v>
      </c>
      <c r="O56" s="7">
        <v>0</v>
      </c>
      <c r="P56" s="7">
        <v>0</v>
      </c>
    </row>
    <row r="57" spans="1:16" x14ac:dyDescent="0.25">
      <c r="A57" s="5">
        <f t="shared" si="25"/>
        <v>44075</v>
      </c>
      <c r="B57" s="450">
        <v>0</v>
      </c>
      <c r="C57" s="451"/>
      <c r="D57" s="450">
        <v>0</v>
      </c>
      <c r="E57" s="451"/>
      <c r="F57" s="450">
        <v>0</v>
      </c>
      <c r="G57" s="451"/>
      <c r="H57" s="42">
        <f t="shared" si="21"/>
        <v>0</v>
      </c>
      <c r="I57" s="43">
        <v>0</v>
      </c>
      <c r="J57" s="43">
        <v>0</v>
      </c>
      <c r="K57" s="44">
        <v>0</v>
      </c>
      <c r="L57" s="45">
        <f t="shared" si="22"/>
        <v>0</v>
      </c>
      <c r="M57" s="7">
        <v>0</v>
      </c>
      <c r="N57" s="7">
        <v>0</v>
      </c>
      <c r="O57" s="7">
        <v>0</v>
      </c>
      <c r="P57" s="7">
        <v>0</v>
      </c>
    </row>
    <row r="58" spans="1:16" ht="15" customHeight="1" x14ac:dyDescent="0.25">
      <c r="A58" s="40" t="s">
        <v>505</v>
      </c>
      <c r="B58" s="452">
        <f>SUM(B52:B57)</f>
        <v>0</v>
      </c>
      <c r="C58" s="453"/>
      <c r="D58" s="452">
        <f>SUM(D52:D57)</f>
        <v>0</v>
      </c>
      <c r="E58" s="453"/>
      <c r="F58" s="452">
        <f>SUM(F52:F57)</f>
        <v>0</v>
      </c>
      <c r="G58" s="453"/>
      <c r="H58" s="42">
        <f t="shared" ref="H58:P58" si="26">SUM(H52:H57)</f>
        <v>0</v>
      </c>
      <c r="I58" s="42">
        <f t="shared" si="26"/>
        <v>0</v>
      </c>
      <c r="J58" s="42">
        <f t="shared" si="26"/>
        <v>0</v>
      </c>
      <c r="K58" s="42">
        <f t="shared" si="26"/>
        <v>0</v>
      </c>
      <c r="L58" s="42">
        <f t="shared" si="26"/>
        <v>0</v>
      </c>
      <c r="M58" s="10">
        <f t="shared" si="26"/>
        <v>0</v>
      </c>
      <c r="N58" s="10">
        <f t="shared" si="26"/>
        <v>0</v>
      </c>
      <c r="O58" s="8">
        <f t="shared" si="26"/>
        <v>0</v>
      </c>
      <c r="P58" s="8">
        <f t="shared" si="26"/>
        <v>0</v>
      </c>
    </row>
    <row r="59" spans="1:16" x14ac:dyDescent="0.25">
      <c r="A59" s="40" t="s">
        <v>494</v>
      </c>
      <c r="B59" s="452">
        <f>AVERAGE(B52:B57)</f>
        <v>0</v>
      </c>
      <c r="C59" s="453"/>
      <c r="D59" s="452">
        <f>AVERAGE(D52:D57)</f>
        <v>0</v>
      </c>
      <c r="E59" s="453"/>
      <c r="F59" s="452">
        <f>AVERAGE(F52:F57)</f>
        <v>0</v>
      </c>
      <c r="G59" s="453"/>
      <c r="H59" s="42">
        <f t="shared" ref="H59:N59" si="27">AVERAGE(H52:H57)</f>
        <v>0</v>
      </c>
      <c r="I59" s="42">
        <f t="shared" si="27"/>
        <v>0</v>
      </c>
      <c r="J59" s="42">
        <f t="shared" si="27"/>
        <v>0</v>
      </c>
      <c r="K59" s="42">
        <f t="shared" si="27"/>
        <v>0</v>
      </c>
      <c r="L59" s="42">
        <f t="shared" si="27"/>
        <v>0</v>
      </c>
      <c r="M59" s="10">
        <f t="shared" si="27"/>
        <v>0</v>
      </c>
      <c r="N59" s="10">
        <f t="shared" si="27"/>
        <v>0</v>
      </c>
      <c r="O59" s="53" t="e">
        <f>N58/O58</f>
        <v>#DIV/0!</v>
      </c>
      <c r="P59" s="53" t="e">
        <f>M58/P58</f>
        <v>#DIV/0!</v>
      </c>
    </row>
    <row r="60" spans="1:16" ht="38.25" x14ac:dyDescent="0.25">
      <c r="A60" s="40" t="s">
        <v>506</v>
      </c>
      <c r="B60" s="452">
        <f>B59+I59</f>
        <v>0</v>
      </c>
      <c r="C60" s="453"/>
      <c r="D60" s="452">
        <f>D59+I59</f>
        <v>0</v>
      </c>
      <c r="E60" s="453"/>
      <c r="F60" s="452">
        <f>F59+I59</f>
        <v>0</v>
      </c>
      <c r="G60" s="453"/>
      <c r="H60" s="42">
        <f>H59+I59</f>
        <v>0</v>
      </c>
      <c r="I60" s="420"/>
      <c r="J60" s="421"/>
      <c r="K60" s="421"/>
      <c r="L60" s="421"/>
      <c r="M60" s="421"/>
      <c r="N60" s="422"/>
      <c r="O60" s="6" t="s">
        <v>507</v>
      </c>
      <c r="P60" s="6" t="s">
        <v>508</v>
      </c>
    </row>
    <row r="61" spans="1:16" ht="18.75" x14ac:dyDescent="0.25">
      <c r="A61" s="424" t="s">
        <v>512</v>
      </c>
      <c r="B61" s="424"/>
      <c r="C61" s="424"/>
      <c r="D61" s="424"/>
      <c r="E61" s="424"/>
      <c r="F61" s="424"/>
      <c r="G61" s="424"/>
      <c r="H61" s="424"/>
      <c r="I61" s="424"/>
      <c r="J61" s="424"/>
      <c r="K61" s="424"/>
      <c r="L61" s="424"/>
      <c r="M61" s="424"/>
      <c r="N61" s="424"/>
      <c r="O61" s="424"/>
      <c r="P61" s="424"/>
    </row>
    <row r="62" spans="1:16" ht="25.5" x14ac:dyDescent="0.25">
      <c r="A62" s="425" t="s">
        <v>692</v>
      </c>
      <c r="B62" s="426"/>
      <c r="C62" s="427"/>
      <c r="D62" s="428"/>
      <c r="E62" s="429"/>
      <c r="F62" s="430"/>
      <c r="G62" s="4" t="s">
        <v>691</v>
      </c>
      <c r="H62" s="67" t="s">
        <v>849</v>
      </c>
      <c r="I62" s="47" t="s">
        <v>693</v>
      </c>
      <c r="J62" s="428" t="s">
        <v>849</v>
      </c>
      <c r="K62" s="429"/>
      <c r="L62" s="430"/>
      <c r="M62" s="46" t="s">
        <v>490</v>
      </c>
      <c r="N62" s="416"/>
      <c r="O62" s="417"/>
      <c r="P62" s="418"/>
    </row>
    <row r="63" spans="1:16" x14ac:dyDescent="0.25">
      <c r="A63" s="444" t="s">
        <v>492</v>
      </c>
      <c r="B63" s="444" t="s">
        <v>493</v>
      </c>
      <c r="C63" s="444"/>
      <c r="D63" s="444"/>
      <c r="E63" s="444"/>
      <c r="F63" s="444"/>
      <c r="G63" s="444"/>
      <c r="H63" s="419" t="s">
        <v>494</v>
      </c>
      <c r="I63" s="446" t="s">
        <v>683</v>
      </c>
      <c r="J63" s="419" t="s">
        <v>495</v>
      </c>
      <c r="K63" s="419" t="s">
        <v>496</v>
      </c>
      <c r="L63" s="419" t="s">
        <v>497</v>
      </c>
      <c r="M63" s="419" t="s">
        <v>498</v>
      </c>
      <c r="N63" s="419" t="s">
        <v>499</v>
      </c>
      <c r="O63" s="419" t="s">
        <v>500</v>
      </c>
      <c r="P63" s="419" t="s">
        <v>501</v>
      </c>
    </row>
    <row r="64" spans="1:16" x14ac:dyDescent="0.25">
      <c r="A64" s="444"/>
      <c r="B64" s="448">
        <v>5</v>
      </c>
      <c r="C64" s="449"/>
      <c r="D64" s="448">
        <v>15</v>
      </c>
      <c r="E64" s="449"/>
      <c r="F64" s="448">
        <v>25</v>
      </c>
      <c r="G64" s="449"/>
      <c r="H64" s="419"/>
      <c r="I64" s="447"/>
      <c r="J64" s="419"/>
      <c r="K64" s="419"/>
      <c r="L64" s="419"/>
      <c r="M64" s="419"/>
      <c r="N64" s="419"/>
      <c r="O64" s="419"/>
      <c r="P64" s="419"/>
    </row>
    <row r="65" spans="1:16" x14ac:dyDescent="0.25">
      <c r="A65" s="5">
        <v>43922</v>
      </c>
      <c r="B65" s="450">
        <v>0</v>
      </c>
      <c r="C65" s="451"/>
      <c r="D65" s="450">
        <v>0</v>
      </c>
      <c r="E65" s="451"/>
      <c r="F65" s="450">
        <v>0</v>
      </c>
      <c r="G65" s="451"/>
      <c r="H65" s="42">
        <f t="shared" ref="H65:H70" si="28">AVERAGE(B65:G65)</f>
        <v>0</v>
      </c>
      <c r="I65" s="43">
        <v>0</v>
      </c>
      <c r="J65" s="43">
        <v>0</v>
      </c>
      <c r="K65" s="44">
        <v>0</v>
      </c>
      <c r="L65" s="45">
        <f t="shared" ref="L65:L70" si="29">J65-K65</f>
        <v>0</v>
      </c>
      <c r="M65" s="7">
        <v>0</v>
      </c>
      <c r="N65" s="7">
        <v>0</v>
      </c>
      <c r="O65" s="7">
        <v>0</v>
      </c>
      <c r="P65" s="7">
        <v>0</v>
      </c>
    </row>
    <row r="66" spans="1:16" x14ac:dyDescent="0.25">
      <c r="A66" s="5">
        <f>EDATE(A65,1)</f>
        <v>43952</v>
      </c>
      <c r="B66" s="450">
        <v>0</v>
      </c>
      <c r="C66" s="451"/>
      <c r="D66" s="450">
        <v>0</v>
      </c>
      <c r="E66" s="451"/>
      <c r="F66" s="450">
        <v>0</v>
      </c>
      <c r="G66" s="451"/>
      <c r="H66" s="42">
        <f t="shared" ref="H66:H68" si="30">AVERAGE(B66:G66)</f>
        <v>0</v>
      </c>
      <c r="I66" s="43">
        <v>0</v>
      </c>
      <c r="J66" s="43">
        <v>0</v>
      </c>
      <c r="K66" s="44">
        <v>0</v>
      </c>
      <c r="L66" s="45">
        <f t="shared" ref="L66:L68" si="31">J66-K66</f>
        <v>0</v>
      </c>
      <c r="M66" s="7">
        <v>0</v>
      </c>
      <c r="N66" s="7">
        <v>0</v>
      </c>
      <c r="O66" s="7">
        <v>0</v>
      </c>
      <c r="P66" s="7">
        <v>0</v>
      </c>
    </row>
    <row r="67" spans="1:16" x14ac:dyDescent="0.25">
      <c r="A67" s="5">
        <f t="shared" ref="A67:A70" si="32">EDATE(A66,1)</f>
        <v>43983</v>
      </c>
      <c r="B67" s="450">
        <v>0</v>
      </c>
      <c r="C67" s="451"/>
      <c r="D67" s="450">
        <v>0</v>
      </c>
      <c r="E67" s="451"/>
      <c r="F67" s="450">
        <v>0</v>
      </c>
      <c r="G67" s="451"/>
      <c r="H67" s="42">
        <f t="shared" si="30"/>
        <v>0</v>
      </c>
      <c r="I67" s="43">
        <v>0</v>
      </c>
      <c r="J67" s="43">
        <v>0</v>
      </c>
      <c r="K67" s="44">
        <v>0</v>
      </c>
      <c r="L67" s="45">
        <f t="shared" si="31"/>
        <v>0</v>
      </c>
      <c r="M67" s="7">
        <v>0</v>
      </c>
      <c r="N67" s="7">
        <v>0</v>
      </c>
      <c r="O67" s="7">
        <v>0</v>
      </c>
      <c r="P67" s="7">
        <v>0</v>
      </c>
    </row>
    <row r="68" spans="1:16" x14ac:dyDescent="0.25">
      <c r="A68" s="5">
        <f t="shared" si="32"/>
        <v>44013</v>
      </c>
      <c r="B68" s="450">
        <v>0</v>
      </c>
      <c r="C68" s="451"/>
      <c r="D68" s="450">
        <v>0</v>
      </c>
      <c r="E68" s="451"/>
      <c r="F68" s="450">
        <v>0</v>
      </c>
      <c r="G68" s="451"/>
      <c r="H68" s="42">
        <f t="shared" si="30"/>
        <v>0</v>
      </c>
      <c r="I68" s="43">
        <v>0</v>
      </c>
      <c r="J68" s="43">
        <v>0</v>
      </c>
      <c r="K68" s="44">
        <v>0</v>
      </c>
      <c r="L68" s="45">
        <f t="shared" si="31"/>
        <v>0</v>
      </c>
      <c r="M68" s="7">
        <v>0</v>
      </c>
      <c r="N68" s="7">
        <v>0</v>
      </c>
      <c r="O68" s="7">
        <v>0</v>
      </c>
      <c r="P68" s="7">
        <v>0</v>
      </c>
    </row>
    <row r="69" spans="1:16" x14ac:dyDescent="0.25">
      <c r="A69" s="5">
        <f t="shared" si="32"/>
        <v>44044</v>
      </c>
      <c r="B69" s="450">
        <v>0</v>
      </c>
      <c r="C69" s="451"/>
      <c r="D69" s="450">
        <v>0</v>
      </c>
      <c r="E69" s="451"/>
      <c r="F69" s="450">
        <v>0</v>
      </c>
      <c r="G69" s="451"/>
      <c r="H69" s="42">
        <f t="shared" si="28"/>
        <v>0</v>
      </c>
      <c r="I69" s="43">
        <v>0</v>
      </c>
      <c r="J69" s="43">
        <v>0</v>
      </c>
      <c r="K69" s="44">
        <v>0</v>
      </c>
      <c r="L69" s="45">
        <f t="shared" si="29"/>
        <v>0</v>
      </c>
      <c r="M69" s="7">
        <v>0</v>
      </c>
      <c r="N69" s="7">
        <v>0</v>
      </c>
      <c r="O69" s="7">
        <v>0</v>
      </c>
      <c r="P69" s="7">
        <v>0</v>
      </c>
    </row>
    <row r="70" spans="1:16" ht="15" customHeight="1" x14ac:dyDescent="0.25">
      <c r="A70" s="5">
        <f t="shared" si="32"/>
        <v>44075</v>
      </c>
      <c r="B70" s="450">
        <v>0</v>
      </c>
      <c r="C70" s="451"/>
      <c r="D70" s="450">
        <v>0</v>
      </c>
      <c r="E70" s="451"/>
      <c r="F70" s="450">
        <v>0</v>
      </c>
      <c r="G70" s="451"/>
      <c r="H70" s="42">
        <f t="shared" si="28"/>
        <v>0</v>
      </c>
      <c r="I70" s="43">
        <v>0</v>
      </c>
      <c r="J70" s="43">
        <v>0</v>
      </c>
      <c r="K70" s="44">
        <v>0</v>
      </c>
      <c r="L70" s="45">
        <f t="shared" si="29"/>
        <v>0</v>
      </c>
      <c r="M70" s="7">
        <v>0</v>
      </c>
      <c r="N70" s="7">
        <v>0</v>
      </c>
      <c r="O70" s="7">
        <v>0</v>
      </c>
      <c r="P70" s="7">
        <v>0</v>
      </c>
    </row>
    <row r="71" spans="1:16" x14ac:dyDescent="0.25">
      <c r="A71" s="40" t="s">
        <v>505</v>
      </c>
      <c r="B71" s="452">
        <f>SUM(B65:B70)</f>
        <v>0</v>
      </c>
      <c r="C71" s="453"/>
      <c r="D71" s="452">
        <f>SUM(D65:D70)</f>
        <v>0</v>
      </c>
      <c r="E71" s="453"/>
      <c r="F71" s="452">
        <f>SUM(F65:F70)</f>
        <v>0</v>
      </c>
      <c r="G71" s="453"/>
      <c r="H71" s="42">
        <f t="shared" ref="H71:P71" si="33">SUM(H65:H70)</f>
        <v>0</v>
      </c>
      <c r="I71" s="42">
        <f t="shared" si="33"/>
        <v>0</v>
      </c>
      <c r="J71" s="42">
        <f t="shared" si="33"/>
        <v>0</v>
      </c>
      <c r="K71" s="42">
        <f t="shared" si="33"/>
        <v>0</v>
      </c>
      <c r="L71" s="42">
        <f t="shared" si="33"/>
        <v>0</v>
      </c>
      <c r="M71" s="10">
        <f t="shared" si="33"/>
        <v>0</v>
      </c>
      <c r="N71" s="10">
        <f t="shared" si="33"/>
        <v>0</v>
      </c>
      <c r="O71" s="8">
        <f t="shared" si="33"/>
        <v>0</v>
      </c>
      <c r="P71" s="8">
        <f t="shared" si="33"/>
        <v>0</v>
      </c>
    </row>
    <row r="72" spans="1:16" x14ac:dyDescent="0.25">
      <c r="A72" s="40" t="s">
        <v>494</v>
      </c>
      <c r="B72" s="452">
        <f>AVERAGE(B65:B70)</f>
        <v>0</v>
      </c>
      <c r="C72" s="453"/>
      <c r="D72" s="452">
        <f>AVERAGE(D65:D70)</f>
        <v>0</v>
      </c>
      <c r="E72" s="453"/>
      <c r="F72" s="452">
        <f>AVERAGE(F65:F70)</f>
        <v>0</v>
      </c>
      <c r="G72" s="453"/>
      <c r="H72" s="42">
        <f t="shared" ref="H72:N72" si="34">AVERAGE(H65:H70)</f>
        <v>0</v>
      </c>
      <c r="I72" s="42">
        <f t="shared" si="34"/>
        <v>0</v>
      </c>
      <c r="J72" s="42">
        <f t="shared" si="34"/>
        <v>0</v>
      </c>
      <c r="K72" s="42">
        <f t="shared" si="34"/>
        <v>0</v>
      </c>
      <c r="L72" s="42">
        <f t="shared" si="34"/>
        <v>0</v>
      </c>
      <c r="M72" s="10">
        <f t="shared" si="34"/>
        <v>0</v>
      </c>
      <c r="N72" s="10">
        <f t="shared" si="34"/>
        <v>0</v>
      </c>
      <c r="O72" s="53" t="e">
        <f>N71/O71</f>
        <v>#DIV/0!</v>
      </c>
      <c r="P72" s="53" t="e">
        <f>M71/P71</f>
        <v>#DIV/0!</v>
      </c>
    </row>
    <row r="73" spans="1:16" ht="38.25" x14ac:dyDescent="0.25">
      <c r="A73" s="40" t="s">
        <v>506</v>
      </c>
      <c r="B73" s="452">
        <f>B72+I72</f>
        <v>0</v>
      </c>
      <c r="C73" s="453"/>
      <c r="D73" s="452">
        <f>D72+I72</f>
        <v>0</v>
      </c>
      <c r="E73" s="453"/>
      <c r="F73" s="452">
        <f>F72+I72</f>
        <v>0</v>
      </c>
      <c r="G73" s="453"/>
      <c r="H73" s="42">
        <f>H72+I72</f>
        <v>0</v>
      </c>
      <c r="I73" s="420"/>
      <c r="J73" s="421"/>
      <c r="K73" s="421"/>
      <c r="L73" s="421"/>
      <c r="M73" s="421"/>
      <c r="N73" s="422"/>
      <c r="O73" s="6" t="s">
        <v>507</v>
      </c>
      <c r="P73" s="6" t="s">
        <v>508</v>
      </c>
    </row>
    <row r="74" spans="1:16" ht="18.75" x14ac:dyDescent="0.25">
      <c r="A74" s="424" t="s">
        <v>749</v>
      </c>
      <c r="B74" s="424"/>
      <c r="C74" s="424"/>
      <c r="D74" s="424"/>
      <c r="E74" s="424"/>
      <c r="F74" s="424"/>
      <c r="G74" s="424"/>
      <c r="H74" s="424"/>
      <c r="I74" s="424"/>
      <c r="J74" s="424"/>
      <c r="K74" s="424"/>
      <c r="L74" s="424"/>
      <c r="M74" s="424"/>
      <c r="N74" s="424"/>
      <c r="O74" s="424"/>
      <c r="P74" s="424"/>
    </row>
    <row r="75" spans="1:16" ht="25.5" x14ac:dyDescent="0.25">
      <c r="A75" s="425" t="s">
        <v>692</v>
      </c>
      <c r="B75" s="426"/>
      <c r="C75" s="427"/>
      <c r="D75" s="428"/>
      <c r="E75" s="429"/>
      <c r="F75" s="430"/>
      <c r="G75" s="4" t="s">
        <v>691</v>
      </c>
      <c r="H75" s="67" t="s">
        <v>849</v>
      </c>
      <c r="I75" s="52" t="s">
        <v>693</v>
      </c>
      <c r="J75" s="428" t="s">
        <v>849</v>
      </c>
      <c r="K75" s="429"/>
      <c r="L75" s="430"/>
      <c r="M75" s="52" t="s">
        <v>490</v>
      </c>
      <c r="N75" s="416"/>
      <c r="O75" s="417"/>
      <c r="P75" s="418"/>
    </row>
    <row r="76" spans="1:16" x14ac:dyDescent="0.25">
      <c r="A76" s="444" t="s">
        <v>492</v>
      </c>
      <c r="B76" s="444" t="s">
        <v>493</v>
      </c>
      <c r="C76" s="444"/>
      <c r="D76" s="444"/>
      <c r="E76" s="444"/>
      <c r="F76" s="444"/>
      <c r="G76" s="444"/>
      <c r="H76" s="419" t="s">
        <v>494</v>
      </c>
      <c r="I76" s="446" t="s">
        <v>683</v>
      </c>
      <c r="J76" s="419" t="s">
        <v>495</v>
      </c>
      <c r="K76" s="419" t="s">
        <v>496</v>
      </c>
      <c r="L76" s="419" t="s">
        <v>497</v>
      </c>
      <c r="M76" s="419" t="s">
        <v>498</v>
      </c>
      <c r="N76" s="419" t="s">
        <v>499</v>
      </c>
      <c r="O76" s="419" t="s">
        <v>500</v>
      </c>
      <c r="P76" s="419" t="s">
        <v>501</v>
      </c>
    </row>
    <row r="77" spans="1:16" x14ac:dyDescent="0.25">
      <c r="A77" s="444"/>
      <c r="B77" s="448">
        <v>5</v>
      </c>
      <c r="C77" s="449"/>
      <c r="D77" s="448">
        <v>15</v>
      </c>
      <c r="E77" s="449"/>
      <c r="F77" s="448">
        <v>25</v>
      </c>
      <c r="G77" s="449"/>
      <c r="H77" s="419"/>
      <c r="I77" s="447"/>
      <c r="J77" s="419"/>
      <c r="K77" s="419"/>
      <c r="L77" s="419"/>
      <c r="M77" s="419"/>
      <c r="N77" s="419"/>
      <c r="O77" s="419"/>
      <c r="P77" s="419"/>
    </row>
    <row r="78" spans="1:16" x14ac:dyDescent="0.25">
      <c r="A78" s="5">
        <v>43922</v>
      </c>
      <c r="B78" s="450">
        <v>0</v>
      </c>
      <c r="C78" s="451"/>
      <c r="D78" s="450">
        <v>0</v>
      </c>
      <c r="E78" s="451"/>
      <c r="F78" s="450">
        <v>0</v>
      </c>
      <c r="G78" s="451"/>
      <c r="H78" s="42">
        <f t="shared" ref="H78:H83" si="35">AVERAGE(B78:G78)</f>
        <v>0</v>
      </c>
      <c r="I78" s="43">
        <v>0</v>
      </c>
      <c r="J78" s="43">
        <v>0</v>
      </c>
      <c r="K78" s="44">
        <v>0</v>
      </c>
      <c r="L78" s="45">
        <f t="shared" ref="L78:L83" si="36">J78-K78</f>
        <v>0</v>
      </c>
      <c r="M78" s="7">
        <v>0</v>
      </c>
      <c r="N78" s="7">
        <v>0</v>
      </c>
      <c r="O78" s="7">
        <v>0</v>
      </c>
      <c r="P78" s="7">
        <v>0</v>
      </c>
    </row>
    <row r="79" spans="1:16" x14ac:dyDescent="0.25">
      <c r="A79" s="5">
        <f>EDATE(A78,1)</f>
        <v>43952</v>
      </c>
      <c r="B79" s="450">
        <v>0</v>
      </c>
      <c r="C79" s="451"/>
      <c r="D79" s="450">
        <v>0</v>
      </c>
      <c r="E79" s="451"/>
      <c r="F79" s="450">
        <v>0</v>
      </c>
      <c r="G79" s="451"/>
      <c r="H79" s="42">
        <f t="shared" ref="H79:H81" si="37">AVERAGE(B79:G79)</f>
        <v>0</v>
      </c>
      <c r="I79" s="43">
        <v>0</v>
      </c>
      <c r="J79" s="43">
        <v>0</v>
      </c>
      <c r="K79" s="44">
        <v>0</v>
      </c>
      <c r="L79" s="45">
        <f t="shared" ref="L79:L81" si="38">J79-K79</f>
        <v>0</v>
      </c>
      <c r="M79" s="7">
        <v>0</v>
      </c>
      <c r="N79" s="7">
        <v>0</v>
      </c>
      <c r="O79" s="7">
        <v>0</v>
      </c>
      <c r="P79" s="7">
        <v>0</v>
      </c>
    </row>
    <row r="80" spans="1:16" ht="15" customHeight="1" x14ac:dyDescent="0.25">
      <c r="A80" s="5">
        <f t="shared" ref="A80:A83" si="39">EDATE(A79,1)</f>
        <v>43983</v>
      </c>
      <c r="B80" s="450">
        <v>0</v>
      </c>
      <c r="C80" s="451"/>
      <c r="D80" s="450">
        <v>0</v>
      </c>
      <c r="E80" s="451"/>
      <c r="F80" s="450">
        <v>0</v>
      </c>
      <c r="G80" s="451"/>
      <c r="H80" s="42">
        <f t="shared" si="37"/>
        <v>0</v>
      </c>
      <c r="I80" s="43">
        <v>0</v>
      </c>
      <c r="J80" s="43">
        <v>0</v>
      </c>
      <c r="K80" s="44">
        <v>0</v>
      </c>
      <c r="L80" s="45">
        <f t="shared" si="38"/>
        <v>0</v>
      </c>
      <c r="M80" s="7">
        <v>0</v>
      </c>
      <c r="N80" s="7">
        <v>0</v>
      </c>
      <c r="O80" s="7">
        <v>0</v>
      </c>
      <c r="P80" s="7">
        <v>0</v>
      </c>
    </row>
    <row r="81" spans="1:16" ht="15" customHeight="1" x14ac:dyDescent="0.25">
      <c r="A81" s="5">
        <f t="shared" si="39"/>
        <v>44013</v>
      </c>
      <c r="B81" s="450">
        <v>0</v>
      </c>
      <c r="C81" s="451"/>
      <c r="D81" s="450">
        <v>0</v>
      </c>
      <c r="E81" s="451"/>
      <c r="F81" s="450">
        <v>0</v>
      </c>
      <c r="G81" s="451"/>
      <c r="H81" s="42">
        <f t="shared" si="37"/>
        <v>0</v>
      </c>
      <c r="I81" s="43">
        <v>0</v>
      </c>
      <c r="J81" s="43">
        <v>0</v>
      </c>
      <c r="K81" s="44">
        <v>0</v>
      </c>
      <c r="L81" s="45">
        <f t="shared" si="38"/>
        <v>0</v>
      </c>
      <c r="M81" s="7">
        <v>0</v>
      </c>
      <c r="N81" s="7">
        <v>0</v>
      </c>
      <c r="O81" s="7">
        <v>0</v>
      </c>
      <c r="P81" s="7">
        <v>0</v>
      </c>
    </row>
    <row r="82" spans="1:16" x14ac:dyDescent="0.25">
      <c r="A82" s="5">
        <f t="shared" si="39"/>
        <v>44044</v>
      </c>
      <c r="B82" s="450">
        <v>0</v>
      </c>
      <c r="C82" s="451"/>
      <c r="D82" s="450">
        <v>0</v>
      </c>
      <c r="E82" s="451"/>
      <c r="F82" s="450">
        <v>0</v>
      </c>
      <c r="G82" s="451"/>
      <c r="H82" s="42">
        <f t="shared" si="35"/>
        <v>0</v>
      </c>
      <c r="I82" s="43">
        <v>0</v>
      </c>
      <c r="J82" s="43">
        <v>0</v>
      </c>
      <c r="K82" s="44">
        <v>0</v>
      </c>
      <c r="L82" s="45">
        <f t="shared" si="36"/>
        <v>0</v>
      </c>
      <c r="M82" s="7">
        <v>0</v>
      </c>
      <c r="N82" s="7">
        <v>0</v>
      </c>
      <c r="O82" s="7">
        <v>0</v>
      </c>
      <c r="P82" s="7">
        <v>0</v>
      </c>
    </row>
    <row r="83" spans="1:16" x14ac:dyDescent="0.25">
      <c r="A83" s="5">
        <f t="shared" si="39"/>
        <v>44075</v>
      </c>
      <c r="B83" s="450">
        <v>0</v>
      </c>
      <c r="C83" s="451"/>
      <c r="D83" s="450">
        <v>0</v>
      </c>
      <c r="E83" s="451"/>
      <c r="F83" s="450">
        <v>0</v>
      </c>
      <c r="G83" s="451"/>
      <c r="H83" s="42">
        <f t="shared" si="35"/>
        <v>0</v>
      </c>
      <c r="I83" s="43">
        <v>0</v>
      </c>
      <c r="J83" s="43">
        <v>0</v>
      </c>
      <c r="K83" s="44">
        <v>0</v>
      </c>
      <c r="L83" s="45">
        <f t="shared" si="36"/>
        <v>0</v>
      </c>
      <c r="M83" s="7">
        <v>0</v>
      </c>
      <c r="N83" s="7">
        <v>0</v>
      </c>
      <c r="O83" s="7">
        <v>0</v>
      </c>
      <c r="P83" s="7">
        <v>0</v>
      </c>
    </row>
    <row r="84" spans="1:16" x14ac:dyDescent="0.25">
      <c r="A84" s="51" t="s">
        <v>505</v>
      </c>
      <c r="B84" s="452">
        <f>SUM(B78:B83)</f>
        <v>0</v>
      </c>
      <c r="C84" s="453"/>
      <c r="D84" s="452">
        <f>SUM(D78:D83)</f>
        <v>0</v>
      </c>
      <c r="E84" s="453"/>
      <c r="F84" s="452">
        <f>SUM(F78:F83)</f>
        <v>0</v>
      </c>
      <c r="G84" s="453"/>
      <c r="H84" s="42">
        <f t="shared" ref="H84:P84" si="40">SUM(H78:H83)</f>
        <v>0</v>
      </c>
      <c r="I84" s="42">
        <f t="shared" si="40"/>
        <v>0</v>
      </c>
      <c r="J84" s="42">
        <f t="shared" si="40"/>
        <v>0</v>
      </c>
      <c r="K84" s="42">
        <f t="shared" si="40"/>
        <v>0</v>
      </c>
      <c r="L84" s="42">
        <f t="shared" si="40"/>
        <v>0</v>
      </c>
      <c r="M84" s="10">
        <f t="shared" si="40"/>
        <v>0</v>
      </c>
      <c r="N84" s="10">
        <f t="shared" si="40"/>
        <v>0</v>
      </c>
      <c r="O84" s="8">
        <f t="shared" si="40"/>
        <v>0</v>
      </c>
      <c r="P84" s="8">
        <f t="shared" si="40"/>
        <v>0</v>
      </c>
    </row>
    <row r="85" spans="1:16" x14ac:dyDescent="0.25">
      <c r="A85" s="51" t="s">
        <v>494</v>
      </c>
      <c r="B85" s="452">
        <f>AVERAGE(B78:B83)</f>
        <v>0</v>
      </c>
      <c r="C85" s="453"/>
      <c r="D85" s="452">
        <f>AVERAGE(D78:D83)</f>
        <v>0</v>
      </c>
      <c r="E85" s="453"/>
      <c r="F85" s="452">
        <f>AVERAGE(F78:F83)</f>
        <v>0</v>
      </c>
      <c r="G85" s="453"/>
      <c r="H85" s="42">
        <f t="shared" ref="H85:N85" si="41">AVERAGE(H78:H83)</f>
        <v>0</v>
      </c>
      <c r="I85" s="42">
        <f t="shared" si="41"/>
        <v>0</v>
      </c>
      <c r="J85" s="42">
        <f t="shared" si="41"/>
        <v>0</v>
      </c>
      <c r="K85" s="42">
        <f t="shared" si="41"/>
        <v>0</v>
      </c>
      <c r="L85" s="42">
        <f t="shared" si="41"/>
        <v>0</v>
      </c>
      <c r="M85" s="10">
        <f t="shared" si="41"/>
        <v>0</v>
      </c>
      <c r="N85" s="10">
        <f t="shared" si="41"/>
        <v>0</v>
      </c>
      <c r="O85" s="53" t="e">
        <f>N84/O84</f>
        <v>#DIV/0!</v>
      </c>
      <c r="P85" s="53" t="e">
        <f>M84/P84</f>
        <v>#DIV/0!</v>
      </c>
    </row>
    <row r="86" spans="1:16" ht="38.25" x14ac:dyDescent="0.25">
      <c r="A86" s="51" t="s">
        <v>506</v>
      </c>
      <c r="B86" s="452">
        <f>B85+I85</f>
        <v>0</v>
      </c>
      <c r="C86" s="453"/>
      <c r="D86" s="452">
        <f>D85+I85</f>
        <v>0</v>
      </c>
      <c r="E86" s="453"/>
      <c r="F86" s="452">
        <f>F85+I85</f>
        <v>0</v>
      </c>
      <c r="G86" s="453"/>
      <c r="H86" s="42">
        <f>H85+I85</f>
        <v>0</v>
      </c>
      <c r="I86" s="420"/>
      <c r="J86" s="421"/>
      <c r="K86" s="421"/>
      <c r="L86" s="421"/>
      <c r="M86" s="421"/>
      <c r="N86" s="422"/>
      <c r="O86" s="6" t="s">
        <v>507</v>
      </c>
      <c r="P86" s="6" t="s">
        <v>508</v>
      </c>
    </row>
    <row r="87" spans="1:16" ht="18.75" x14ac:dyDescent="0.25">
      <c r="A87" s="424" t="s">
        <v>750</v>
      </c>
      <c r="B87" s="424"/>
      <c r="C87" s="424"/>
      <c r="D87" s="424"/>
      <c r="E87" s="424"/>
      <c r="F87" s="424"/>
      <c r="G87" s="424"/>
      <c r="H87" s="424"/>
      <c r="I87" s="424"/>
      <c r="J87" s="424"/>
      <c r="K87" s="424"/>
      <c r="L87" s="424"/>
      <c r="M87" s="424"/>
      <c r="N87" s="424"/>
      <c r="O87" s="424"/>
      <c r="P87" s="424"/>
    </row>
    <row r="88" spans="1:16" ht="25.5" x14ac:dyDescent="0.25">
      <c r="A88" s="425" t="s">
        <v>692</v>
      </c>
      <c r="B88" s="426"/>
      <c r="C88" s="427"/>
      <c r="D88" s="428"/>
      <c r="E88" s="429"/>
      <c r="F88" s="430"/>
      <c r="G88" s="4" t="s">
        <v>691</v>
      </c>
      <c r="H88" s="67" t="s">
        <v>849</v>
      </c>
      <c r="I88" s="52" t="s">
        <v>693</v>
      </c>
      <c r="J88" s="428" t="s">
        <v>849</v>
      </c>
      <c r="K88" s="429"/>
      <c r="L88" s="430"/>
      <c r="M88" s="52" t="s">
        <v>490</v>
      </c>
      <c r="N88" s="416"/>
      <c r="O88" s="417"/>
      <c r="P88" s="418"/>
    </row>
    <row r="89" spans="1:16" x14ac:dyDescent="0.25">
      <c r="A89" s="444" t="s">
        <v>492</v>
      </c>
      <c r="B89" s="444" t="s">
        <v>493</v>
      </c>
      <c r="C89" s="444"/>
      <c r="D89" s="444"/>
      <c r="E89" s="444"/>
      <c r="F89" s="444"/>
      <c r="G89" s="444"/>
      <c r="H89" s="419" t="s">
        <v>494</v>
      </c>
      <c r="I89" s="446" t="s">
        <v>683</v>
      </c>
      <c r="J89" s="419" t="s">
        <v>495</v>
      </c>
      <c r="K89" s="419" t="s">
        <v>496</v>
      </c>
      <c r="L89" s="419" t="s">
        <v>497</v>
      </c>
      <c r="M89" s="419" t="s">
        <v>498</v>
      </c>
      <c r="N89" s="419" t="s">
        <v>499</v>
      </c>
      <c r="O89" s="419" t="s">
        <v>500</v>
      </c>
      <c r="P89" s="419" t="s">
        <v>501</v>
      </c>
    </row>
    <row r="90" spans="1:16" ht="15" customHeight="1" x14ac:dyDescent="0.25">
      <c r="A90" s="444"/>
      <c r="B90" s="448">
        <v>5</v>
      </c>
      <c r="C90" s="449"/>
      <c r="D90" s="448">
        <v>15</v>
      </c>
      <c r="E90" s="449"/>
      <c r="F90" s="448">
        <v>25</v>
      </c>
      <c r="G90" s="449"/>
      <c r="H90" s="419"/>
      <c r="I90" s="447"/>
      <c r="J90" s="419"/>
      <c r="K90" s="419"/>
      <c r="L90" s="419"/>
      <c r="M90" s="419"/>
      <c r="N90" s="419"/>
      <c r="O90" s="419"/>
      <c r="P90" s="419"/>
    </row>
    <row r="91" spans="1:16" ht="15" customHeight="1" x14ac:dyDescent="0.25">
      <c r="A91" s="5">
        <v>43922</v>
      </c>
      <c r="B91" s="450">
        <v>0</v>
      </c>
      <c r="C91" s="451"/>
      <c r="D91" s="450">
        <v>0</v>
      </c>
      <c r="E91" s="451"/>
      <c r="F91" s="450">
        <v>0</v>
      </c>
      <c r="G91" s="451"/>
      <c r="H91" s="42">
        <f t="shared" ref="H91:H96" si="42">AVERAGE(B91:G91)</f>
        <v>0</v>
      </c>
      <c r="I91" s="43">
        <v>0</v>
      </c>
      <c r="J91" s="43">
        <v>0</v>
      </c>
      <c r="K91" s="44">
        <v>0</v>
      </c>
      <c r="L91" s="45">
        <f t="shared" ref="L91:L96" si="43">J91-K91</f>
        <v>0</v>
      </c>
      <c r="M91" s="7">
        <v>0</v>
      </c>
      <c r="N91" s="7">
        <v>0</v>
      </c>
      <c r="O91" s="7">
        <v>0</v>
      </c>
      <c r="P91" s="7">
        <v>0</v>
      </c>
    </row>
    <row r="92" spans="1:16" x14ac:dyDescent="0.25">
      <c r="A92" s="5">
        <f>EDATE(A91,1)</f>
        <v>43952</v>
      </c>
      <c r="B92" s="450">
        <v>0</v>
      </c>
      <c r="C92" s="451"/>
      <c r="D92" s="450">
        <v>0</v>
      </c>
      <c r="E92" s="451"/>
      <c r="F92" s="450">
        <v>0</v>
      </c>
      <c r="G92" s="451"/>
      <c r="H92" s="42">
        <f t="shared" ref="H92:H94" si="44">AVERAGE(B92:G92)</f>
        <v>0</v>
      </c>
      <c r="I92" s="43">
        <v>0</v>
      </c>
      <c r="J92" s="43">
        <v>0</v>
      </c>
      <c r="K92" s="44">
        <v>0</v>
      </c>
      <c r="L92" s="45">
        <f t="shared" ref="L92:L94" si="45">J92-K92</f>
        <v>0</v>
      </c>
      <c r="M92" s="7">
        <v>0</v>
      </c>
      <c r="N92" s="7">
        <v>0</v>
      </c>
      <c r="O92" s="7">
        <v>0</v>
      </c>
      <c r="P92" s="7">
        <v>0</v>
      </c>
    </row>
    <row r="93" spans="1:16" x14ac:dyDescent="0.25">
      <c r="A93" s="5">
        <f t="shared" ref="A93:A96" si="46">EDATE(A92,1)</f>
        <v>43983</v>
      </c>
      <c r="B93" s="450">
        <v>0</v>
      </c>
      <c r="C93" s="451"/>
      <c r="D93" s="450">
        <v>0</v>
      </c>
      <c r="E93" s="451"/>
      <c r="F93" s="450">
        <v>0</v>
      </c>
      <c r="G93" s="451"/>
      <c r="H93" s="42">
        <f t="shared" si="44"/>
        <v>0</v>
      </c>
      <c r="I93" s="43">
        <v>0</v>
      </c>
      <c r="J93" s="43">
        <v>0</v>
      </c>
      <c r="K93" s="44">
        <v>0</v>
      </c>
      <c r="L93" s="45">
        <f t="shared" si="45"/>
        <v>0</v>
      </c>
      <c r="M93" s="7">
        <v>0</v>
      </c>
      <c r="N93" s="7">
        <v>0</v>
      </c>
      <c r="O93" s="7">
        <v>0</v>
      </c>
      <c r="P93" s="7">
        <v>0</v>
      </c>
    </row>
    <row r="94" spans="1:16" x14ac:dyDescent="0.25">
      <c r="A94" s="5">
        <f t="shared" si="46"/>
        <v>44013</v>
      </c>
      <c r="B94" s="450">
        <v>0</v>
      </c>
      <c r="C94" s="451"/>
      <c r="D94" s="450">
        <v>0</v>
      </c>
      <c r="E94" s="451"/>
      <c r="F94" s="450">
        <v>0</v>
      </c>
      <c r="G94" s="451"/>
      <c r="H94" s="42">
        <f t="shared" si="44"/>
        <v>0</v>
      </c>
      <c r="I94" s="43">
        <v>0</v>
      </c>
      <c r="J94" s="43">
        <v>0</v>
      </c>
      <c r="K94" s="44">
        <v>0</v>
      </c>
      <c r="L94" s="45">
        <f t="shared" si="45"/>
        <v>0</v>
      </c>
      <c r="M94" s="7">
        <v>0</v>
      </c>
      <c r="N94" s="7">
        <v>0</v>
      </c>
      <c r="O94" s="7">
        <v>0</v>
      </c>
      <c r="P94" s="7">
        <v>0</v>
      </c>
    </row>
    <row r="95" spans="1:16" x14ac:dyDescent="0.25">
      <c r="A95" s="5">
        <f t="shared" si="46"/>
        <v>44044</v>
      </c>
      <c r="B95" s="450">
        <v>0</v>
      </c>
      <c r="C95" s="451"/>
      <c r="D95" s="450">
        <v>0</v>
      </c>
      <c r="E95" s="451"/>
      <c r="F95" s="450">
        <v>0</v>
      </c>
      <c r="G95" s="451"/>
      <c r="H95" s="42">
        <f t="shared" si="42"/>
        <v>0</v>
      </c>
      <c r="I95" s="43">
        <v>0</v>
      </c>
      <c r="J95" s="43">
        <v>0</v>
      </c>
      <c r="K95" s="44">
        <v>0</v>
      </c>
      <c r="L95" s="45">
        <f t="shared" si="43"/>
        <v>0</v>
      </c>
      <c r="M95" s="7">
        <v>0</v>
      </c>
      <c r="N95" s="7">
        <v>0</v>
      </c>
      <c r="O95" s="7">
        <v>0</v>
      </c>
      <c r="P95" s="7">
        <v>0</v>
      </c>
    </row>
    <row r="96" spans="1:16" x14ac:dyDescent="0.25">
      <c r="A96" s="5">
        <f t="shared" si="46"/>
        <v>44075</v>
      </c>
      <c r="B96" s="450">
        <v>0</v>
      </c>
      <c r="C96" s="451"/>
      <c r="D96" s="450">
        <v>0</v>
      </c>
      <c r="E96" s="451"/>
      <c r="F96" s="450">
        <v>0</v>
      </c>
      <c r="G96" s="451"/>
      <c r="H96" s="42">
        <f t="shared" si="42"/>
        <v>0</v>
      </c>
      <c r="I96" s="43">
        <v>0</v>
      </c>
      <c r="J96" s="43">
        <v>0</v>
      </c>
      <c r="K96" s="44">
        <v>0</v>
      </c>
      <c r="L96" s="45">
        <f t="shared" si="43"/>
        <v>0</v>
      </c>
      <c r="M96" s="7">
        <v>0</v>
      </c>
      <c r="N96" s="7">
        <v>0</v>
      </c>
      <c r="O96" s="7">
        <v>0</v>
      </c>
      <c r="P96" s="7">
        <v>0</v>
      </c>
    </row>
    <row r="97" spans="1:16" x14ac:dyDescent="0.25">
      <c r="A97" s="51" t="s">
        <v>505</v>
      </c>
      <c r="B97" s="452">
        <f>SUM(B91:B96)</f>
        <v>0</v>
      </c>
      <c r="C97" s="453"/>
      <c r="D97" s="452">
        <f>SUM(D91:D96)</f>
        <v>0</v>
      </c>
      <c r="E97" s="453"/>
      <c r="F97" s="452">
        <f>SUM(F91:F96)</f>
        <v>0</v>
      </c>
      <c r="G97" s="453"/>
      <c r="H97" s="42">
        <f t="shared" ref="H97:P97" si="47">SUM(H91:H96)</f>
        <v>0</v>
      </c>
      <c r="I97" s="42">
        <f t="shared" si="47"/>
        <v>0</v>
      </c>
      <c r="J97" s="42">
        <f t="shared" si="47"/>
        <v>0</v>
      </c>
      <c r="K97" s="42">
        <f t="shared" si="47"/>
        <v>0</v>
      </c>
      <c r="L97" s="42">
        <f t="shared" si="47"/>
        <v>0</v>
      </c>
      <c r="M97" s="10">
        <f t="shared" si="47"/>
        <v>0</v>
      </c>
      <c r="N97" s="10">
        <f t="shared" si="47"/>
        <v>0</v>
      </c>
      <c r="O97" s="8">
        <f t="shared" si="47"/>
        <v>0</v>
      </c>
      <c r="P97" s="8">
        <f t="shared" si="47"/>
        <v>0</v>
      </c>
    </row>
    <row r="98" spans="1:16" x14ac:dyDescent="0.25">
      <c r="A98" s="51" t="s">
        <v>494</v>
      </c>
      <c r="B98" s="452">
        <f>AVERAGE(B91:B96)</f>
        <v>0</v>
      </c>
      <c r="C98" s="453"/>
      <c r="D98" s="452">
        <f>AVERAGE(D91:D96)</f>
        <v>0</v>
      </c>
      <c r="E98" s="453"/>
      <c r="F98" s="452">
        <f>AVERAGE(F91:F96)</f>
        <v>0</v>
      </c>
      <c r="G98" s="453"/>
      <c r="H98" s="42">
        <f t="shared" ref="H98:N98" si="48">AVERAGE(H91:H96)</f>
        <v>0</v>
      </c>
      <c r="I98" s="42">
        <f t="shared" si="48"/>
        <v>0</v>
      </c>
      <c r="J98" s="42">
        <f t="shared" si="48"/>
        <v>0</v>
      </c>
      <c r="K98" s="42">
        <f t="shared" si="48"/>
        <v>0</v>
      </c>
      <c r="L98" s="42">
        <f t="shared" si="48"/>
        <v>0</v>
      </c>
      <c r="M98" s="10">
        <f t="shared" si="48"/>
        <v>0</v>
      </c>
      <c r="N98" s="10">
        <f t="shared" si="48"/>
        <v>0</v>
      </c>
      <c r="O98" s="53" t="e">
        <f>N97/O97</f>
        <v>#DIV/0!</v>
      </c>
      <c r="P98" s="53" t="e">
        <f>M97/P97</f>
        <v>#DIV/0!</v>
      </c>
    </row>
    <row r="99" spans="1:16" ht="38.25" x14ac:dyDescent="0.25">
      <c r="A99" s="51" t="s">
        <v>506</v>
      </c>
      <c r="B99" s="452">
        <f>B98+I98</f>
        <v>0</v>
      </c>
      <c r="C99" s="453"/>
      <c r="D99" s="452">
        <f>D98+I98</f>
        <v>0</v>
      </c>
      <c r="E99" s="453"/>
      <c r="F99" s="452">
        <f>F98+I98</f>
        <v>0</v>
      </c>
      <c r="G99" s="453"/>
      <c r="H99" s="42">
        <f>H98+I98</f>
        <v>0</v>
      </c>
      <c r="I99" s="420"/>
      <c r="J99" s="421"/>
      <c r="K99" s="421"/>
      <c r="L99" s="421"/>
      <c r="M99" s="421"/>
      <c r="N99" s="422"/>
      <c r="O99" s="6" t="s">
        <v>507</v>
      </c>
      <c r="P99" s="6" t="s">
        <v>508</v>
      </c>
    </row>
    <row r="100" spans="1:16" ht="15" customHeight="1" x14ac:dyDescent="0.25">
      <c r="A100" s="424" t="s">
        <v>751</v>
      </c>
      <c r="B100" s="424"/>
      <c r="C100" s="424"/>
      <c r="D100" s="424"/>
      <c r="E100" s="424"/>
      <c r="F100" s="424"/>
      <c r="G100" s="424"/>
      <c r="H100" s="424"/>
      <c r="I100" s="424"/>
      <c r="J100" s="424"/>
      <c r="K100" s="424"/>
      <c r="L100" s="424"/>
      <c r="M100" s="424"/>
      <c r="N100" s="424"/>
      <c r="O100" s="424"/>
      <c r="P100" s="424"/>
    </row>
    <row r="101" spans="1:16" ht="15" customHeight="1" x14ac:dyDescent="0.25">
      <c r="A101" s="425" t="s">
        <v>692</v>
      </c>
      <c r="B101" s="426"/>
      <c r="C101" s="427"/>
      <c r="D101" s="428"/>
      <c r="E101" s="429"/>
      <c r="F101" s="430"/>
      <c r="G101" s="4" t="s">
        <v>691</v>
      </c>
      <c r="H101" s="67" t="s">
        <v>849</v>
      </c>
      <c r="I101" s="52" t="s">
        <v>693</v>
      </c>
      <c r="J101" s="428" t="s">
        <v>849</v>
      </c>
      <c r="K101" s="429"/>
      <c r="L101" s="430"/>
      <c r="M101" s="52" t="s">
        <v>490</v>
      </c>
      <c r="N101" s="416"/>
      <c r="O101" s="417"/>
      <c r="P101" s="418"/>
    </row>
    <row r="102" spans="1:16" x14ac:dyDescent="0.25">
      <c r="A102" s="444" t="s">
        <v>492</v>
      </c>
      <c r="B102" s="444" t="s">
        <v>493</v>
      </c>
      <c r="C102" s="444"/>
      <c r="D102" s="444"/>
      <c r="E102" s="444"/>
      <c r="F102" s="444"/>
      <c r="G102" s="444"/>
      <c r="H102" s="419" t="s">
        <v>494</v>
      </c>
      <c r="I102" s="446" t="s">
        <v>683</v>
      </c>
      <c r="J102" s="419" t="s">
        <v>495</v>
      </c>
      <c r="K102" s="419" t="s">
        <v>496</v>
      </c>
      <c r="L102" s="419" t="s">
        <v>497</v>
      </c>
      <c r="M102" s="419" t="s">
        <v>498</v>
      </c>
      <c r="N102" s="419" t="s">
        <v>499</v>
      </c>
      <c r="O102" s="419" t="s">
        <v>500</v>
      </c>
      <c r="P102" s="419" t="s">
        <v>501</v>
      </c>
    </row>
    <row r="103" spans="1:16" x14ac:dyDescent="0.25">
      <c r="A103" s="444"/>
      <c r="B103" s="448">
        <v>5</v>
      </c>
      <c r="C103" s="449"/>
      <c r="D103" s="448">
        <v>15</v>
      </c>
      <c r="E103" s="449"/>
      <c r="F103" s="448">
        <v>25</v>
      </c>
      <c r="G103" s="449"/>
      <c r="H103" s="419"/>
      <c r="I103" s="447"/>
      <c r="J103" s="419"/>
      <c r="K103" s="419"/>
      <c r="L103" s="419"/>
      <c r="M103" s="419"/>
      <c r="N103" s="419"/>
      <c r="O103" s="419"/>
      <c r="P103" s="419"/>
    </row>
    <row r="104" spans="1:16" x14ac:dyDescent="0.25">
      <c r="A104" s="5">
        <v>43922</v>
      </c>
      <c r="B104" s="450">
        <v>0</v>
      </c>
      <c r="C104" s="451"/>
      <c r="D104" s="450">
        <v>0</v>
      </c>
      <c r="E104" s="451"/>
      <c r="F104" s="450">
        <v>0</v>
      </c>
      <c r="G104" s="451"/>
      <c r="H104" s="42">
        <f t="shared" ref="H104:H109" si="49">AVERAGE(B104:G104)</f>
        <v>0</v>
      </c>
      <c r="I104" s="43">
        <v>0</v>
      </c>
      <c r="J104" s="43">
        <v>0</v>
      </c>
      <c r="K104" s="44">
        <v>0</v>
      </c>
      <c r="L104" s="45">
        <f t="shared" ref="L104:L109" si="50">J104-K104</f>
        <v>0</v>
      </c>
      <c r="M104" s="7">
        <v>0</v>
      </c>
      <c r="N104" s="7">
        <v>0</v>
      </c>
      <c r="O104" s="7">
        <v>0</v>
      </c>
      <c r="P104" s="7">
        <v>0</v>
      </c>
    </row>
    <row r="105" spans="1:16" x14ac:dyDescent="0.25">
      <c r="A105" s="5">
        <f>EDATE(A104,1)</f>
        <v>43952</v>
      </c>
      <c r="B105" s="450">
        <v>0</v>
      </c>
      <c r="C105" s="451"/>
      <c r="D105" s="450">
        <v>0</v>
      </c>
      <c r="E105" s="451"/>
      <c r="F105" s="450">
        <v>0</v>
      </c>
      <c r="G105" s="451"/>
      <c r="H105" s="42">
        <f t="shared" ref="H105:H107" si="51">AVERAGE(B105:G105)</f>
        <v>0</v>
      </c>
      <c r="I105" s="43">
        <v>0</v>
      </c>
      <c r="J105" s="43">
        <v>0</v>
      </c>
      <c r="K105" s="44">
        <v>0</v>
      </c>
      <c r="L105" s="45">
        <f t="shared" ref="L105:L107" si="52">J105-K105</f>
        <v>0</v>
      </c>
      <c r="M105" s="7">
        <v>0</v>
      </c>
      <c r="N105" s="7">
        <v>0</v>
      </c>
      <c r="O105" s="7">
        <v>0</v>
      </c>
      <c r="P105" s="7">
        <v>0</v>
      </c>
    </row>
    <row r="106" spans="1:16" x14ac:dyDescent="0.25">
      <c r="A106" s="5">
        <f t="shared" ref="A106:A109" si="53">EDATE(A105,1)</f>
        <v>43983</v>
      </c>
      <c r="B106" s="450">
        <v>0</v>
      </c>
      <c r="C106" s="451"/>
      <c r="D106" s="450">
        <v>0</v>
      </c>
      <c r="E106" s="451"/>
      <c r="F106" s="450">
        <v>0</v>
      </c>
      <c r="G106" s="451"/>
      <c r="H106" s="42">
        <f t="shared" si="51"/>
        <v>0</v>
      </c>
      <c r="I106" s="43">
        <v>0</v>
      </c>
      <c r="J106" s="43">
        <v>0</v>
      </c>
      <c r="K106" s="44">
        <v>0</v>
      </c>
      <c r="L106" s="45">
        <f t="shared" si="52"/>
        <v>0</v>
      </c>
      <c r="M106" s="7">
        <v>0</v>
      </c>
      <c r="N106" s="7">
        <v>0</v>
      </c>
      <c r="O106" s="7">
        <v>0</v>
      </c>
      <c r="P106" s="7">
        <v>0</v>
      </c>
    </row>
    <row r="107" spans="1:16" x14ac:dyDescent="0.25">
      <c r="A107" s="5">
        <f t="shared" si="53"/>
        <v>44013</v>
      </c>
      <c r="B107" s="450">
        <v>0</v>
      </c>
      <c r="C107" s="451"/>
      <c r="D107" s="450">
        <v>0</v>
      </c>
      <c r="E107" s="451"/>
      <c r="F107" s="450">
        <v>0</v>
      </c>
      <c r="G107" s="451"/>
      <c r="H107" s="42">
        <f t="shared" si="51"/>
        <v>0</v>
      </c>
      <c r="I107" s="43">
        <v>0</v>
      </c>
      <c r="J107" s="43">
        <v>0</v>
      </c>
      <c r="K107" s="44">
        <v>0</v>
      </c>
      <c r="L107" s="45">
        <f t="shared" si="52"/>
        <v>0</v>
      </c>
      <c r="M107" s="7">
        <v>0</v>
      </c>
      <c r="N107" s="7">
        <v>0</v>
      </c>
      <c r="O107" s="7">
        <v>0</v>
      </c>
      <c r="P107" s="7">
        <v>0</v>
      </c>
    </row>
    <row r="108" spans="1:16" x14ac:dyDescent="0.25">
      <c r="A108" s="5">
        <f t="shared" si="53"/>
        <v>44044</v>
      </c>
      <c r="B108" s="450">
        <v>0</v>
      </c>
      <c r="C108" s="451"/>
      <c r="D108" s="450">
        <v>0</v>
      </c>
      <c r="E108" s="451"/>
      <c r="F108" s="450">
        <v>0</v>
      </c>
      <c r="G108" s="451"/>
      <c r="H108" s="42">
        <f t="shared" si="49"/>
        <v>0</v>
      </c>
      <c r="I108" s="43">
        <v>0</v>
      </c>
      <c r="J108" s="43">
        <v>0</v>
      </c>
      <c r="K108" s="44">
        <v>0</v>
      </c>
      <c r="L108" s="45">
        <f t="shared" si="50"/>
        <v>0</v>
      </c>
      <c r="M108" s="7">
        <v>0</v>
      </c>
      <c r="N108" s="7">
        <v>0</v>
      </c>
      <c r="O108" s="7">
        <v>0</v>
      </c>
      <c r="P108" s="7">
        <v>0</v>
      </c>
    </row>
    <row r="109" spans="1:16" x14ac:dyDescent="0.25">
      <c r="A109" s="5">
        <f t="shared" si="53"/>
        <v>44075</v>
      </c>
      <c r="B109" s="450">
        <v>0</v>
      </c>
      <c r="C109" s="451"/>
      <c r="D109" s="450">
        <v>0</v>
      </c>
      <c r="E109" s="451"/>
      <c r="F109" s="450">
        <v>0</v>
      </c>
      <c r="G109" s="451"/>
      <c r="H109" s="42">
        <f t="shared" si="49"/>
        <v>0</v>
      </c>
      <c r="I109" s="43">
        <v>0</v>
      </c>
      <c r="J109" s="43">
        <v>0</v>
      </c>
      <c r="K109" s="44">
        <v>0</v>
      </c>
      <c r="L109" s="45">
        <f t="shared" si="50"/>
        <v>0</v>
      </c>
      <c r="M109" s="7">
        <v>0</v>
      </c>
      <c r="N109" s="7">
        <v>0</v>
      </c>
      <c r="O109" s="7">
        <v>0</v>
      </c>
      <c r="P109" s="7">
        <v>0</v>
      </c>
    </row>
    <row r="110" spans="1:16" ht="15" customHeight="1" x14ac:dyDescent="0.25">
      <c r="A110" s="51" t="s">
        <v>505</v>
      </c>
      <c r="B110" s="452">
        <f>SUM(B104:B109)</f>
        <v>0</v>
      </c>
      <c r="C110" s="453"/>
      <c r="D110" s="452">
        <f>SUM(D104:D109)</f>
        <v>0</v>
      </c>
      <c r="E110" s="453"/>
      <c r="F110" s="452">
        <f>SUM(F104:F109)</f>
        <v>0</v>
      </c>
      <c r="G110" s="453"/>
      <c r="H110" s="42">
        <f t="shared" ref="H110:P110" si="54">SUM(H104:H109)</f>
        <v>0</v>
      </c>
      <c r="I110" s="42">
        <f t="shared" si="54"/>
        <v>0</v>
      </c>
      <c r="J110" s="42">
        <f t="shared" si="54"/>
        <v>0</v>
      </c>
      <c r="K110" s="42">
        <f t="shared" si="54"/>
        <v>0</v>
      </c>
      <c r="L110" s="42">
        <f t="shared" si="54"/>
        <v>0</v>
      </c>
      <c r="M110" s="10">
        <f t="shared" si="54"/>
        <v>0</v>
      </c>
      <c r="N110" s="10">
        <f t="shared" si="54"/>
        <v>0</v>
      </c>
      <c r="O110" s="8">
        <f t="shared" si="54"/>
        <v>0</v>
      </c>
      <c r="P110" s="8">
        <f t="shared" si="54"/>
        <v>0</v>
      </c>
    </row>
    <row r="111" spans="1:16" ht="15" customHeight="1" x14ac:dyDescent="0.25">
      <c r="A111" s="51" t="s">
        <v>494</v>
      </c>
      <c r="B111" s="452">
        <f>AVERAGE(B104:B109)</f>
        <v>0</v>
      </c>
      <c r="C111" s="453"/>
      <c r="D111" s="452">
        <f>AVERAGE(D104:D109)</f>
        <v>0</v>
      </c>
      <c r="E111" s="453"/>
      <c r="F111" s="452">
        <f>AVERAGE(F104:F109)</f>
        <v>0</v>
      </c>
      <c r="G111" s="453"/>
      <c r="H111" s="42">
        <f t="shared" ref="H111:N111" si="55">AVERAGE(H104:H109)</f>
        <v>0</v>
      </c>
      <c r="I111" s="42">
        <f t="shared" si="55"/>
        <v>0</v>
      </c>
      <c r="J111" s="42">
        <f t="shared" si="55"/>
        <v>0</v>
      </c>
      <c r="K111" s="42">
        <f t="shared" si="55"/>
        <v>0</v>
      </c>
      <c r="L111" s="42">
        <f t="shared" si="55"/>
        <v>0</v>
      </c>
      <c r="M111" s="10">
        <f t="shared" si="55"/>
        <v>0</v>
      </c>
      <c r="N111" s="10">
        <f t="shared" si="55"/>
        <v>0</v>
      </c>
      <c r="O111" s="53" t="e">
        <f>N110/O110</f>
        <v>#DIV/0!</v>
      </c>
      <c r="P111" s="53" t="e">
        <f>M110/P110</f>
        <v>#DIV/0!</v>
      </c>
    </row>
    <row r="112" spans="1:16" ht="38.25" x14ac:dyDescent="0.25">
      <c r="A112" s="51" t="s">
        <v>506</v>
      </c>
      <c r="B112" s="452">
        <f>B111+I111</f>
        <v>0</v>
      </c>
      <c r="C112" s="453"/>
      <c r="D112" s="452">
        <f>D111+I111</f>
        <v>0</v>
      </c>
      <c r="E112" s="453"/>
      <c r="F112" s="452">
        <f>F111+I111</f>
        <v>0</v>
      </c>
      <c r="G112" s="453"/>
      <c r="H112" s="42">
        <f>H111+I111</f>
        <v>0</v>
      </c>
      <c r="I112" s="420"/>
      <c r="J112" s="421"/>
      <c r="K112" s="421"/>
      <c r="L112" s="421"/>
      <c r="M112" s="421"/>
      <c r="N112" s="422"/>
      <c r="O112" s="6" t="s">
        <v>507</v>
      </c>
      <c r="P112" s="6" t="s">
        <v>508</v>
      </c>
    </row>
    <row r="113" spans="1:16" ht="18.75" x14ac:dyDescent="0.25">
      <c r="A113" s="424" t="s">
        <v>752</v>
      </c>
      <c r="B113" s="424"/>
      <c r="C113" s="424"/>
      <c r="D113" s="424"/>
      <c r="E113" s="424"/>
      <c r="F113" s="424"/>
      <c r="G113" s="424"/>
      <c r="H113" s="424"/>
      <c r="I113" s="424"/>
      <c r="J113" s="424"/>
      <c r="K113" s="424"/>
      <c r="L113" s="424"/>
      <c r="M113" s="424"/>
      <c r="N113" s="424"/>
      <c r="O113" s="424"/>
      <c r="P113" s="424"/>
    </row>
    <row r="114" spans="1:16" ht="25.5" x14ac:dyDescent="0.25">
      <c r="A114" s="425" t="s">
        <v>692</v>
      </c>
      <c r="B114" s="426"/>
      <c r="C114" s="427"/>
      <c r="D114" s="428"/>
      <c r="E114" s="429"/>
      <c r="F114" s="430"/>
      <c r="G114" s="4" t="s">
        <v>691</v>
      </c>
      <c r="H114" s="67" t="s">
        <v>849</v>
      </c>
      <c r="I114" s="52" t="s">
        <v>693</v>
      </c>
      <c r="J114" s="428" t="s">
        <v>849</v>
      </c>
      <c r="K114" s="429"/>
      <c r="L114" s="430"/>
      <c r="M114" s="52" t="s">
        <v>490</v>
      </c>
      <c r="N114" s="416"/>
      <c r="O114" s="417"/>
      <c r="P114" s="418"/>
    </row>
    <row r="115" spans="1:16" x14ac:dyDescent="0.25">
      <c r="A115" s="444" t="s">
        <v>492</v>
      </c>
      <c r="B115" s="444" t="s">
        <v>493</v>
      </c>
      <c r="C115" s="444"/>
      <c r="D115" s="444"/>
      <c r="E115" s="444"/>
      <c r="F115" s="444"/>
      <c r="G115" s="444"/>
      <c r="H115" s="419" t="s">
        <v>494</v>
      </c>
      <c r="I115" s="446" t="s">
        <v>683</v>
      </c>
      <c r="J115" s="419" t="s">
        <v>495</v>
      </c>
      <c r="K115" s="419" t="s">
        <v>496</v>
      </c>
      <c r="L115" s="419" t="s">
        <v>497</v>
      </c>
      <c r="M115" s="419" t="s">
        <v>498</v>
      </c>
      <c r="N115" s="419" t="s">
        <v>499</v>
      </c>
      <c r="O115" s="419" t="s">
        <v>500</v>
      </c>
      <c r="P115" s="419" t="s">
        <v>501</v>
      </c>
    </row>
    <row r="116" spans="1:16" x14ac:dyDescent="0.25">
      <c r="A116" s="444"/>
      <c r="B116" s="448">
        <v>5</v>
      </c>
      <c r="C116" s="449"/>
      <c r="D116" s="448">
        <v>15</v>
      </c>
      <c r="E116" s="449"/>
      <c r="F116" s="448">
        <v>25</v>
      </c>
      <c r="G116" s="449"/>
      <c r="H116" s="419"/>
      <c r="I116" s="447"/>
      <c r="J116" s="419"/>
      <c r="K116" s="419"/>
      <c r="L116" s="419"/>
      <c r="M116" s="419"/>
      <c r="N116" s="419"/>
      <c r="O116" s="419"/>
      <c r="P116" s="419"/>
    </row>
    <row r="117" spans="1:16" x14ac:dyDescent="0.25">
      <c r="A117" s="5">
        <v>43922</v>
      </c>
      <c r="B117" s="450">
        <v>0</v>
      </c>
      <c r="C117" s="451"/>
      <c r="D117" s="450">
        <v>0</v>
      </c>
      <c r="E117" s="451"/>
      <c r="F117" s="450">
        <v>0</v>
      </c>
      <c r="G117" s="451"/>
      <c r="H117" s="42">
        <f t="shared" ref="H117:H119" si="56">AVERAGE(B117:G117)</f>
        <v>0</v>
      </c>
      <c r="I117" s="43">
        <v>0</v>
      </c>
      <c r="J117" s="43">
        <v>0</v>
      </c>
      <c r="K117" s="44">
        <v>0</v>
      </c>
      <c r="L117" s="45">
        <f t="shared" ref="L117:L119" si="57">J117-K117</f>
        <v>0</v>
      </c>
      <c r="M117" s="7">
        <v>0</v>
      </c>
      <c r="N117" s="7">
        <v>0</v>
      </c>
      <c r="O117" s="7">
        <v>0</v>
      </c>
      <c r="P117" s="7">
        <v>0</v>
      </c>
    </row>
    <row r="118" spans="1:16" x14ac:dyDescent="0.25">
      <c r="A118" s="5">
        <f>EDATE(A117,1)</f>
        <v>43952</v>
      </c>
      <c r="B118" s="450">
        <v>0</v>
      </c>
      <c r="C118" s="451"/>
      <c r="D118" s="450">
        <v>0</v>
      </c>
      <c r="E118" s="451"/>
      <c r="F118" s="450">
        <v>0</v>
      </c>
      <c r="G118" s="451"/>
      <c r="H118" s="42">
        <f t="shared" si="56"/>
        <v>0</v>
      </c>
      <c r="I118" s="43">
        <v>0</v>
      </c>
      <c r="J118" s="43">
        <v>0</v>
      </c>
      <c r="K118" s="44">
        <v>0</v>
      </c>
      <c r="L118" s="45">
        <f t="shared" si="57"/>
        <v>0</v>
      </c>
      <c r="M118" s="7">
        <v>0</v>
      </c>
      <c r="N118" s="7">
        <v>0</v>
      </c>
      <c r="O118" s="7">
        <v>0</v>
      </c>
      <c r="P118" s="7">
        <v>0</v>
      </c>
    </row>
    <row r="119" spans="1:16" x14ac:dyDescent="0.25">
      <c r="A119" s="5">
        <f t="shared" ref="A119:A122" si="58">EDATE(A118,1)</f>
        <v>43983</v>
      </c>
      <c r="B119" s="450">
        <v>0</v>
      </c>
      <c r="C119" s="451"/>
      <c r="D119" s="450">
        <v>0</v>
      </c>
      <c r="E119" s="451"/>
      <c r="F119" s="450">
        <v>0</v>
      </c>
      <c r="G119" s="451"/>
      <c r="H119" s="42">
        <f t="shared" si="56"/>
        <v>0</v>
      </c>
      <c r="I119" s="43">
        <v>0</v>
      </c>
      <c r="J119" s="43">
        <v>0</v>
      </c>
      <c r="K119" s="44">
        <v>0</v>
      </c>
      <c r="L119" s="45">
        <f t="shared" si="57"/>
        <v>0</v>
      </c>
      <c r="M119" s="7">
        <v>0</v>
      </c>
      <c r="N119" s="7">
        <v>0</v>
      </c>
      <c r="O119" s="7">
        <v>0</v>
      </c>
      <c r="P119" s="7">
        <v>0</v>
      </c>
    </row>
    <row r="120" spans="1:16" x14ac:dyDescent="0.25">
      <c r="A120" s="5">
        <f t="shared" si="58"/>
        <v>44013</v>
      </c>
      <c r="B120" s="450">
        <v>0</v>
      </c>
      <c r="C120" s="451"/>
      <c r="D120" s="450">
        <v>0</v>
      </c>
      <c r="E120" s="451"/>
      <c r="F120" s="450">
        <v>0</v>
      </c>
      <c r="G120" s="451"/>
      <c r="H120" s="42">
        <f t="shared" ref="H120:H122" si="59">AVERAGE(B120:G120)</f>
        <v>0</v>
      </c>
      <c r="I120" s="43">
        <v>0</v>
      </c>
      <c r="J120" s="43">
        <v>0</v>
      </c>
      <c r="K120" s="44">
        <v>0</v>
      </c>
      <c r="L120" s="45">
        <f t="shared" ref="L120:L122" si="60">J120-K120</f>
        <v>0</v>
      </c>
      <c r="M120" s="7">
        <v>0</v>
      </c>
      <c r="N120" s="7">
        <v>0</v>
      </c>
      <c r="O120" s="7">
        <v>0</v>
      </c>
      <c r="P120" s="7">
        <v>0</v>
      </c>
    </row>
    <row r="121" spans="1:16" x14ac:dyDescent="0.25">
      <c r="A121" s="5">
        <f t="shared" si="58"/>
        <v>44044</v>
      </c>
      <c r="B121" s="450">
        <v>0</v>
      </c>
      <c r="C121" s="451"/>
      <c r="D121" s="450">
        <v>0</v>
      </c>
      <c r="E121" s="451"/>
      <c r="F121" s="450">
        <v>0</v>
      </c>
      <c r="G121" s="451"/>
      <c r="H121" s="42">
        <f t="shared" si="59"/>
        <v>0</v>
      </c>
      <c r="I121" s="43">
        <v>0</v>
      </c>
      <c r="J121" s="43">
        <v>0</v>
      </c>
      <c r="K121" s="44">
        <v>0</v>
      </c>
      <c r="L121" s="45">
        <f t="shared" si="60"/>
        <v>0</v>
      </c>
      <c r="M121" s="7">
        <v>0</v>
      </c>
      <c r="N121" s="7">
        <v>0</v>
      </c>
      <c r="O121" s="7">
        <v>0</v>
      </c>
      <c r="P121" s="7">
        <v>0</v>
      </c>
    </row>
    <row r="122" spans="1:16" x14ac:dyDescent="0.25">
      <c r="A122" s="5">
        <f t="shared" si="58"/>
        <v>44075</v>
      </c>
      <c r="B122" s="450">
        <v>0</v>
      </c>
      <c r="C122" s="451"/>
      <c r="D122" s="450">
        <v>0</v>
      </c>
      <c r="E122" s="451"/>
      <c r="F122" s="450">
        <v>0</v>
      </c>
      <c r="G122" s="451"/>
      <c r="H122" s="42">
        <f t="shared" si="59"/>
        <v>0</v>
      </c>
      <c r="I122" s="43">
        <v>0</v>
      </c>
      <c r="J122" s="43">
        <v>0</v>
      </c>
      <c r="K122" s="44">
        <v>0</v>
      </c>
      <c r="L122" s="45">
        <f t="shared" si="60"/>
        <v>0</v>
      </c>
      <c r="M122" s="7">
        <v>0</v>
      </c>
      <c r="N122" s="7">
        <v>0</v>
      </c>
      <c r="O122" s="7">
        <v>0</v>
      </c>
      <c r="P122" s="7">
        <v>0</v>
      </c>
    </row>
    <row r="123" spans="1:16" x14ac:dyDescent="0.25">
      <c r="A123" s="51" t="s">
        <v>505</v>
      </c>
      <c r="B123" s="452">
        <f>SUM(B117:B122)</f>
        <v>0</v>
      </c>
      <c r="C123" s="453"/>
      <c r="D123" s="452">
        <f>SUM(D117:D122)</f>
        <v>0</v>
      </c>
      <c r="E123" s="453"/>
      <c r="F123" s="452">
        <f>SUM(F117:F122)</f>
        <v>0</v>
      </c>
      <c r="G123" s="453"/>
      <c r="H123" s="42">
        <f t="shared" ref="H123:P123" si="61">SUM(H117:H122)</f>
        <v>0</v>
      </c>
      <c r="I123" s="42">
        <f t="shared" si="61"/>
        <v>0</v>
      </c>
      <c r="J123" s="42">
        <f t="shared" si="61"/>
        <v>0</v>
      </c>
      <c r="K123" s="42">
        <f t="shared" si="61"/>
        <v>0</v>
      </c>
      <c r="L123" s="42">
        <f t="shared" si="61"/>
        <v>0</v>
      </c>
      <c r="M123" s="10">
        <f t="shared" si="61"/>
        <v>0</v>
      </c>
      <c r="N123" s="10">
        <f t="shared" si="61"/>
        <v>0</v>
      </c>
      <c r="O123" s="8">
        <f t="shared" si="61"/>
        <v>0</v>
      </c>
      <c r="P123" s="8">
        <f t="shared" si="61"/>
        <v>0</v>
      </c>
    </row>
    <row r="124" spans="1:16" x14ac:dyDescent="0.25">
      <c r="A124" s="51" t="s">
        <v>494</v>
      </c>
      <c r="B124" s="452">
        <f>AVERAGE(B117:B122)</f>
        <v>0</v>
      </c>
      <c r="C124" s="453"/>
      <c r="D124" s="452">
        <f>AVERAGE(D117:D122)</f>
        <v>0</v>
      </c>
      <c r="E124" s="453"/>
      <c r="F124" s="452">
        <f>AVERAGE(F117:F122)</f>
        <v>0</v>
      </c>
      <c r="G124" s="453"/>
      <c r="H124" s="42">
        <f t="shared" ref="H124:N124" si="62">AVERAGE(H117:H122)</f>
        <v>0</v>
      </c>
      <c r="I124" s="42">
        <f t="shared" si="62"/>
        <v>0</v>
      </c>
      <c r="J124" s="42">
        <f t="shared" si="62"/>
        <v>0</v>
      </c>
      <c r="K124" s="42">
        <f t="shared" si="62"/>
        <v>0</v>
      </c>
      <c r="L124" s="42">
        <f t="shared" si="62"/>
        <v>0</v>
      </c>
      <c r="M124" s="10">
        <f t="shared" si="62"/>
        <v>0</v>
      </c>
      <c r="N124" s="10">
        <f t="shared" si="62"/>
        <v>0</v>
      </c>
      <c r="O124" s="53" t="e">
        <f>N123/O123</f>
        <v>#DIV/0!</v>
      </c>
      <c r="P124" s="53" t="e">
        <f>M123/P123</f>
        <v>#DIV/0!</v>
      </c>
    </row>
    <row r="125" spans="1:16" ht="38.25" x14ac:dyDescent="0.25">
      <c r="A125" s="51" t="s">
        <v>506</v>
      </c>
      <c r="B125" s="452">
        <f>B124+I124</f>
        <v>0</v>
      </c>
      <c r="C125" s="453"/>
      <c r="D125" s="452">
        <f>D124+I124</f>
        <v>0</v>
      </c>
      <c r="E125" s="453"/>
      <c r="F125" s="452">
        <f>F124+I124</f>
        <v>0</v>
      </c>
      <c r="G125" s="453"/>
      <c r="H125" s="42">
        <f>H124+I124</f>
        <v>0</v>
      </c>
      <c r="I125" s="420"/>
      <c r="J125" s="421"/>
      <c r="K125" s="421"/>
      <c r="L125" s="421"/>
      <c r="M125" s="421"/>
      <c r="N125" s="422"/>
      <c r="O125" s="6" t="s">
        <v>507</v>
      </c>
      <c r="P125" s="6" t="s">
        <v>508</v>
      </c>
    </row>
    <row r="126" spans="1:16" ht="18.75" x14ac:dyDescent="0.25">
      <c r="A126" s="424" t="s">
        <v>753</v>
      </c>
      <c r="B126" s="424"/>
      <c r="C126" s="424"/>
      <c r="D126" s="424"/>
      <c r="E126" s="424"/>
      <c r="F126" s="424"/>
      <c r="G126" s="424"/>
      <c r="H126" s="424"/>
      <c r="I126" s="424"/>
      <c r="J126" s="424"/>
      <c r="K126" s="424"/>
      <c r="L126" s="424"/>
      <c r="M126" s="424"/>
      <c r="N126" s="424"/>
      <c r="O126" s="424"/>
      <c r="P126" s="424"/>
    </row>
    <row r="127" spans="1:16" ht="25.5" x14ac:dyDescent="0.25">
      <c r="A127" s="425" t="s">
        <v>692</v>
      </c>
      <c r="B127" s="426"/>
      <c r="C127" s="427"/>
      <c r="D127" s="428"/>
      <c r="E127" s="429"/>
      <c r="F127" s="430"/>
      <c r="G127" s="4" t="s">
        <v>691</v>
      </c>
      <c r="H127" s="67" t="s">
        <v>849</v>
      </c>
      <c r="I127" s="52" t="s">
        <v>693</v>
      </c>
      <c r="J127" s="428" t="s">
        <v>849</v>
      </c>
      <c r="K127" s="429"/>
      <c r="L127" s="430"/>
      <c r="M127" s="52" t="s">
        <v>490</v>
      </c>
      <c r="N127" s="416"/>
      <c r="O127" s="417"/>
      <c r="P127" s="418"/>
    </row>
    <row r="128" spans="1:16" x14ac:dyDescent="0.25">
      <c r="A128" s="444" t="s">
        <v>492</v>
      </c>
      <c r="B128" s="444" t="s">
        <v>493</v>
      </c>
      <c r="C128" s="444"/>
      <c r="D128" s="444"/>
      <c r="E128" s="444"/>
      <c r="F128" s="444"/>
      <c r="G128" s="444"/>
      <c r="H128" s="419" t="s">
        <v>494</v>
      </c>
      <c r="I128" s="446" t="s">
        <v>683</v>
      </c>
      <c r="J128" s="419" t="s">
        <v>495</v>
      </c>
      <c r="K128" s="419" t="s">
        <v>496</v>
      </c>
      <c r="L128" s="419" t="s">
        <v>497</v>
      </c>
      <c r="M128" s="419" t="s">
        <v>498</v>
      </c>
      <c r="N128" s="419" t="s">
        <v>499</v>
      </c>
      <c r="O128" s="419" t="s">
        <v>500</v>
      </c>
      <c r="P128" s="419" t="s">
        <v>501</v>
      </c>
    </row>
    <row r="129" spans="1:16" x14ac:dyDescent="0.25">
      <c r="A129" s="444"/>
      <c r="B129" s="448">
        <v>5</v>
      </c>
      <c r="C129" s="449"/>
      <c r="D129" s="448">
        <v>15</v>
      </c>
      <c r="E129" s="449"/>
      <c r="F129" s="448">
        <v>25</v>
      </c>
      <c r="G129" s="449"/>
      <c r="H129" s="419"/>
      <c r="I129" s="447"/>
      <c r="J129" s="419"/>
      <c r="K129" s="419"/>
      <c r="L129" s="419"/>
      <c r="M129" s="419"/>
      <c r="N129" s="419"/>
      <c r="O129" s="419"/>
      <c r="P129" s="419"/>
    </row>
    <row r="130" spans="1:16" x14ac:dyDescent="0.25">
      <c r="A130" s="5">
        <v>43922</v>
      </c>
      <c r="B130" s="450">
        <v>0</v>
      </c>
      <c r="C130" s="451"/>
      <c r="D130" s="450">
        <v>0</v>
      </c>
      <c r="E130" s="451"/>
      <c r="F130" s="450">
        <v>0</v>
      </c>
      <c r="G130" s="451"/>
      <c r="H130" s="42">
        <f t="shared" ref="H130:H132" si="63">AVERAGE(B130:G130)</f>
        <v>0</v>
      </c>
      <c r="I130" s="43">
        <v>0</v>
      </c>
      <c r="J130" s="43">
        <v>0</v>
      </c>
      <c r="K130" s="44">
        <v>0</v>
      </c>
      <c r="L130" s="45">
        <f t="shared" ref="L130:L132" si="64">J130-K130</f>
        <v>0</v>
      </c>
      <c r="M130" s="7">
        <v>0</v>
      </c>
      <c r="N130" s="7">
        <v>0</v>
      </c>
      <c r="O130" s="7">
        <v>0</v>
      </c>
      <c r="P130" s="7">
        <v>0</v>
      </c>
    </row>
    <row r="131" spans="1:16" x14ac:dyDescent="0.25">
      <c r="A131" s="5">
        <f>EDATE(A130,1)</f>
        <v>43952</v>
      </c>
      <c r="B131" s="450">
        <v>0</v>
      </c>
      <c r="C131" s="451"/>
      <c r="D131" s="450">
        <v>0</v>
      </c>
      <c r="E131" s="451"/>
      <c r="F131" s="450">
        <v>0</v>
      </c>
      <c r="G131" s="451"/>
      <c r="H131" s="42">
        <f t="shared" si="63"/>
        <v>0</v>
      </c>
      <c r="I131" s="43">
        <v>0</v>
      </c>
      <c r="J131" s="43">
        <v>0</v>
      </c>
      <c r="K131" s="44">
        <v>0</v>
      </c>
      <c r="L131" s="45">
        <f t="shared" si="64"/>
        <v>0</v>
      </c>
      <c r="M131" s="7">
        <v>0</v>
      </c>
      <c r="N131" s="7">
        <v>0</v>
      </c>
      <c r="O131" s="7">
        <v>0</v>
      </c>
      <c r="P131" s="7">
        <v>0</v>
      </c>
    </row>
    <row r="132" spans="1:16" x14ac:dyDescent="0.25">
      <c r="A132" s="5">
        <f t="shared" ref="A132:A135" si="65">EDATE(A131,1)</f>
        <v>43983</v>
      </c>
      <c r="B132" s="450">
        <v>0</v>
      </c>
      <c r="C132" s="451"/>
      <c r="D132" s="450">
        <v>0</v>
      </c>
      <c r="E132" s="451"/>
      <c r="F132" s="450">
        <v>0</v>
      </c>
      <c r="G132" s="451"/>
      <c r="H132" s="42">
        <f t="shared" si="63"/>
        <v>0</v>
      </c>
      <c r="I132" s="43">
        <v>0</v>
      </c>
      <c r="J132" s="43">
        <v>0</v>
      </c>
      <c r="K132" s="44">
        <v>0</v>
      </c>
      <c r="L132" s="45">
        <f t="shared" si="64"/>
        <v>0</v>
      </c>
      <c r="M132" s="7">
        <v>0</v>
      </c>
      <c r="N132" s="7">
        <v>0</v>
      </c>
      <c r="O132" s="7">
        <v>0</v>
      </c>
      <c r="P132" s="7">
        <v>0</v>
      </c>
    </row>
    <row r="133" spans="1:16" ht="15" customHeight="1" x14ac:dyDescent="0.25">
      <c r="A133" s="5">
        <f t="shared" si="65"/>
        <v>44013</v>
      </c>
      <c r="B133" s="450">
        <v>0</v>
      </c>
      <c r="C133" s="451"/>
      <c r="D133" s="450">
        <v>0</v>
      </c>
      <c r="E133" s="451"/>
      <c r="F133" s="450">
        <v>0</v>
      </c>
      <c r="G133" s="451"/>
      <c r="H133" s="42">
        <f t="shared" ref="H133:H135" si="66">AVERAGE(B133:G133)</f>
        <v>0</v>
      </c>
      <c r="I133" s="43">
        <v>0</v>
      </c>
      <c r="J133" s="43">
        <v>0</v>
      </c>
      <c r="K133" s="44">
        <v>0</v>
      </c>
      <c r="L133" s="45">
        <f t="shared" ref="L133:L135" si="67">J133-K133</f>
        <v>0</v>
      </c>
      <c r="M133" s="7">
        <v>0</v>
      </c>
      <c r="N133" s="7">
        <v>0</v>
      </c>
      <c r="O133" s="7">
        <v>0</v>
      </c>
      <c r="P133" s="7">
        <v>0</v>
      </c>
    </row>
    <row r="134" spans="1:16" ht="15" customHeight="1" x14ac:dyDescent="0.25">
      <c r="A134" s="5">
        <f t="shared" si="65"/>
        <v>44044</v>
      </c>
      <c r="B134" s="450">
        <v>0</v>
      </c>
      <c r="C134" s="451"/>
      <c r="D134" s="450">
        <v>0</v>
      </c>
      <c r="E134" s="451"/>
      <c r="F134" s="450">
        <v>0</v>
      </c>
      <c r="G134" s="451"/>
      <c r="H134" s="42">
        <f t="shared" si="66"/>
        <v>0</v>
      </c>
      <c r="I134" s="43">
        <v>0</v>
      </c>
      <c r="J134" s="43">
        <v>0</v>
      </c>
      <c r="K134" s="44">
        <v>0</v>
      </c>
      <c r="L134" s="45">
        <f t="shared" si="67"/>
        <v>0</v>
      </c>
      <c r="M134" s="7">
        <v>0</v>
      </c>
      <c r="N134" s="7">
        <v>0</v>
      </c>
      <c r="O134" s="7">
        <v>0</v>
      </c>
      <c r="P134" s="7">
        <v>0</v>
      </c>
    </row>
    <row r="135" spans="1:16" x14ac:dyDescent="0.25">
      <c r="A135" s="5">
        <f t="shared" si="65"/>
        <v>44075</v>
      </c>
      <c r="B135" s="450">
        <v>0</v>
      </c>
      <c r="C135" s="451"/>
      <c r="D135" s="450">
        <v>0</v>
      </c>
      <c r="E135" s="451"/>
      <c r="F135" s="450">
        <v>0</v>
      </c>
      <c r="G135" s="451"/>
      <c r="H135" s="42">
        <f t="shared" si="66"/>
        <v>0</v>
      </c>
      <c r="I135" s="43">
        <v>0</v>
      </c>
      <c r="J135" s="43">
        <v>0</v>
      </c>
      <c r="K135" s="44">
        <v>0</v>
      </c>
      <c r="L135" s="45">
        <f t="shared" si="67"/>
        <v>0</v>
      </c>
      <c r="M135" s="7">
        <v>0</v>
      </c>
      <c r="N135" s="7">
        <v>0</v>
      </c>
      <c r="O135" s="7">
        <v>0</v>
      </c>
      <c r="P135" s="7">
        <v>0</v>
      </c>
    </row>
    <row r="136" spans="1:16" x14ac:dyDescent="0.25">
      <c r="A136" s="51" t="s">
        <v>505</v>
      </c>
      <c r="B136" s="452">
        <f>SUM(B130:B135)</f>
        <v>0</v>
      </c>
      <c r="C136" s="453"/>
      <c r="D136" s="452">
        <f>SUM(D130:D135)</f>
        <v>0</v>
      </c>
      <c r="E136" s="453"/>
      <c r="F136" s="452">
        <f>SUM(F130:F135)</f>
        <v>0</v>
      </c>
      <c r="G136" s="453"/>
      <c r="H136" s="42">
        <f t="shared" ref="H136:P136" si="68">SUM(H130:H135)</f>
        <v>0</v>
      </c>
      <c r="I136" s="42">
        <f t="shared" si="68"/>
        <v>0</v>
      </c>
      <c r="J136" s="42">
        <f t="shared" si="68"/>
        <v>0</v>
      </c>
      <c r="K136" s="42">
        <f t="shared" si="68"/>
        <v>0</v>
      </c>
      <c r="L136" s="42">
        <f t="shared" si="68"/>
        <v>0</v>
      </c>
      <c r="M136" s="10">
        <f t="shared" si="68"/>
        <v>0</v>
      </c>
      <c r="N136" s="10">
        <f t="shared" si="68"/>
        <v>0</v>
      </c>
      <c r="O136" s="8">
        <f t="shared" si="68"/>
        <v>0</v>
      </c>
      <c r="P136" s="8">
        <f t="shared" si="68"/>
        <v>0</v>
      </c>
    </row>
    <row r="137" spans="1:16" x14ac:dyDescent="0.25">
      <c r="A137" s="51" t="s">
        <v>494</v>
      </c>
      <c r="B137" s="452">
        <f>AVERAGE(B130:B135)</f>
        <v>0</v>
      </c>
      <c r="C137" s="453"/>
      <c r="D137" s="452">
        <f>AVERAGE(D130:D135)</f>
        <v>0</v>
      </c>
      <c r="E137" s="453"/>
      <c r="F137" s="452">
        <f>AVERAGE(F130:F135)</f>
        <v>0</v>
      </c>
      <c r="G137" s="453"/>
      <c r="H137" s="42">
        <f t="shared" ref="H137:N137" si="69">AVERAGE(H130:H135)</f>
        <v>0</v>
      </c>
      <c r="I137" s="42">
        <f t="shared" si="69"/>
        <v>0</v>
      </c>
      <c r="J137" s="42">
        <f t="shared" si="69"/>
        <v>0</v>
      </c>
      <c r="K137" s="42">
        <f t="shared" si="69"/>
        <v>0</v>
      </c>
      <c r="L137" s="42">
        <f t="shared" si="69"/>
        <v>0</v>
      </c>
      <c r="M137" s="10">
        <f t="shared" si="69"/>
        <v>0</v>
      </c>
      <c r="N137" s="10">
        <f t="shared" si="69"/>
        <v>0</v>
      </c>
      <c r="O137" s="53" t="e">
        <f>N136/O136</f>
        <v>#DIV/0!</v>
      </c>
      <c r="P137" s="53" t="e">
        <f>M136/P136</f>
        <v>#DIV/0!</v>
      </c>
    </row>
    <row r="138" spans="1:16" ht="38.25" x14ac:dyDescent="0.25">
      <c r="A138" s="51" t="s">
        <v>506</v>
      </c>
      <c r="B138" s="452">
        <f>B137+I137</f>
        <v>0</v>
      </c>
      <c r="C138" s="453"/>
      <c r="D138" s="452">
        <f>D137+I137</f>
        <v>0</v>
      </c>
      <c r="E138" s="453"/>
      <c r="F138" s="452">
        <f>F137+I137</f>
        <v>0</v>
      </c>
      <c r="G138" s="453"/>
      <c r="H138" s="42">
        <f>H137+I137</f>
        <v>0</v>
      </c>
      <c r="I138" s="420"/>
      <c r="J138" s="421"/>
      <c r="K138" s="421"/>
      <c r="L138" s="421"/>
      <c r="M138" s="421"/>
      <c r="N138" s="422"/>
      <c r="O138" s="6" t="s">
        <v>507</v>
      </c>
      <c r="P138" s="6" t="s">
        <v>508</v>
      </c>
    </row>
    <row r="139" spans="1:16" ht="18.75" x14ac:dyDescent="0.25">
      <c r="A139" s="424" t="s">
        <v>754</v>
      </c>
      <c r="B139" s="424"/>
      <c r="C139" s="424"/>
      <c r="D139" s="424"/>
      <c r="E139" s="424"/>
      <c r="F139" s="424"/>
      <c r="G139" s="424"/>
      <c r="H139" s="424"/>
      <c r="I139" s="424"/>
      <c r="J139" s="424"/>
      <c r="K139" s="424"/>
      <c r="L139" s="424"/>
      <c r="M139" s="424"/>
      <c r="N139" s="424"/>
      <c r="O139" s="424"/>
      <c r="P139" s="424"/>
    </row>
    <row r="140" spans="1:16" ht="25.5" x14ac:dyDescent="0.25">
      <c r="A140" s="425" t="s">
        <v>692</v>
      </c>
      <c r="B140" s="426"/>
      <c r="C140" s="427"/>
      <c r="D140" s="428"/>
      <c r="E140" s="429"/>
      <c r="F140" s="430"/>
      <c r="G140" s="4" t="s">
        <v>691</v>
      </c>
      <c r="H140" s="67" t="s">
        <v>849</v>
      </c>
      <c r="I140" s="52" t="s">
        <v>693</v>
      </c>
      <c r="J140" s="428" t="s">
        <v>849</v>
      </c>
      <c r="K140" s="429"/>
      <c r="L140" s="430"/>
      <c r="M140" s="52" t="s">
        <v>490</v>
      </c>
      <c r="N140" s="416"/>
      <c r="O140" s="417"/>
      <c r="P140" s="418"/>
    </row>
    <row r="141" spans="1:16" x14ac:dyDescent="0.25">
      <c r="A141" s="444" t="s">
        <v>492</v>
      </c>
      <c r="B141" s="444" t="s">
        <v>493</v>
      </c>
      <c r="C141" s="444"/>
      <c r="D141" s="444"/>
      <c r="E141" s="444"/>
      <c r="F141" s="444"/>
      <c r="G141" s="444"/>
      <c r="H141" s="419" t="s">
        <v>494</v>
      </c>
      <c r="I141" s="446" t="s">
        <v>683</v>
      </c>
      <c r="J141" s="419" t="s">
        <v>495</v>
      </c>
      <c r="K141" s="419" t="s">
        <v>496</v>
      </c>
      <c r="L141" s="419" t="s">
        <v>497</v>
      </c>
      <c r="M141" s="419" t="s">
        <v>498</v>
      </c>
      <c r="N141" s="419" t="s">
        <v>499</v>
      </c>
      <c r="O141" s="419" t="s">
        <v>500</v>
      </c>
      <c r="P141" s="419" t="s">
        <v>501</v>
      </c>
    </row>
    <row r="142" spans="1:16" x14ac:dyDescent="0.25">
      <c r="A142" s="444"/>
      <c r="B142" s="448">
        <v>5</v>
      </c>
      <c r="C142" s="449"/>
      <c r="D142" s="448">
        <v>15</v>
      </c>
      <c r="E142" s="449"/>
      <c r="F142" s="448">
        <v>25</v>
      </c>
      <c r="G142" s="449"/>
      <c r="H142" s="419"/>
      <c r="I142" s="447"/>
      <c r="J142" s="419"/>
      <c r="K142" s="419"/>
      <c r="L142" s="419"/>
      <c r="M142" s="419"/>
      <c r="N142" s="419"/>
      <c r="O142" s="419"/>
      <c r="P142" s="419"/>
    </row>
    <row r="143" spans="1:16" ht="15" customHeight="1" x14ac:dyDescent="0.25">
      <c r="A143" s="5">
        <v>43922</v>
      </c>
      <c r="B143" s="450">
        <v>0</v>
      </c>
      <c r="C143" s="451"/>
      <c r="D143" s="450">
        <v>0</v>
      </c>
      <c r="E143" s="451"/>
      <c r="F143" s="450">
        <v>0</v>
      </c>
      <c r="G143" s="451"/>
      <c r="H143" s="42">
        <f t="shared" ref="H143:H145" si="70">AVERAGE(B143:G143)</f>
        <v>0</v>
      </c>
      <c r="I143" s="43">
        <v>0</v>
      </c>
      <c r="J143" s="43">
        <v>0</v>
      </c>
      <c r="K143" s="44">
        <v>0</v>
      </c>
      <c r="L143" s="45">
        <f t="shared" ref="L143:L145" si="71">J143-K143</f>
        <v>0</v>
      </c>
      <c r="M143" s="7">
        <v>0</v>
      </c>
      <c r="N143" s="7">
        <v>0</v>
      </c>
      <c r="O143" s="7">
        <v>0</v>
      </c>
      <c r="P143" s="7">
        <v>0</v>
      </c>
    </row>
    <row r="144" spans="1:16" ht="15" customHeight="1" x14ac:dyDescent="0.25">
      <c r="A144" s="5">
        <f>EDATE(A143,1)</f>
        <v>43952</v>
      </c>
      <c r="B144" s="450">
        <v>0</v>
      </c>
      <c r="C144" s="451"/>
      <c r="D144" s="450">
        <v>0</v>
      </c>
      <c r="E144" s="451"/>
      <c r="F144" s="450">
        <v>0</v>
      </c>
      <c r="G144" s="451"/>
      <c r="H144" s="42">
        <f t="shared" si="70"/>
        <v>0</v>
      </c>
      <c r="I144" s="43">
        <v>0</v>
      </c>
      <c r="J144" s="43">
        <v>0</v>
      </c>
      <c r="K144" s="44">
        <v>0</v>
      </c>
      <c r="L144" s="45">
        <f t="shared" si="71"/>
        <v>0</v>
      </c>
      <c r="M144" s="7">
        <v>0</v>
      </c>
      <c r="N144" s="7">
        <v>0</v>
      </c>
      <c r="O144" s="7">
        <v>0</v>
      </c>
      <c r="P144" s="7">
        <v>0</v>
      </c>
    </row>
    <row r="145" spans="1:16" x14ac:dyDescent="0.25">
      <c r="A145" s="5">
        <f t="shared" ref="A145:A148" si="72">EDATE(A144,1)</f>
        <v>43983</v>
      </c>
      <c r="B145" s="450">
        <v>0</v>
      </c>
      <c r="C145" s="451"/>
      <c r="D145" s="450">
        <v>0</v>
      </c>
      <c r="E145" s="451"/>
      <c r="F145" s="450">
        <v>0</v>
      </c>
      <c r="G145" s="451"/>
      <c r="H145" s="42">
        <f t="shared" si="70"/>
        <v>0</v>
      </c>
      <c r="I145" s="43">
        <v>0</v>
      </c>
      <c r="J145" s="43">
        <v>0</v>
      </c>
      <c r="K145" s="44">
        <v>0</v>
      </c>
      <c r="L145" s="45">
        <f t="shared" si="71"/>
        <v>0</v>
      </c>
      <c r="M145" s="7">
        <v>0</v>
      </c>
      <c r="N145" s="7">
        <v>0</v>
      </c>
      <c r="O145" s="7">
        <v>0</v>
      </c>
      <c r="P145" s="7">
        <v>0</v>
      </c>
    </row>
    <row r="146" spans="1:16" x14ac:dyDescent="0.25">
      <c r="A146" s="5">
        <f t="shared" si="72"/>
        <v>44013</v>
      </c>
      <c r="B146" s="450">
        <v>0</v>
      </c>
      <c r="C146" s="451"/>
      <c r="D146" s="450">
        <v>0</v>
      </c>
      <c r="E146" s="451"/>
      <c r="F146" s="450">
        <v>0</v>
      </c>
      <c r="G146" s="451"/>
      <c r="H146" s="42">
        <f t="shared" ref="H146:H148" si="73">AVERAGE(B146:G146)</f>
        <v>0</v>
      </c>
      <c r="I146" s="43">
        <v>0</v>
      </c>
      <c r="J146" s="43">
        <v>0</v>
      </c>
      <c r="K146" s="44">
        <v>0</v>
      </c>
      <c r="L146" s="45">
        <f t="shared" ref="L146:L148" si="74">J146-K146</f>
        <v>0</v>
      </c>
      <c r="M146" s="7">
        <v>0</v>
      </c>
      <c r="N146" s="7">
        <v>0</v>
      </c>
      <c r="O146" s="7">
        <v>0</v>
      </c>
      <c r="P146" s="7">
        <v>0</v>
      </c>
    </row>
    <row r="147" spans="1:16" x14ac:dyDescent="0.25">
      <c r="A147" s="5">
        <f t="shared" si="72"/>
        <v>44044</v>
      </c>
      <c r="B147" s="450">
        <v>0</v>
      </c>
      <c r="C147" s="451"/>
      <c r="D147" s="450">
        <v>0</v>
      </c>
      <c r="E147" s="451"/>
      <c r="F147" s="450">
        <v>0</v>
      </c>
      <c r="G147" s="451"/>
      <c r="H147" s="42">
        <f t="shared" si="73"/>
        <v>0</v>
      </c>
      <c r="I147" s="43">
        <v>0</v>
      </c>
      <c r="J147" s="43">
        <v>0</v>
      </c>
      <c r="K147" s="44">
        <v>0</v>
      </c>
      <c r="L147" s="45">
        <f t="shared" si="74"/>
        <v>0</v>
      </c>
      <c r="M147" s="7">
        <v>0</v>
      </c>
      <c r="N147" s="7">
        <v>0</v>
      </c>
      <c r="O147" s="7">
        <v>0</v>
      </c>
      <c r="P147" s="7">
        <v>0</v>
      </c>
    </row>
    <row r="148" spans="1:16" x14ac:dyDescent="0.25">
      <c r="A148" s="5">
        <f t="shared" si="72"/>
        <v>44075</v>
      </c>
      <c r="B148" s="450">
        <v>0</v>
      </c>
      <c r="C148" s="451"/>
      <c r="D148" s="450">
        <v>0</v>
      </c>
      <c r="E148" s="451"/>
      <c r="F148" s="450">
        <v>0</v>
      </c>
      <c r="G148" s="451"/>
      <c r="H148" s="42">
        <f t="shared" si="73"/>
        <v>0</v>
      </c>
      <c r="I148" s="43">
        <v>0</v>
      </c>
      <c r="J148" s="43">
        <v>0</v>
      </c>
      <c r="K148" s="44">
        <v>0</v>
      </c>
      <c r="L148" s="45">
        <f t="shared" si="74"/>
        <v>0</v>
      </c>
      <c r="M148" s="7">
        <v>0</v>
      </c>
      <c r="N148" s="7">
        <v>0</v>
      </c>
      <c r="O148" s="7">
        <v>0</v>
      </c>
      <c r="P148" s="7">
        <v>0</v>
      </c>
    </row>
    <row r="149" spans="1:16" x14ac:dyDescent="0.25">
      <c r="A149" s="51" t="s">
        <v>505</v>
      </c>
      <c r="B149" s="452">
        <f>SUM(B143:B148)</f>
        <v>0</v>
      </c>
      <c r="C149" s="453"/>
      <c r="D149" s="452">
        <f>SUM(D143:D148)</f>
        <v>0</v>
      </c>
      <c r="E149" s="453"/>
      <c r="F149" s="452">
        <f>SUM(F143:F148)</f>
        <v>0</v>
      </c>
      <c r="G149" s="453"/>
      <c r="H149" s="42">
        <f t="shared" ref="H149:P149" si="75">SUM(H143:H148)</f>
        <v>0</v>
      </c>
      <c r="I149" s="42">
        <f t="shared" si="75"/>
        <v>0</v>
      </c>
      <c r="J149" s="42">
        <f t="shared" si="75"/>
        <v>0</v>
      </c>
      <c r="K149" s="42">
        <f t="shared" si="75"/>
        <v>0</v>
      </c>
      <c r="L149" s="42">
        <f t="shared" si="75"/>
        <v>0</v>
      </c>
      <c r="M149" s="10">
        <f t="shared" si="75"/>
        <v>0</v>
      </c>
      <c r="N149" s="10">
        <f t="shared" si="75"/>
        <v>0</v>
      </c>
      <c r="O149" s="8">
        <f t="shared" si="75"/>
        <v>0</v>
      </c>
      <c r="P149" s="8">
        <f t="shared" si="75"/>
        <v>0</v>
      </c>
    </row>
    <row r="150" spans="1:16" x14ac:dyDescent="0.25">
      <c r="A150" s="51" t="s">
        <v>494</v>
      </c>
      <c r="B150" s="452">
        <f>AVERAGE(B143:B148)</f>
        <v>0</v>
      </c>
      <c r="C150" s="453"/>
      <c r="D150" s="452">
        <f>AVERAGE(D143:D148)</f>
        <v>0</v>
      </c>
      <c r="E150" s="453"/>
      <c r="F150" s="452">
        <f>AVERAGE(F143:F148)</f>
        <v>0</v>
      </c>
      <c r="G150" s="453"/>
      <c r="H150" s="42">
        <f t="shared" ref="H150:N150" si="76">AVERAGE(H143:H148)</f>
        <v>0</v>
      </c>
      <c r="I150" s="42">
        <f t="shared" si="76"/>
        <v>0</v>
      </c>
      <c r="J150" s="42">
        <f t="shared" si="76"/>
        <v>0</v>
      </c>
      <c r="K150" s="42">
        <f t="shared" si="76"/>
        <v>0</v>
      </c>
      <c r="L150" s="42">
        <f t="shared" si="76"/>
        <v>0</v>
      </c>
      <c r="M150" s="10">
        <f t="shared" si="76"/>
        <v>0</v>
      </c>
      <c r="N150" s="10">
        <f t="shared" si="76"/>
        <v>0</v>
      </c>
      <c r="O150" s="53" t="e">
        <f>N149/O149</f>
        <v>#DIV/0!</v>
      </c>
      <c r="P150" s="53" t="e">
        <f>M149/P149</f>
        <v>#DIV/0!</v>
      </c>
    </row>
    <row r="151" spans="1:16" ht="38.25" x14ac:dyDescent="0.25">
      <c r="A151" s="51" t="s">
        <v>506</v>
      </c>
      <c r="B151" s="452">
        <f>B150+I150</f>
        <v>0</v>
      </c>
      <c r="C151" s="453"/>
      <c r="D151" s="452">
        <f>D150+I150</f>
        <v>0</v>
      </c>
      <c r="E151" s="453"/>
      <c r="F151" s="452">
        <f>F150+I150</f>
        <v>0</v>
      </c>
      <c r="G151" s="453"/>
      <c r="H151" s="42">
        <f>H150+I150</f>
        <v>0</v>
      </c>
      <c r="I151" s="420"/>
      <c r="J151" s="421"/>
      <c r="K151" s="421"/>
      <c r="L151" s="421"/>
      <c r="M151" s="421"/>
      <c r="N151" s="422"/>
      <c r="O151" s="6" t="s">
        <v>507</v>
      </c>
      <c r="P151" s="6" t="s">
        <v>508</v>
      </c>
    </row>
    <row r="152" spans="1:16" ht="18.75" x14ac:dyDescent="0.25">
      <c r="A152" s="424" t="s">
        <v>755</v>
      </c>
      <c r="B152" s="424"/>
      <c r="C152" s="424"/>
      <c r="D152" s="424"/>
      <c r="E152" s="424"/>
      <c r="F152" s="424"/>
      <c r="G152" s="424"/>
      <c r="H152" s="424"/>
      <c r="I152" s="424"/>
      <c r="J152" s="424"/>
      <c r="K152" s="424"/>
      <c r="L152" s="424"/>
      <c r="M152" s="424"/>
      <c r="N152" s="424"/>
      <c r="O152" s="424"/>
      <c r="P152" s="424"/>
    </row>
    <row r="153" spans="1:16" ht="15" customHeight="1" x14ac:dyDescent="0.25">
      <c r="A153" s="425" t="s">
        <v>692</v>
      </c>
      <c r="B153" s="426"/>
      <c r="C153" s="427"/>
      <c r="D153" s="428"/>
      <c r="E153" s="429"/>
      <c r="F153" s="430"/>
      <c r="G153" s="4" t="s">
        <v>691</v>
      </c>
      <c r="H153" s="67" t="s">
        <v>849</v>
      </c>
      <c r="I153" s="52" t="s">
        <v>693</v>
      </c>
      <c r="J153" s="428" t="s">
        <v>849</v>
      </c>
      <c r="K153" s="429"/>
      <c r="L153" s="430"/>
      <c r="M153" s="52" t="s">
        <v>490</v>
      </c>
      <c r="N153" s="416"/>
      <c r="O153" s="417"/>
      <c r="P153" s="418"/>
    </row>
    <row r="154" spans="1:16" ht="15" customHeight="1" x14ac:dyDescent="0.25">
      <c r="A154" s="444" t="s">
        <v>492</v>
      </c>
      <c r="B154" s="444" t="s">
        <v>493</v>
      </c>
      <c r="C154" s="444"/>
      <c r="D154" s="444"/>
      <c r="E154" s="444"/>
      <c r="F154" s="444"/>
      <c r="G154" s="444"/>
      <c r="H154" s="419" t="s">
        <v>494</v>
      </c>
      <c r="I154" s="446" t="s">
        <v>683</v>
      </c>
      <c r="J154" s="419" t="s">
        <v>495</v>
      </c>
      <c r="K154" s="419" t="s">
        <v>496</v>
      </c>
      <c r="L154" s="419" t="s">
        <v>497</v>
      </c>
      <c r="M154" s="419" t="s">
        <v>498</v>
      </c>
      <c r="N154" s="419" t="s">
        <v>499</v>
      </c>
      <c r="O154" s="419" t="s">
        <v>500</v>
      </c>
      <c r="P154" s="419" t="s">
        <v>501</v>
      </c>
    </row>
    <row r="155" spans="1:16" x14ac:dyDescent="0.25">
      <c r="A155" s="444"/>
      <c r="B155" s="448">
        <v>5</v>
      </c>
      <c r="C155" s="449"/>
      <c r="D155" s="448">
        <v>15</v>
      </c>
      <c r="E155" s="449"/>
      <c r="F155" s="448">
        <v>25</v>
      </c>
      <c r="G155" s="449"/>
      <c r="H155" s="419"/>
      <c r="I155" s="447"/>
      <c r="J155" s="419"/>
      <c r="K155" s="419"/>
      <c r="L155" s="419"/>
      <c r="M155" s="419"/>
      <c r="N155" s="419"/>
      <c r="O155" s="419"/>
      <c r="P155" s="419"/>
    </row>
    <row r="156" spans="1:16" x14ac:dyDescent="0.25">
      <c r="A156" s="5">
        <v>43922</v>
      </c>
      <c r="B156" s="450">
        <v>0</v>
      </c>
      <c r="C156" s="451"/>
      <c r="D156" s="450">
        <v>0</v>
      </c>
      <c r="E156" s="451"/>
      <c r="F156" s="450">
        <v>0</v>
      </c>
      <c r="G156" s="451"/>
      <c r="H156" s="42">
        <f t="shared" ref="H156:H158" si="77">AVERAGE(B156:G156)</f>
        <v>0</v>
      </c>
      <c r="I156" s="43">
        <v>0</v>
      </c>
      <c r="J156" s="43">
        <v>0</v>
      </c>
      <c r="K156" s="44">
        <v>0</v>
      </c>
      <c r="L156" s="45">
        <f t="shared" ref="L156:L158" si="78">J156-K156</f>
        <v>0</v>
      </c>
      <c r="M156" s="7">
        <v>0</v>
      </c>
      <c r="N156" s="7">
        <v>0</v>
      </c>
      <c r="O156" s="7">
        <v>0</v>
      </c>
      <c r="P156" s="7">
        <v>0</v>
      </c>
    </row>
    <row r="157" spans="1:16" x14ac:dyDescent="0.25">
      <c r="A157" s="5">
        <f>EDATE(A156,1)</f>
        <v>43952</v>
      </c>
      <c r="B157" s="450">
        <v>0</v>
      </c>
      <c r="C157" s="451"/>
      <c r="D157" s="450">
        <v>0</v>
      </c>
      <c r="E157" s="451"/>
      <c r="F157" s="450">
        <v>0</v>
      </c>
      <c r="G157" s="451"/>
      <c r="H157" s="42">
        <f t="shared" si="77"/>
        <v>0</v>
      </c>
      <c r="I157" s="43">
        <v>0</v>
      </c>
      <c r="J157" s="43">
        <v>0</v>
      </c>
      <c r="K157" s="44">
        <v>0</v>
      </c>
      <c r="L157" s="45">
        <f t="shared" si="78"/>
        <v>0</v>
      </c>
      <c r="M157" s="7">
        <v>0</v>
      </c>
      <c r="N157" s="7">
        <v>0</v>
      </c>
      <c r="O157" s="7">
        <v>0</v>
      </c>
      <c r="P157" s="7">
        <v>0</v>
      </c>
    </row>
    <row r="158" spans="1:16" x14ac:dyDescent="0.25">
      <c r="A158" s="5">
        <f t="shared" ref="A158:A161" si="79">EDATE(A157,1)</f>
        <v>43983</v>
      </c>
      <c r="B158" s="450">
        <v>0</v>
      </c>
      <c r="C158" s="451"/>
      <c r="D158" s="450">
        <v>0</v>
      </c>
      <c r="E158" s="451"/>
      <c r="F158" s="450">
        <v>0</v>
      </c>
      <c r="G158" s="451"/>
      <c r="H158" s="42">
        <f t="shared" si="77"/>
        <v>0</v>
      </c>
      <c r="I158" s="43">
        <v>0</v>
      </c>
      <c r="J158" s="43">
        <v>0</v>
      </c>
      <c r="K158" s="44">
        <v>0</v>
      </c>
      <c r="L158" s="45">
        <f t="shared" si="78"/>
        <v>0</v>
      </c>
      <c r="M158" s="7">
        <v>0</v>
      </c>
      <c r="N158" s="7">
        <v>0</v>
      </c>
      <c r="O158" s="7">
        <v>0</v>
      </c>
      <c r="P158" s="7">
        <v>0</v>
      </c>
    </row>
    <row r="159" spans="1:16" x14ac:dyDescent="0.25">
      <c r="A159" s="5">
        <f t="shared" si="79"/>
        <v>44013</v>
      </c>
      <c r="B159" s="450">
        <v>0</v>
      </c>
      <c r="C159" s="451"/>
      <c r="D159" s="450">
        <v>0</v>
      </c>
      <c r="E159" s="451"/>
      <c r="F159" s="450">
        <v>0</v>
      </c>
      <c r="G159" s="451"/>
      <c r="H159" s="42">
        <f t="shared" ref="H159:H161" si="80">AVERAGE(B159:G159)</f>
        <v>0</v>
      </c>
      <c r="I159" s="43">
        <v>0</v>
      </c>
      <c r="J159" s="43">
        <v>0</v>
      </c>
      <c r="K159" s="44">
        <v>0</v>
      </c>
      <c r="L159" s="45">
        <f t="shared" ref="L159:L161" si="81">J159-K159</f>
        <v>0</v>
      </c>
      <c r="M159" s="7">
        <v>0</v>
      </c>
      <c r="N159" s="7">
        <v>0</v>
      </c>
      <c r="O159" s="7">
        <v>0</v>
      </c>
      <c r="P159" s="7">
        <v>0</v>
      </c>
    </row>
    <row r="160" spans="1:16" x14ac:dyDescent="0.25">
      <c r="A160" s="5">
        <f t="shared" si="79"/>
        <v>44044</v>
      </c>
      <c r="B160" s="450">
        <v>0</v>
      </c>
      <c r="C160" s="451"/>
      <c r="D160" s="450">
        <v>0</v>
      </c>
      <c r="E160" s="451"/>
      <c r="F160" s="450">
        <v>0</v>
      </c>
      <c r="G160" s="451"/>
      <c r="H160" s="42">
        <f t="shared" si="80"/>
        <v>0</v>
      </c>
      <c r="I160" s="43">
        <v>0</v>
      </c>
      <c r="J160" s="43">
        <v>0</v>
      </c>
      <c r="K160" s="44">
        <v>0</v>
      </c>
      <c r="L160" s="45">
        <f t="shared" si="81"/>
        <v>0</v>
      </c>
      <c r="M160" s="7">
        <v>0</v>
      </c>
      <c r="N160" s="7">
        <v>0</v>
      </c>
      <c r="O160" s="7">
        <v>0</v>
      </c>
      <c r="P160" s="7">
        <v>0</v>
      </c>
    </row>
    <row r="161" spans="1:16" x14ac:dyDescent="0.25">
      <c r="A161" s="5">
        <f t="shared" si="79"/>
        <v>44075</v>
      </c>
      <c r="B161" s="450">
        <v>0</v>
      </c>
      <c r="C161" s="451"/>
      <c r="D161" s="450">
        <v>0</v>
      </c>
      <c r="E161" s="451"/>
      <c r="F161" s="450">
        <v>0</v>
      </c>
      <c r="G161" s="451"/>
      <c r="H161" s="42">
        <f t="shared" si="80"/>
        <v>0</v>
      </c>
      <c r="I161" s="43">
        <v>0</v>
      </c>
      <c r="J161" s="43">
        <v>0</v>
      </c>
      <c r="K161" s="44">
        <v>0</v>
      </c>
      <c r="L161" s="45">
        <f t="shared" si="81"/>
        <v>0</v>
      </c>
      <c r="M161" s="7">
        <v>0</v>
      </c>
      <c r="N161" s="7">
        <v>0</v>
      </c>
      <c r="O161" s="7">
        <v>0</v>
      </c>
      <c r="P161" s="7">
        <v>0</v>
      </c>
    </row>
    <row r="162" spans="1:16" x14ac:dyDescent="0.25">
      <c r="A162" s="51" t="s">
        <v>505</v>
      </c>
      <c r="B162" s="452">
        <f>SUM(B156:B161)</f>
        <v>0</v>
      </c>
      <c r="C162" s="453"/>
      <c r="D162" s="452">
        <f>SUM(D156:D161)</f>
        <v>0</v>
      </c>
      <c r="E162" s="453"/>
      <c r="F162" s="452">
        <f>SUM(F156:F161)</f>
        <v>0</v>
      </c>
      <c r="G162" s="453"/>
      <c r="H162" s="42">
        <f t="shared" ref="H162:P162" si="82">SUM(H156:H161)</f>
        <v>0</v>
      </c>
      <c r="I162" s="42">
        <f t="shared" si="82"/>
        <v>0</v>
      </c>
      <c r="J162" s="42">
        <f t="shared" si="82"/>
        <v>0</v>
      </c>
      <c r="K162" s="42">
        <f t="shared" si="82"/>
        <v>0</v>
      </c>
      <c r="L162" s="42">
        <f t="shared" si="82"/>
        <v>0</v>
      </c>
      <c r="M162" s="10">
        <f t="shared" si="82"/>
        <v>0</v>
      </c>
      <c r="N162" s="10">
        <f t="shared" si="82"/>
        <v>0</v>
      </c>
      <c r="O162" s="8">
        <f t="shared" si="82"/>
        <v>0</v>
      </c>
      <c r="P162" s="8">
        <f t="shared" si="82"/>
        <v>0</v>
      </c>
    </row>
    <row r="163" spans="1:16" ht="15" customHeight="1" x14ac:dyDescent="0.25">
      <c r="A163" s="51" t="s">
        <v>494</v>
      </c>
      <c r="B163" s="452">
        <f>AVERAGE(B156:B161)</f>
        <v>0</v>
      </c>
      <c r="C163" s="453"/>
      <c r="D163" s="452">
        <f>AVERAGE(D156:D161)</f>
        <v>0</v>
      </c>
      <c r="E163" s="453"/>
      <c r="F163" s="452">
        <f>AVERAGE(F156:F161)</f>
        <v>0</v>
      </c>
      <c r="G163" s="453"/>
      <c r="H163" s="42">
        <f t="shared" ref="H163:N163" si="83">AVERAGE(H156:H161)</f>
        <v>0</v>
      </c>
      <c r="I163" s="42">
        <f t="shared" si="83"/>
        <v>0</v>
      </c>
      <c r="J163" s="42">
        <f t="shared" si="83"/>
        <v>0</v>
      </c>
      <c r="K163" s="42">
        <f t="shared" si="83"/>
        <v>0</v>
      </c>
      <c r="L163" s="42">
        <f t="shared" si="83"/>
        <v>0</v>
      </c>
      <c r="M163" s="10">
        <f t="shared" si="83"/>
        <v>0</v>
      </c>
      <c r="N163" s="10">
        <f t="shared" si="83"/>
        <v>0</v>
      </c>
      <c r="O163" s="53" t="e">
        <f>N162/O162</f>
        <v>#DIV/0!</v>
      </c>
      <c r="P163" s="53" t="e">
        <f>M162/P162</f>
        <v>#DIV/0!</v>
      </c>
    </row>
    <row r="164" spans="1:16" ht="24" customHeight="1" x14ac:dyDescent="0.25">
      <c r="A164" s="51" t="s">
        <v>506</v>
      </c>
      <c r="B164" s="452">
        <f>B163+I163</f>
        <v>0</v>
      </c>
      <c r="C164" s="453"/>
      <c r="D164" s="452">
        <f>D163+I163</f>
        <v>0</v>
      </c>
      <c r="E164" s="453"/>
      <c r="F164" s="452">
        <f>F163+I163</f>
        <v>0</v>
      </c>
      <c r="G164" s="453"/>
      <c r="H164" s="42">
        <f>H163+I163</f>
        <v>0</v>
      </c>
      <c r="I164" s="420"/>
      <c r="J164" s="421"/>
      <c r="K164" s="421"/>
      <c r="L164" s="421"/>
      <c r="M164" s="421"/>
      <c r="N164" s="422"/>
      <c r="O164" s="6" t="s">
        <v>507</v>
      </c>
      <c r="P164" s="6" t="s">
        <v>508</v>
      </c>
    </row>
    <row r="165" spans="1:16" ht="18.75" x14ac:dyDescent="0.25">
      <c r="A165" s="424" t="s">
        <v>756</v>
      </c>
      <c r="B165" s="424"/>
      <c r="C165" s="424"/>
      <c r="D165" s="424"/>
      <c r="E165" s="424"/>
      <c r="F165" s="424"/>
      <c r="G165" s="424"/>
      <c r="H165" s="424"/>
      <c r="I165" s="424"/>
      <c r="J165" s="424"/>
      <c r="K165" s="424"/>
      <c r="L165" s="424"/>
      <c r="M165" s="424"/>
      <c r="N165" s="424"/>
      <c r="O165" s="424"/>
      <c r="P165" s="424"/>
    </row>
    <row r="166" spans="1:16" ht="25.5" x14ac:dyDescent="0.25">
      <c r="A166" s="425" t="s">
        <v>692</v>
      </c>
      <c r="B166" s="426"/>
      <c r="C166" s="427"/>
      <c r="D166" s="428"/>
      <c r="E166" s="429"/>
      <c r="F166" s="430"/>
      <c r="G166" s="4" t="s">
        <v>691</v>
      </c>
      <c r="H166" s="67" t="s">
        <v>849</v>
      </c>
      <c r="I166" s="52" t="s">
        <v>693</v>
      </c>
      <c r="J166" s="428" t="s">
        <v>849</v>
      </c>
      <c r="K166" s="429"/>
      <c r="L166" s="430"/>
      <c r="M166" s="52" t="s">
        <v>490</v>
      </c>
      <c r="N166" s="416"/>
      <c r="O166" s="417"/>
      <c r="P166" s="418"/>
    </row>
    <row r="167" spans="1:16" x14ac:dyDescent="0.25">
      <c r="A167" s="444" t="s">
        <v>492</v>
      </c>
      <c r="B167" s="444" t="s">
        <v>493</v>
      </c>
      <c r="C167" s="444"/>
      <c r="D167" s="444"/>
      <c r="E167" s="444"/>
      <c r="F167" s="444"/>
      <c r="G167" s="444"/>
      <c r="H167" s="419" t="s">
        <v>494</v>
      </c>
      <c r="I167" s="446" t="s">
        <v>683</v>
      </c>
      <c r="J167" s="419" t="s">
        <v>495</v>
      </c>
      <c r="K167" s="419" t="s">
        <v>496</v>
      </c>
      <c r="L167" s="419" t="s">
        <v>497</v>
      </c>
      <c r="M167" s="419" t="s">
        <v>498</v>
      </c>
      <c r="N167" s="419" t="s">
        <v>499</v>
      </c>
      <c r="O167" s="419" t="s">
        <v>500</v>
      </c>
      <c r="P167" s="419" t="s">
        <v>501</v>
      </c>
    </row>
    <row r="168" spans="1:16" x14ac:dyDescent="0.25">
      <c r="A168" s="444"/>
      <c r="B168" s="448">
        <v>5</v>
      </c>
      <c r="C168" s="449"/>
      <c r="D168" s="448">
        <v>15</v>
      </c>
      <c r="E168" s="449"/>
      <c r="F168" s="448">
        <v>25</v>
      </c>
      <c r="G168" s="449"/>
      <c r="H168" s="419"/>
      <c r="I168" s="447"/>
      <c r="J168" s="419"/>
      <c r="K168" s="419"/>
      <c r="L168" s="419"/>
      <c r="M168" s="419"/>
      <c r="N168" s="419"/>
      <c r="O168" s="419"/>
      <c r="P168" s="419"/>
    </row>
    <row r="169" spans="1:16" x14ac:dyDescent="0.25">
      <c r="A169" s="5">
        <v>43922</v>
      </c>
      <c r="B169" s="450">
        <v>0</v>
      </c>
      <c r="C169" s="451"/>
      <c r="D169" s="450">
        <v>0</v>
      </c>
      <c r="E169" s="451"/>
      <c r="F169" s="450">
        <v>0</v>
      </c>
      <c r="G169" s="451"/>
      <c r="H169" s="42">
        <f t="shared" ref="H169:H171" si="84">AVERAGE(B169:G169)</f>
        <v>0</v>
      </c>
      <c r="I169" s="43">
        <v>0</v>
      </c>
      <c r="J169" s="43">
        <v>0</v>
      </c>
      <c r="K169" s="44">
        <v>0</v>
      </c>
      <c r="L169" s="45">
        <f t="shared" ref="L169:L171" si="85">J169-K169</f>
        <v>0</v>
      </c>
      <c r="M169" s="7">
        <v>0</v>
      </c>
      <c r="N169" s="7">
        <v>0</v>
      </c>
      <c r="O169" s="7">
        <v>0</v>
      </c>
      <c r="P169" s="7">
        <v>0</v>
      </c>
    </row>
    <row r="170" spans="1:16" x14ac:dyDescent="0.25">
      <c r="A170" s="5">
        <f>EDATE(A169,1)</f>
        <v>43952</v>
      </c>
      <c r="B170" s="450">
        <v>0</v>
      </c>
      <c r="C170" s="451"/>
      <c r="D170" s="450">
        <v>0</v>
      </c>
      <c r="E170" s="451"/>
      <c r="F170" s="450">
        <v>0</v>
      </c>
      <c r="G170" s="451"/>
      <c r="H170" s="42">
        <f t="shared" si="84"/>
        <v>0</v>
      </c>
      <c r="I170" s="43">
        <v>0</v>
      </c>
      <c r="J170" s="43">
        <v>0</v>
      </c>
      <c r="K170" s="44">
        <v>0</v>
      </c>
      <c r="L170" s="45">
        <f t="shared" si="85"/>
        <v>0</v>
      </c>
      <c r="M170" s="7">
        <v>0</v>
      </c>
      <c r="N170" s="7">
        <v>0</v>
      </c>
      <c r="O170" s="7">
        <v>0</v>
      </c>
      <c r="P170" s="7">
        <v>0</v>
      </c>
    </row>
    <row r="171" spans="1:16" x14ac:dyDescent="0.25">
      <c r="A171" s="5">
        <f t="shared" ref="A171:A174" si="86">EDATE(A170,1)</f>
        <v>43983</v>
      </c>
      <c r="B171" s="450">
        <v>0</v>
      </c>
      <c r="C171" s="451"/>
      <c r="D171" s="450">
        <v>0</v>
      </c>
      <c r="E171" s="451"/>
      <c r="F171" s="450">
        <v>0</v>
      </c>
      <c r="G171" s="451"/>
      <c r="H171" s="42">
        <f t="shared" si="84"/>
        <v>0</v>
      </c>
      <c r="I171" s="43">
        <v>0</v>
      </c>
      <c r="J171" s="43">
        <v>0</v>
      </c>
      <c r="K171" s="44">
        <v>0</v>
      </c>
      <c r="L171" s="45">
        <f t="shared" si="85"/>
        <v>0</v>
      </c>
      <c r="M171" s="7">
        <v>0</v>
      </c>
      <c r="N171" s="7">
        <v>0</v>
      </c>
      <c r="O171" s="7">
        <v>0</v>
      </c>
      <c r="P171" s="7">
        <v>0</v>
      </c>
    </row>
    <row r="172" spans="1:16" x14ac:dyDescent="0.25">
      <c r="A172" s="5">
        <f t="shared" si="86"/>
        <v>44013</v>
      </c>
      <c r="B172" s="450">
        <v>0</v>
      </c>
      <c r="C172" s="451"/>
      <c r="D172" s="450">
        <v>0</v>
      </c>
      <c r="E172" s="451"/>
      <c r="F172" s="450">
        <v>0</v>
      </c>
      <c r="G172" s="451"/>
      <c r="H172" s="42">
        <f t="shared" ref="H172:H174" si="87">AVERAGE(B172:G172)</f>
        <v>0</v>
      </c>
      <c r="I172" s="43">
        <v>0</v>
      </c>
      <c r="J172" s="43">
        <v>0</v>
      </c>
      <c r="K172" s="44">
        <v>0</v>
      </c>
      <c r="L172" s="45">
        <f t="shared" ref="L172:L174" si="88">J172-K172</f>
        <v>0</v>
      </c>
      <c r="M172" s="7">
        <v>0</v>
      </c>
      <c r="N172" s="7">
        <v>0</v>
      </c>
      <c r="O172" s="7">
        <v>0</v>
      </c>
      <c r="P172" s="7">
        <v>0</v>
      </c>
    </row>
    <row r="173" spans="1:16" x14ac:dyDescent="0.25">
      <c r="A173" s="5">
        <f t="shared" si="86"/>
        <v>44044</v>
      </c>
      <c r="B173" s="450">
        <v>0</v>
      </c>
      <c r="C173" s="451"/>
      <c r="D173" s="450">
        <v>0</v>
      </c>
      <c r="E173" s="451"/>
      <c r="F173" s="450">
        <v>0</v>
      </c>
      <c r="G173" s="451"/>
      <c r="H173" s="42">
        <f t="shared" si="87"/>
        <v>0</v>
      </c>
      <c r="I173" s="43">
        <v>0</v>
      </c>
      <c r="J173" s="43">
        <v>0</v>
      </c>
      <c r="K173" s="44">
        <v>0</v>
      </c>
      <c r="L173" s="45">
        <f t="shared" si="88"/>
        <v>0</v>
      </c>
      <c r="M173" s="7">
        <v>0</v>
      </c>
      <c r="N173" s="7">
        <v>0</v>
      </c>
      <c r="O173" s="7">
        <v>0</v>
      </c>
      <c r="P173" s="7">
        <v>0</v>
      </c>
    </row>
    <row r="174" spans="1:16" x14ac:dyDescent="0.25">
      <c r="A174" s="5">
        <f t="shared" si="86"/>
        <v>44075</v>
      </c>
      <c r="B174" s="450">
        <v>0</v>
      </c>
      <c r="C174" s="451"/>
      <c r="D174" s="450">
        <v>0</v>
      </c>
      <c r="E174" s="451"/>
      <c r="F174" s="450">
        <v>0</v>
      </c>
      <c r="G174" s="451"/>
      <c r="H174" s="42">
        <f t="shared" si="87"/>
        <v>0</v>
      </c>
      <c r="I174" s="43">
        <v>0</v>
      </c>
      <c r="J174" s="43">
        <v>0</v>
      </c>
      <c r="K174" s="44">
        <v>0</v>
      </c>
      <c r="L174" s="45">
        <f t="shared" si="88"/>
        <v>0</v>
      </c>
      <c r="M174" s="7">
        <v>0</v>
      </c>
      <c r="N174" s="7">
        <v>0</v>
      </c>
      <c r="O174" s="7">
        <v>0</v>
      </c>
      <c r="P174" s="7">
        <v>0</v>
      </c>
    </row>
    <row r="175" spans="1:16" x14ac:dyDescent="0.25">
      <c r="A175" s="51" t="s">
        <v>505</v>
      </c>
      <c r="B175" s="452">
        <f>SUM(B169:B174)</f>
        <v>0</v>
      </c>
      <c r="C175" s="453"/>
      <c r="D175" s="452">
        <f>SUM(D169:D174)</f>
        <v>0</v>
      </c>
      <c r="E175" s="453"/>
      <c r="F175" s="452">
        <f>SUM(F169:F174)</f>
        <v>0</v>
      </c>
      <c r="G175" s="453"/>
      <c r="H175" s="42">
        <f t="shared" ref="H175:P175" si="89">SUM(H169:H174)</f>
        <v>0</v>
      </c>
      <c r="I175" s="42">
        <f t="shared" si="89"/>
        <v>0</v>
      </c>
      <c r="J175" s="42">
        <f t="shared" si="89"/>
        <v>0</v>
      </c>
      <c r="K175" s="42">
        <f t="shared" si="89"/>
        <v>0</v>
      </c>
      <c r="L175" s="42">
        <f t="shared" si="89"/>
        <v>0</v>
      </c>
      <c r="M175" s="10">
        <f t="shared" si="89"/>
        <v>0</v>
      </c>
      <c r="N175" s="10">
        <f t="shared" si="89"/>
        <v>0</v>
      </c>
      <c r="O175" s="8">
        <f t="shared" si="89"/>
        <v>0</v>
      </c>
      <c r="P175" s="8">
        <f t="shared" si="89"/>
        <v>0</v>
      </c>
    </row>
    <row r="176" spans="1:16" x14ac:dyDescent="0.25">
      <c r="A176" s="51" t="s">
        <v>494</v>
      </c>
      <c r="B176" s="452">
        <f>AVERAGE(B169:B174)</f>
        <v>0</v>
      </c>
      <c r="C176" s="453"/>
      <c r="D176" s="452">
        <f>AVERAGE(D169:D174)</f>
        <v>0</v>
      </c>
      <c r="E176" s="453"/>
      <c r="F176" s="452">
        <f>AVERAGE(F169:F174)</f>
        <v>0</v>
      </c>
      <c r="G176" s="453"/>
      <c r="H176" s="42">
        <f t="shared" ref="H176:N176" si="90">AVERAGE(H169:H174)</f>
        <v>0</v>
      </c>
      <c r="I176" s="42">
        <f t="shared" si="90"/>
        <v>0</v>
      </c>
      <c r="J176" s="42">
        <f t="shared" si="90"/>
        <v>0</v>
      </c>
      <c r="K176" s="42">
        <f t="shared" si="90"/>
        <v>0</v>
      </c>
      <c r="L176" s="42">
        <f t="shared" si="90"/>
        <v>0</v>
      </c>
      <c r="M176" s="10">
        <f t="shared" si="90"/>
        <v>0</v>
      </c>
      <c r="N176" s="10">
        <f t="shared" si="90"/>
        <v>0</v>
      </c>
      <c r="O176" s="53" t="e">
        <f>N175/O175</f>
        <v>#DIV/0!</v>
      </c>
      <c r="P176" s="53" t="e">
        <f>M175/P175</f>
        <v>#DIV/0!</v>
      </c>
    </row>
    <row r="177" spans="1:16" ht="38.25" x14ac:dyDescent="0.25">
      <c r="A177" s="51" t="s">
        <v>506</v>
      </c>
      <c r="B177" s="452">
        <f>B176+I176</f>
        <v>0</v>
      </c>
      <c r="C177" s="453"/>
      <c r="D177" s="452">
        <f>D176+I176</f>
        <v>0</v>
      </c>
      <c r="E177" s="453"/>
      <c r="F177" s="452">
        <f>F176+I176</f>
        <v>0</v>
      </c>
      <c r="G177" s="453"/>
      <c r="H177" s="42">
        <f>H176+I176</f>
        <v>0</v>
      </c>
      <c r="I177" s="420"/>
      <c r="J177" s="421"/>
      <c r="K177" s="421"/>
      <c r="L177" s="421"/>
      <c r="M177" s="421"/>
      <c r="N177" s="422"/>
      <c r="O177" s="6" t="s">
        <v>507</v>
      </c>
      <c r="P177" s="6" t="s">
        <v>508</v>
      </c>
    </row>
    <row r="178" spans="1:16" ht="18.75" x14ac:dyDescent="0.25">
      <c r="A178" s="424" t="s">
        <v>757</v>
      </c>
      <c r="B178" s="424"/>
      <c r="C178" s="424"/>
      <c r="D178" s="424"/>
      <c r="E178" s="424"/>
      <c r="F178" s="424"/>
      <c r="G178" s="424"/>
      <c r="H178" s="424"/>
      <c r="I178" s="424"/>
      <c r="J178" s="424"/>
      <c r="K178" s="424"/>
      <c r="L178" s="424"/>
      <c r="M178" s="424"/>
      <c r="N178" s="424"/>
      <c r="O178" s="424"/>
      <c r="P178" s="424"/>
    </row>
    <row r="179" spans="1:16" ht="25.5" x14ac:dyDescent="0.25">
      <c r="A179" s="425" t="s">
        <v>692</v>
      </c>
      <c r="B179" s="426"/>
      <c r="C179" s="427"/>
      <c r="D179" s="428"/>
      <c r="E179" s="429"/>
      <c r="F179" s="430"/>
      <c r="G179" s="4" t="s">
        <v>691</v>
      </c>
      <c r="H179" s="67" t="s">
        <v>849</v>
      </c>
      <c r="I179" s="52" t="s">
        <v>693</v>
      </c>
      <c r="J179" s="428" t="s">
        <v>849</v>
      </c>
      <c r="K179" s="429"/>
      <c r="L179" s="430"/>
      <c r="M179" s="52" t="s">
        <v>490</v>
      </c>
      <c r="N179" s="416"/>
      <c r="O179" s="417"/>
      <c r="P179" s="418"/>
    </row>
    <row r="180" spans="1:16" x14ac:dyDescent="0.25">
      <c r="A180" s="444" t="s">
        <v>492</v>
      </c>
      <c r="B180" s="444" t="s">
        <v>493</v>
      </c>
      <c r="C180" s="444"/>
      <c r="D180" s="444"/>
      <c r="E180" s="444"/>
      <c r="F180" s="444"/>
      <c r="G180" s="444"/>
      <c r="H180" s="419" t="s">
        <v>494</v>
      </c>
      <c r="I180" s="446" t="s">
        <v>683</v>
      </c>
      <c r="J180" s="419" t="s">
        <v>495</v>
      </c>
      <c r="K180" s="419" t="s">
        <v>496</v>
      </c>
      <c r="L180" s="419" t="s">
        <v>497</v>
      </c>
      <c r="M180" s="419" t="s">
        <v>498</v>
      </c>
      <c r="N180" s="419" t="s">
        <v>499</v>
      </c>
      <c r="O180" s="419" t="s">
        <v>500</v>
      </c>
      <c r="P180" s="419" t="s">
        <v>501</v>
      </c>
    </row>
    <row r="181" spans="1:16" x14ac:dyDescent="0.25">
      <c r="A181" s="444"/>
      <c r="B181" s="448">
        <v>5</v>
      </c>
      <c r="C181" s="449"/>
      <c r="D181" s="448">
        <v>15</v>
      </c>
      <c r="E181" s="449"/>
      <c r="F181" s="448">
        <v>25</v>
      </c>
      <c r="G181" s="449"/>
      <c r="H181" s="419"/>
      <c r="I181" s="447"/>
      <c r="J181" s="419"/>
      <c r="K181" s="419"/>
      <c r="L181" s="419"/>
      <c r="M181" s="419"/>
      <c r="N181" s="419"/>
      <c r="O181" s="419"/>
      <c r="P181" s="419"/>
    </row>
    <row r="182" spans="1:16" x14ac:dyDescent="0.25">
      <c r="A182" s="5">
        <v>43922</v>
      </c>
      <c r="B182" s="450">
        <v>0</v>
      </c>
      <c r="C182" s="451"/>
      <c r="D182" s="450">
        <v>0</v>
      </c>
      <c r="E182" s="451"/>
      <c r="F182" s="450">
        <v>0</v>
      </c>
      <c r="G182" s="451"/>
      <c r="H182" s="42">
        <f t="shared" ref="H182:H184" si="91">AVERAGE(B182:G182)</f>
        <v>0</v>
      </c>
      <c r="I182" s="43">
        <v>0</v>
      </c>
      <c r="J182" s="43">
        <v>0</v>
      </c>
      <c r="K182" s="44">
        <v>0</v>
      </c>
      <c r="L182" s="45">
        <f t="shared" ref="L182:L184" si="92">J182-K182</f>
        <v>0</v>
      </c>
      <c r="M182" s="7">
        <v>0</v>
      </c>
      <c r="N182" s="7">
        <v>0</v>
      </c>
      <c r="O182" s="7">
        <v>0</v>
      </c>
      <c r="P182" s="7">
        <v>0</v>
      </c>
    </row>
    <row r="183" spans="1:16" x14ac:dyDescent="0.25">
      <c r="A183" s="5">
        <f>EDATE(A182,1)</f>
        <v>43952</v>
      </c>
      <c r="B183" s="450">
        <v>0</v>
      </c>
      <c r="C183" s="451"/>
      <c r="D183" s="450">
        <v>0</v>
      </c>
      <c r="E183" s="451"/>
      <c r="F183" s="450">
        <v>0</v>
      </c>
      <c r="G183" s="451"/>
      <c r="H183" s="42">
        <f t="shared" si="91"/>
        <v>0</v>
      </c>
      <c r="I183" s="43">
        <v>0</v>
      </c>
      <c r="J183" s="43">
        <v>0</v>
      </c>
      <c r="K183" s="44">
        <v>0</v>
      </c>
      <c r="L183" s="45">
        <f t="shared" si="92"/>
        <v>0</v>
      </c>
      <c r="M183" s="7">
        <v>0</v>
      </c>
      <c r="N183" s="7">
        <v>0</v>
      </c>
      <c r="O183" s="7">
        <v>0</v>
      </c>
      <c r="P183" s="7">
        <v>0</v>
      </c>
    </row>
    <row r="184" spans="1:16" x14ac:dyDescent="0.25">
      <c r="A184" s="5">
        <f t="shared" ref="A184:A187" si="93">EDATE(A183,1)</f>
        <v>43983</v>
      </c>
      <c r="B184" s="450">
        <v>0</v>
      </c>
      <c r="C184" s="451"/>
      <c r="D184" s="450">
        <v>0</v>
      </c>
      <c r="E184" s="451"/>
      <c r="F184" s="450">
        <v>0</v>
      </c>
      <c r="G184" s="451"/>
      <c r="H184" s="42">
        <f t="shared" si="91"/>
        <v>0</v>
      </c>
      <c r="I184" s="43">
        <v>0</v>
      </c>
      <c r="J184" s="43">
        <v>0</v>
      </c>
      <c r="K184" s="44">
        <v>0</v>
      </c>
      <c r="L184" s="45">
        <f t="shared" si="92"/>
        <v>0</v>
      </c>
      <c r="M184" s="7">
        <v>0</v>
      </c>
      <c r="N184" s="7">
        <v>0</v>
      </c>
      <c r="O184" s="7">
        <v>0</v>
      </c>
      <c r="P184" s="7">
        <v>0</v>
      </c>
    </row>
    <row r="185" spans="1:16" x14ac:dyDescent="0.25">
      <c r="A185" s="5">
        <f t="shared" si="93"/>
        <v>44013</v>
      </c>
      <c r="B185" s="450">
        <v>0</v>
      </c>
      <c r="C185" s="451"/>
      <c r="D185" s="450">
        <v>0</v>
      </c>
      <c r="E185" s="451"/>
      <c r="F185" s="450">
        <v>0</v>
      </c>
      <c r="G185" s="451"/>
      <c r="H185" s="42">
        <f t="shared" ref="H185:H187" si="94">AVERAGE(B185:G185)</f>
        <v>0</v>
      </c>
      <c r="I185" s="43">
        <v>0</v>
      </c>
      <c r="J185" s="43">
        <v>0</v>
      </c>
      <c r="K185" s="44">
        <v>0</v>
      </c>
      <c r="L185" s="45">
        <f t="shared" ref="L185:L187" si="95">J185-K185</f>
        <v>0</v>
      </c>
      <c r="M185" s="7">
        <v>0</v>
      </c>
      <c r="N185" s="7">
        <v>0</v>
      </c>
      <c r="O185" s="7">
        <v>0</v>
      </c>
      <c r="P185" s="7">
        <v>0</v>
      </c>
    </row>
    <row r="186" spans="1:16" ht="15" customHeight="1" x14ac:dyDescent="0.25">
      <c r="A186" s="5">
        <f t="shared" si="93"/>
        <v>44044</v>
      </c>
      <c r="B186" s="450">
        <v>0</v>
      </c>
      <c r="C186" s="451"/>
      <c r="D186" s="450">
        <v>0</v>
      </c>
      <c r="E186" s="451"/>
      <c r="F186" s="450">
        <v>0</v>
      </c>
      <c r="G186" s="451"/>
      <c r="H186" s="42">
        <f t="shared" si="94"/>
        <v>0</v>
      </c>
      <c r="I186" s="43">
        <v>0</v>
      </c>
      <c r="J186" s="43">
        <v>0</v>
      </c>
      <c r="K186" s="44">
        <v>0</v>
      </c>
      <c r="L186" s="45">
        <f t="shared" si="95"/>
        <v>0</v>
      </c>
      <c r="M186" s="7">
        <v>0</v>
      </c>
      <c r="N186" s="7">
        <v>0</v>
      </c>
      <c r="O186" s="7">
        <v>0</v>
      </c>
      <c r="P186" s="7">
        <v>0</v>
      </c>
    </row>
    <row r="187" spans="1:16" ht="15" customHeight="1" x14ac:dyDescent="0.25">
      <c r="A187" s="5">
        <f t="shared" si="93"/>
        <v>44075</v>
      </c>
      <c r="B187" s="450">
        <v>0</v>
      </c>
      <c r="C187" s="451"/>
      <c r="D187" s="450">
        <v>0</v>
      </c>
      <c r="E187" s="451"/>
      <c r="F187" s="450">
        <v>0</v>
      </c>
      <c r="G187" s="451"/>
      <c r="H187" s="42">
        <f t="shared" si="94"/>
        <v>0</v>
      </c>
      <c r="I187" s="43">
        <v>0</v>
      </c>
      <c r="J187" s="43">
        <v>0</v>
      </c>
      <c r="K187" s="44">
        <v>0</v>
      </c>
      <c r="L187" s="45">
        <f t="shared" si="95"/>
        <v>0</v>
      </c>
      <c r="M187" s="7">
        <v>0</v>
      </c>
      <c r="N187" s="7">
        <v>0</v>
      </c>
      <c r="O187" s="7">
        <v>0</v>
      </c>
      <c r="P187" s="7">
        <v>0</v>
      </c>
    </row>
    <row r="188" spans="1:16" x14ac:dyDescent="0.25">
      <c r="A188" s="51" t="s">
        <v>505</v>
      </c>
      <c r="B188" s="452">
        <f>SUM(B182:B187)</f>
        <v>0</v>
      </c>
      <c r="C188" s="453"/>
      <c r="D188" s="452">
        <f>SUM(D182:D187)</f>
        <v>0</v>
      </c>
      <c r="E188" s="453"/>
      <c r="F188" s="452">
        <f>SUM(F182:F187)</f>
        <v>0</v>
      </c>
      <c r="G188" s="453"/>
      <c r="H188" s="42">
        <f t="shared" ref="H188:P188" si="96">SUM(H182:H187)</f>
        <v>0</v>
      </c>
      <c r="I188" s="42">
        <f t="shared" si="96"/>
        <v>0</v>
      </c>
      <c r="J188" s="42">
        <f t="shared" si="96"/>
        <v>0</v>
      </c>
      <c r="K188" s="42">
        <f t="shared" si="96"/>
        <v>0</v>
      </c>
      <c r="L188" s="42">
        <f t="shared" si="96"/>
        <v>0</v>
      </c>
      <c r="M188" s="10">
        <f t="shared" si="96"/>
        <v>0</v>
      </c>
      <c r="N188" s="10">
        <f t="shared" si="96"/>
        <v>0</v>
      </c>
      <c r="O188" s="8">
        <f t="shared" si="96"/>
        <v>0</v>
      </c>
      <c r="P188" s="8">
        <f t="shared" si="96"/>
        <v>0</v>
      </c>
    </row>
    <row r="189" spans="1:16" x14ac:dyDescent="0.25">
      <c r="A189" s="51" t="s">
        <v>494</v>
      </c>
      <c r="B189" s="452">
        <f>AVERAGE(B182:B187)</f>
        <v>0</v>
      </c>
      <c r="C189" s="453"/>
      <c r="D189" s="452">
        <f>AVERAGE(D182:D187)</f>
        <v>0</v>
      </c>
      <c r="E189" s="453"/>
      <c r="F189" s="452">
        <f>AVERAGE(F182:F187)</f>
        <v>0</v>
      </c>
      <c r="G189" s="453"/>
      <c r="H189" s="42">
        <f t="shared" ref="H189:N189" si="97">AVERAGE(H182:H187)</f>
        <v>0</v>
      </c>
      <c r="I189" s="42">
        <f t="shared" si="97"/>
        <v>0</v>
      </c>
      <c r="J189" s="42">
        <f t="shared" si="97"/>
        <v>0</v>
      </c>
      <c r="K189" s="42">
        <f t="shared" si="97"/>
        <v>0</v>
      </c>
      <c r="L189" s="42">
        <f t="shared" si="97"/>
        <v>0</v>
      </c>
      <c r="M189" s="10">
        <f t="shared" si="97"/>
        <v>0</v>
      </c>
      <c r="N189" s="10">
        <f t="shared" si="97"/>
        <v>0</v>
      </c>
      <c r="O189" s="53" t="e">
        <f>N188/O188</f>
        <v>#DIV/0!</v>
      </c>
      <c r="P189" s="53" t="e">
        <f>M188/P188</f>
        <v>#DIV/0!</v>
      </c>
    </row>
    <row r="190" spans="1:16" ht="38.25" x14ac:dyDescent="0.25">
      <c r="A190" s="51" t="s">
        <v>506</v>
      </c>
      <c r="B190" s="452">
        <f>B189+I189</f>
        <v>0</v>
      </c>
      <c r="C190" s="453"/>
      <c r="D190" s="452">
        <f>D189+I189</f>
        <v>0</v>
      </c>
      <c r="E190" s="453"/>
      <c r="F190" s="452">
        <f>F189+I189</f>
        <v>0</v>
      </c>
      <c r="G190" s="453"/>
      <c r="H190" s="42">
        <f>H189+I189</f>
        <v>0</v>
      </c>
      <c r="I190" s="420"/>
      <c r="J190" s="421"/>
      <c r="K190" s="421"/>
      <c r="L190" s="421"/>
      <c r="M190" s="421"/>
      <c r="N190" s="422"/>
      <c r="O190" s="6" t="s">
        <v>507</v>
      </c>
      <c r="P190" s="6" t="s">
        <v>508</v>
      </c>
    </row>
    <row r="191" spans="1:16" ht="18.75" x14ac:dyDescent="0.25">
      <c r="A191" s="424" t="s">
        <v>758</v>
      </c>
      <c r="B191" s="424"/>
      <c r="C191" s="424"/>
      <c r="D191" s="424"/>
      <c r="E191" s="424"/>
      <c r="F191" s="424"/>
      <c r="G191" s="424"/>
      <c r="H191" s="424"/>
      <c r="I191" s="424"/>
      <c r="J191" s="424"/>
      <c r="K191" s="424"/>
      <c r="L191" s="424"/>
      <c r="M191" s="424"/>
      <c r="N191" s="424"/>
      <c r="O191" s="424"/>
      <c r="P191" s="424"/>
    </row>
    <row r="192" spans="1:16" ht="25.5" x14ac:dyDescent="0.25">
      <c r="A192" s="425" t="s">
        <v>692</v>
      </c>
      <c r="B192" s="426"/>
      <c r="C192" s="427"/>
      <c r="D192" s="428"/>
      <c r="E192" s="429"/>
      <c r="F192" s="430"/>
      <c r="G192" s="4" t="s">
        <v>691</v>
      </c>
      <c r="H192" s="67" t="s">
        <v>849</v>
      </c>
      <c r="I192" s="52" t="s">
        <v>693</v>
      </c>
      <c r="J192" s="428" t="s">
        <v>849</v>
      </c>
      <c r="K192" s="429"/>
      <c r="L192" s="430"/>
      <c r="M192" s="52" t="s">
        <v>490</v>
      </c>
      <c r="N192" s="416"/>
      <c r="O192" s="417"/>
      <c r="P192" s="418"/>
    </row>
    <row r="193" spans="1:16" x14ac:dyDescent="0.25">
      <c r="A193" s="444" t="s">
        <v>492</v>
      </c>
      <c r="B193" s="444" t="s">
        <v>493</v>
      </c>
      <c r="C193" s="444"/>
      <c r="D193" s="444"/>
      <c r="E193" s="444"/>
      <c r="F193" s="444"/>
      <c r="G193" s="444"/>
      <c r="H193" s="419" t="s">
        <v>494</v>
      </c>
      <c r="I193" s="446" t="s">
        <v>683</v>
      </c>
      <c r="J193" s="419" t="s">
        <v>495</v>
      </c>
      <c r="K193" s="419" t="s">
        <v>496</v>
      </c>
      <c r="L193" s="419" t="s">
        <v>497</v>
      </c>
      <c r="M193" s="419" t="s">
        <v>498</v>
      </c>
      <c r="N193" s="419" t="s">
        <v>499</v>
      </c>
      <c r="O193" s="419" t="s">
        <v>500</v>
      </c>
      <c r="P193" s="419" t="s">
        <v>501</v>
      </c>
    </row>
    <row r="194" spans="1:16" x14ac:dyDescent="0.25">
      <c r="A194" s="444"/>
      <c r="B194" s="448">
        <v>5</v>
      </c>
      <c r="C194" s="449"/>
      <c r="D194" s="448">
        <v>15</v>
      </c>
      <c r="E194" s="449"/>
      <c r="F194" s="448">
        <v>25</v>
      </c>
      <c r="G194" s="449"/>
      <c r="H194" s="419"/>
      <c r="I194" s="447"/>
      <c r="J194" s="419"/>
      <c r="K194" s="419"/>
      <c r="L194" s="419"/>
      <c r="M194" s="419"/>
      <c r="N194" s="419"/>
      <c r="O194" s="419"/>
      <c r="P194" s="419"/>
    </row>
    <row r="195" spans="1:16" x14ac:dyDescent="0.25">
      <c r="A195" s="5">
        <v>43922</v>
      </c>
      <c r="B195" s="450">
        <v>0</v>
      </c>
      <c r="C195" s="451"/>
      <c r="D195" s="450">
        <v>0</v>
      </c>
      <c r="E195" s="451"/>
      <c r="F195" s="450">
        <v>0</v>
      </c>
      <c r="G195" s="451"/>
      <c r="H195" s="42">
        <f t="shared" ref="H195:H197" si="98">AVERAGE(B195:G195)</f>
        <v>0</v>
      </c>
      <c r="I195" s="43">
        <v>0</v>
      </c>
      <c r="J195" s="43">
        <v>0</v>
      </c>
      <c r="K195" s="44">
        <v>0</v>
      </c>
      <c r="L195" s="45">
        <f t="shared" ref="L195:L197" si="99">J195-K195</f>
        <v>0</v>
      </c>
      <c r="M195" s="7">
        <v>0</v>
      </c>
      <c r="N195" s="7">
        <v>0</v>
      </c>
      <c r="O195" s="7">
        <v>0</v>
      </c>
      <c r="P195" s="7">
        <v>0</v>
      </c>
    </row>
    <row r="196" spans="1:16" ht="15" customHeight="1" x14ac:dyDescent="0.25">
      <c r="A196" s="5">
        <f>EDATE(A195,1)</f>
        <v>43952</v>
      </c>
      <c r="B196" s="450">
        <v>0</v>
      </c>
      <c r="C196" s="451"/>
      <c r="D196" s="450">
        <v>0</v>
      </c>
      <c r="E196" s="451"/>
      <c r="F196" s="450">
        <v>0</v>
      </c>
      <c r="G196" s="451"/>
      <c r="H196" s="42">
        <f t="shared" si="98"/>
        <v>0</v>
      </c>
      <c r="I196" s="43">
        <v>0</v>
      </c>
      <c r="J196" s="43">
        <v>0</v>
      </c>
      <c r="K196" s="44">
        <v>0</v>
      </c>
      <c r="L196" s="45">
        <f t="shared" si="99"/>
        <v>0</v>
      </c>
      <c r="M196" s="7">
        <v>0</v>
      </c>
      <c r="N196" s="7">
        <v>0</v>
      </c>
      <c r="O196" s="7">
        <v>0</v>
      </c>
      <c r="P196" s="7">
        <v>0</v>
      </c>
    </row>
    <row r="197" spans="1:16" ht="15" customHeight="1" x14ac:dyDescent="0.25">
      <c r="A197" s="5">
        <f t="shared" ref="A197:A200" si="100">EDATE(A196,1)</f>
        <v>43983</v>
      </c>
      <c r="B197" s="450">
        <v>0</v>
      </c>
      <c r="C197" s="451"/>
      <c r="D197" s="450">
        <v>0</v>
      </c>
      <c r="E197" s="451"/>
      <c r="F197" s="450">
        <v>0</v>
      </c>
      <c r="G197" s="451"/>
      <c r="H197" s="42">
        <f t="shared" si="98"/>
        <v>0</v>
      </c>
      <c r="I197" s="43">
        <v>0</v>
      </c>
      <c r="J197" s="43">
        <v>0</v>
      </c>
      <c r="K197" s="44">
        <v>0</v>
      </c>
      <c r="L197" s="45">
        <f t="shared" si="99"/>
        <v>0</v>
      </c>
      <c r="M197" s="7">
        <v>0</v>
      </c>
      <c r="N197" s="7">
        <v>0</v>
      </c>
      <c r="O197" s="7">
        <v>0</v>
      </c>
      <c r="P197" s="7">
        <v>0</v>
      </c>
    </row>
    <row r="198" spans="1:16" x14ac:dyDescent="0.25">
      <c r="A198" s="5">
        <f t="shared" si="100"/>
        <v>44013</v>
      </c>
      <c r="B198" s="450">
        <v>0</v>
      </c>
      <c r="C198" s="451"/>
      <c r="D198" s="450">
        <v>0</v>
      </c>
      <c r="E198" s="451"/>
      <c r="F198" s="450">
        <v>0</v>
      </c>
      <c r="G198" s="451"/>
      <c r="H198" s="42">
        <f t="shared" ref="H198:H200" si="101">AVERAGE(B198:G198)</f>
        <v>0</v>
      </c>
      <c r="I198" s="43">
        <v>0</v>
      </c>
      <c r="J198" s="43">
        <v>0</v>
      </c>
      <c r="K198" s="44">
        <v>0</v>
      </c>
      <c r="L198" s="45">
        <f t="shared" ref="L198:L200" si="102">J198-K198</f>
        <v>0</v>
      </c>
      <c r="M198" s="7">
        <v>0</v>
      </c>
      <c r="N198" s="7">
        <v>0</v>
      </c>
      <c r="O198" s="7">
        <v>0</v>
      </c>
      <c r="P198" s="7">
        <v>0</v>
      </c>
    </row>
    <row r="199" spans="1:16" x14ac:dyDescent="0.25">
      <c r="A199" s="5">
        <f t="shared" si="100"/>
        <v>44044</v>
      </c>
      <c r="B199" s="450">
        <v>0</v>
      </c>
      <c r="C199" s="451"/>
      <c r="D199" s="450">
        <v>0</v>
      </c>
      <c r="E199" s="451"/>
      <c r="F199" s="450">
        <v>0</v>
      </c>
      <c r="G199" s="451"/>
      <c r="H199" s="42">
        <f t="shared" si="101"/>
        <v>0</v>
      </c>
      <c r="I199" s="43">
        <v>0</v>
      </c>
      <c r="J199" s="43">
        <v>0</v>
      </c>
      <c r="K199" s="44">
        <v>0</v>
      </c>
      <c r="L199" s="45">
        <f t="shared" si="102"/>
        <v>0</v>
      </c>
      <c r="M199" s="7">
        <v>0</v>
      </c>
      <c r="N199" s="7">
        <v>0</v>
      </c>
      <c r="O199" s="7">
        <v>0</v>
      </c>
      <c r="P199" s="7">
        <v>0</v>
      </c>
    </row>
    <row r="200" spans="1:16" x14ac:dyDescent="0.25">
      <c r="A200" s="5">
        <f t="shared" si="100"/>
        <v>44075</v>
      </c>
      <c r="B200" s="450">
        <v>0</v>
      </c>
      <c r="C200" s="451"/>
      <c r="D200" s="450">
        <v>0</v>
      </c>
      <c r="E200" s="451"/>
      <c r="F200" s="450">
        <v>0</v>
      </c>
      <c r="G200" s="451"/>
      <c r="H200" s="42">
        <f t="shared" si="101"/>
        <v>0</v>
      </c>
      <c r="I200" s="43">
        <v>0</v>
      </c>
      <c r="J200" s="43">
        <v>0</v>
      </c>
      <c r="K200" s="44">
        <v>0</v>
      </c>
      <c r="L200" s="45">
        <f t="shared" si="102"/>
        <v>0</v>
      </c>
      <c r="M200" s="7">
        <v>0</v>
      </c>
      <c r="N200" s="7">
        <v>0</v>
      </c>
      <c r="O200" s="7">
        <v>0</v>
      </c>
      <c r="P200" s="7">
        <v>0</v>
      </c>
    </row>
    <row r="201" spans="1:16" x14ac:dyDescent="0.25">
      <c r="A201" s="51" t="s">
        <v>505</v>
      </c>
      <c r="B201" s="452">
        <f>SUM(B195:B200)</f>
        <v>0</v>
      </c>
      <c r="C201" s="453"/>
      <c r="D201" s="452">
        <f>SUM(D195:D200)</f>
        <v>0</v>
      </c>
      <c r="E201" s="453"/>
      <c r="F201" s="452">
        <f>SUM(F195:F200)</f>
        <v>0</v>
      </c>
      <c r="G201" s="453"/>
      <c r="H201" s="42">
        <f t="shared" ref="H201:P201" si="103">SUM(H195:H200)</f>
        <v>0</v>
      </c>
      <c r="I201" s="42">
        <f t="shared" si="103"/>
        <v>0</v>
      </c>
      <c r="J201" s="42">
        <f t="shared" si="103"/>
        <v>0</v>
      </c>
      <c r="K201" s="42">
        <f t="shared" si="103"/>
        <v>0</v>
      </c>
      <c r="L201" s="42">
        <f t="shared" si="103"/>
        <v>0</v>
      </c>
      <c r="M201" s="10">
        <f t="shared" si="103"/>
        <v>0</v>
      </c>
      <c r="N201" s="10">
        <f t="shared" si="103"/>
        <v>0</v>
      </c>
      <c r="O201" s="8">
        <f t="shared" si="103"/>
        <v>0</v>
      </c>
      <c r="P201" s="8">
        <f t="shared" si="103"/>
        <v>0</v>
      </c>
    </row>
    <row r="202" spans="1:16" x14ac:dyDescent="0.25">
      <c r="A202" s="51" t="s">
        <v>494</v>
      </c>
      <c r="B202" s="452">
        <f>AVERAGE(B195:B200)</f>
        <v>0</v>
      </c>
      <c r="C202" s="453"/>
      <c r="D202" s="452">
        <f>AVERAGE(D195:D200)</f>
        <v>0</v>
      </c>
      <c r="E202" s="453"/>
      <c r="F202" s="452">
        <f>AVERAGE(F195:F200)</f>
        <v>0</v>
      </c>
      <c r="G202" s="453"/>
      <c r="H202" s="42">
        <f t="shared" ref="H202:N202" si="104">AVERAGE(H195:H200)</f>
        <v>0</v>
      </c>
      <c r="I202" s="42">
        <f t="shared" si="104"/>
        <v>0</v>
      </c>
      <c r="J202" s="42">
        <f t="shared" si="104"/>
        <v>0</v>
      </c>
      <c r="K202" s="42">
        <f t="shared" si="104"/>
        <v>0</v>
      </c>
      <c r="L202" s="42">
        <f t="shared" si="104"/>
        <v>0</v>
      </c>
      <c r="M202" s="10">
        <f t="shared" si="104"/>
        <v>0</v>
      </c>
      <c r="N202" s="10">
        <f t="shared" si="104"/>
        <v>0</v>
      </c>
      <c r="O202" s="53" t="e">
        <f>N201/O201</f>
        <v>#DIV/0!</v>
      </c>
      <c r="P202" s="53" t="e">
        <f>M201/P201</f>
        <v>#DIV/0!</v>
      </c>
    </row>
    <row r="203" spans="1:16" ht="38.25" x14ac:dyDescent="0.25">
      <c r="A203" s="51" t="s">
        <v>506</v>
      </c>
      <c r="B203" s="452">
        <f>B202+I202</f>
        <v>0</v>
      </c>
      <c r="C203" s="453"/>
      <c r="D203" s="452">
        <f>D202+I202</f>
        <v>0</v>
      </c>
      <c r="E203" s="453"/>
      <c r="F203" s="452">
        <f>F202+I202</f>
        <v>0</v>
      </c>
      <c r="G203" s="453"/>
      <c r="H203" s="42">
        <f>H202+I202</f>
        <v>0</v>
      </c>
      <c r="I203" s="420"/>
      <c r="J203" s="421"/>
      <c r="K203" s="421"/>
      <c r="L203" s="421"/>
      <c r="M203" s="421"/>
      <c r="N203" s="422"/>
      <c r="O203" s="6" t="s">
        <v>507</v>
      </c>
      <c r="P203" s="6" t="s">
        <v>508</v>
      </c>
    </row>
    <row r="204" spans="1:16" ht="18.75" x14ac:dyDescent="0.25">
      <c r="A204" s="424" t="s">
        <v>759</v>
      </c>
      <c r="B204" s="424"/>
      <c r="C204" s="424"/>
      <c r="D204" s="424"/>
      <c r="E204" s="424"/>
      <c r="F204" s="424"/>
      <c r="G204" s="424"/>
      <c r="H204" s="424"/>
      <c r="I204" s="424"/>
      <c r="J204" s="424"/>
      <c r="K204" s="424"/>
      <c r="L204" s="424"/>
      <c r="M204" s="424"/>
      <c r="N204" s="424"/>
      <c r="O204" s="424"/>
      <c r="P204" s="424"/>
    </row>
    <row r="205" spans="1:16" ht="25.5" x14ac:dyDescent="0.25">
      <c r="A205" s="425" t="s">
        <v>692</v>
      </c>
      <c r="B205" s="426"/>
      <c r="C205" s="427"/>
      <c r="D205" s="428"/>
      <c r="E205" s="429"/>
      <c r="F205" s="430"/>
      <c r="G205" s="4" t="s">
        <v>691</v>
      </c>
      <c r="H205" s="67" t="s">
        <v>849</v>
      </c>
      <c r="I205" s="52" t="s">
        <v>693</v>
      </c>
      <c r="J205" s="428" t="s">
        <v>849</v>
      </c>
      <c r="K205" s="429"/>
      <c r="L205" s="430"/>
      <c r="M205" s="52" t="s">
        <v>490</v>
      </c>
      <c r="N205" s="416"/>
      <c r="O205" s="417"/>
      <c r="P205" s="418"/>
    </row>
    <row r="206" spans="1:16" ht="15" customHeight="1" x14ac:dyDescent="0.25">
      <c r="A206" s="444" t="s">
        <v>492</v>
      </c>
      <c r="B206" s="444" t="s">
        <v>493</v>
      </c>
      <c r="C206" s="444"/>
      <c r="D206" s="444"/>
      <c r="E206" s="444"/>
      <c r="F206" s="444"/>
      <c r="G206" s="444"/>
      <c r="H206" s="419" t="s">
        <v>494</v>
      </c>
      <c r="I206" s="446" t="s">
        <v>683</v>
      </c>
      <c r="J206" s="419" t="s">
        <v>495</v>
      </c>
      <c r="K206" s="419" t="s">
        <v>496</v>
      </c>
      <c r="L206" s="419" t="s">
        <v>497</v>
      </c>
      <c r="M206" s="419" t="s">
        <v>498</v>
      </c>
      <c r="N206" s="419" t="s">
        <v>499</v>
      </c>
      <c r="O206" s="419" t="s">
        <v>500</v>
      </c>
      <c r="P206" s="419" t="s">
        <v>501</v>
      </c>
    </row>
    <row r="207" spans="1:16" ht="15" customHeight="1" x14ac:dyDescent="0.25">
      <c r="A207" s="444"/>
      <c r="B207" s="448">
        <v>5</v>
      </c>
      <c r="C207" s="449"/>
      <c r="D207" s="448">
        <v>15</v>
      </c>
      <c r="E207" s="449"/>
      <c r="F207" s="448">
        <v>25</v>
      </c>
      <c r="G207" s="449"/>
      <c r="H207" s="419"/>
      <c r="I207" s="447"/>
      <c r="J207" s="419"/>
      <c r="K207" s="419"/>
      <c r="L207" s="419"/>
      <c r="M207" s="419"/>
      <c r="N207" s="419"/>
      <c r="O207" s="419"/>
      <c r="P207" s="419"/>
    </row>
    <row r="208" spans="1:16" x14ac:dyDescent="0.25">
      <c r="A208" s="5">
        <v>43922</v>
      </c>
      <c r="B208" s="450">
        <v>0</v>
      </c>
      <c r="C208" s="451"/>
      <c r="D208" s="450">
        <v>0</v>
      </c>
      <c r="E208" s="451"/>
      <c r="F208" s="450">
        <v>0</v>
      </c>
      <c r="G208" s="451"/>
      <c r="H208" s="42">
        <f t="shared" ref="H208:H210" si="105">AVERAGE(B208:G208)</f>
        <v>0</v>
      </c>
      <c r="I208" s="43">
        <v>0</v>
      </c>
      <c r="J208" s="43">
        <v>0</v>
      </c>
      <c r="K208" s="44">
        <v>0</v>
      </c>
      <c r="L208" s="45">
        <f t="shared" ref="L208:L210" si="106">J208-K208</f>
        <v>0</v>
      </c>
      <c r="M208" s="7">
        <v>0</v>
      </c>
      <c r="N208" s="7">
        <v>0</v>
      </c>
      <c r="O208" s="7">
        <v>0</v>
      </c>
      <c r="P208" s="7">
        <v>0</v>
      </c>
    </row>
    <row r="209" spans="1:16" x14ac:dyDescent="0.25">
      <c r="A209" s="5">
        <f>EDATE(A208,1)</f>
        <v>43952</v>
      </c>
      <c r="B209" s="450">
        <v>0</v>
      </c>
      <c r="C209" s="451"/>
      <c r="D209" s="450">
        <v>0</v>
      </c>
      <c r="E209" s="451"/>
      <c r="F209" s="450">
        <v>0</v>
      </c>
      <c r="G209" s="451"/>
      <c r="H209" s="42">
        <f t="shared" si="105"/>
        <v>0</v>
      </c>
      <c r="I209" s="43">
        <v>0</v>
      </c>
      <c r="J209" s="43">
        <v>0</v>
      </c>
      <c r="K209" s="44">
        <v>0</v>
      </c>
      <c r="L209" s="45">
        <f t="shared" si="106"/>
        <v>0</v>
      </c>
      <c r="M209" s="7">
        <v>0</v>
      </c>
      <c r="N209" s="7">
        <v>0</v>
      </c>
      <c r="O209" s="7">
        <v>0</v>
      </c>
      <c r="P209" s="7">
        <v>0</v>
      </c>
    </row>
    <row r="210" spans="1:16" x14ac:dyDescent="0.25">
      <c r="A210" s="5">
        <f t="shared" ref="A210:A213" si="107">EDATE(A209,1)</f>
        <v>43983</v>
      </c>
      <c r="B210" s="450">
        <v>0</v>
      </c>
      <c r="C210" s="451"/>
      <c r="D210" s="450">
        <v>0</v>
      </c>
      <c r="E210" s="451"/>
      <c r="F210" s="450">
        <v>0</v>
      </c>
      <c r="G210" s="451"/>
      <c r="H210" s="42">
        <f t="shared" si="105"/>
        <v>0</v>
      </c>
      <c r="I210" s="43">
        <v>0</v>
      </c>
      <c r="J210" s="43">
        <v>0</v>
      </c>
      <c r="K210" s="44">
        <v>0</v>
      </c>
      <c r="L210" s="45">
        <f t="shared" si="106"/>
        <v>0</v>
      </c>
      <c r="M210" s="7">
        <v>0</v>
      </c>
      <c r="N210" s="7">
        <v>0</v>
      </c>
      <c r="O210" s="7">
        <v>0</v>
      </c>
      <c r="P210" s="7">
        <v>0</v>
      </c>
    </row>
    <row r="211" spans="1:16" x14ac:dyDescent="0.25">
      <c r="A211" s="5">
        <f t="shared" si="107"/>
        <v>44013</v>
      </c>
      <c r="B211" s="450">
        <v>0</v>
      </c>
      <c r="C211" s="451"/>
      <c r="D211" s="450">
        <v>0</v>
      </c>
      <c r="E211" s="451"/>
      <c r="F211" s="450">
        <v>0</v>
      </c>
      <c r="G211" s="451"/>
      <c r="H211" s="42">
        <f t="shared" ref="H211:H213" si="108">AVERAGE(B211:G211)</f>
        <v>0</v>
      </c>
      <c r="I211" s="43">
        <v>0</v>
      </c>
      <c r="J211" s="43">
        <v>0</v>
      </c>
      <c r="K211" s="44">
        <v>0</v>
      </c>
      <c r="L211" s="45">
        <f t="shared" ref="L211:L213" si="109">J211-K211</f>
        <v>0</v>
      </c>
      <c r="M211" s="7">
        <v>0</v>
      </c>
      <c r="N211" s="7">
        <v>0</v>
      </c>
      <c r="O211" s="7">
        <v>0</v>
      </c>
      <c r="P211" s="7">
        <v>0</v>
      </c>
    </row>
    <row r="212" spans="1:16" x14ac:dyDescent="0.25">
      <c r="A212" s="5">
        <f t="shared" si="107"/>
        <v>44044</v>
      </c>
      <c r="B212" s="450">
        <v>0</v>
      </c>
      <c r="C212" s="451"/>
      <c r="D212" s="450">
        <v>0</v>
      </c>
      <c r="E212" s="451"/>
      <c r="F212" s="450">
        <v>0</v>
      </c>
      <c r="G212" s="451"/>
      <c r="H212" s="42">
        <f t="shared" si="108"/>
        <v>0</v>
      </c>
      <c r="I212" s="43">
        <v>0</v>
      </c>
      <c r="J212" s="43">
        <v>0</v>
      </c>
      <c r="K212" s="44">
        <v>0</v>
      </c>
      <c r="L212" s="45">
        <f t="shared" si="109"/>
        <v>0</v>
      </c>
      <c r="M212" s="7">
        <v>0</v>
      </c>
      <c r="N212" s="7">
        <v>0</v>
      </c>
      <c r="O212" s="7">
        <v>0</v>
      </c>
      <c r="P212" s="7">
        <v>0</v>
      </c>
    </row>
    <row r="213" spans="1:16" x14ac:dyDescent="0.25">
      <c r="A213" s="5">
        <f t="shared" si="107"/>
        <v>44075</v>
      </c>
      <c r="B213" s="450">
        <v>0</v>
      </c>
      <c r="C213" s="451"/>
      <c r="D213" s="450">
        <v>0</v>
      </c>
      <c r="E213" s="451"/>
      <c r="F213" s="450">
        <v>0</v>
      </c>
      <c r="G213" s="451"/>
      <c r="H213" s="42">
        <f t="shared" si="108"/>
        <v>0</v>
      </c>
      <c r="I213" s="43">
        <v>0</v>
      </c>
      <c r="J213" s="43">
        <v>0</v>
      </c>
      <c r="K213" s="44">
        <v>0</v>
      </c>
      <c r="L213" s="45">
        <f t="shared" si="109"/>
        <v>0</v>
      </c>
      <c r="M213" s="7">
        <v>0</v>
      </c>
      <c r="N213" s="7">
        <v>0</v>
      </c>
      <c r="O213" s="7">
        <v>0</v>
      </c>
      <c r="P213" s="7">
        <v>0</v>
      </c>
    </row>
    <row r="214" spans="1:16" x14ac:dyDescent="0.25">
      <c r="A214" s="51" t="s">
        <v>505</v>
      </c>
      <c r="B214" s="452">
        <f>SUM(B208:B213)</f>
        <v>0</v>
      </c>
      <c r="C214" s="453"/>
      <c r="D214" s="452">
        <f>SUM(D208:D213)</f>
        <v>0</v>
      </c>
      <c r="E214" s="453"/>
      <c r="F214" s="452">
        <f>SUM(F208:F213)</f>
        <v>0</v>
      </c>
      <c r="G214" s="453"/>
      <c r="H214" s="42">
        <f t="shared" ref="H214:P214" si="110">SUM(H208:H213)</f>
        <v>0</v>
      </c>
      <c r="I214" s="42">
        <f t="shared" si="110"/>
        <v>0</v>
      </c>
      <c r="J214" s="42">
        <f t="shared" si="110"/>
        <v>0</v>
      </c>
      <c r="K214" s="42">
        <f t="shared" si="110"/>
        <v>0</v>
      </c>
      <c r="L214" s="42">
        <f t="shared" si="110"/>
        <v>0</v>
      </c>
      <c r="M214" s="10">
        <f t="shared" si="110"/>
        <v>0</v>
      </c>
      <c r="N214" s="10">
        <f t="shared" si="110"/>
        <v>0</v>
      </c>
      <c r="O214" s="8">
        <f t="shared" si="110"/>
        <v>0</v>
      </c>
      <c r="P214" s="8">
        <f t="shared" si="110"/>
        <v>0</v>
      </c>
    </row>
    <row r="215" spans="1:16" x14ac:dyDescent="0.25">
      <c r="A215" s="51" t="s">
        <v>494</v>
      </c>
      <c r="B215" s="452">
        <f>AVERAGE(B208:B213)</f>
        <v>0</v>
      </c>
      <c r="C215" s="453"/>
      <c r="D215" s="452">
        <f>AVERAGE(D208:D213)</f>
        <v>0</v>
      </c>
      <c r="E215" s="453"/>
      <c r="F215" s="452">
        <f>AVERAGE(F208:F213)</f>
        <v>0</v>
      </c>
      <c r="G215" s="453"/>
      <c r="H215" s="42">
        <f t="shared" ref="H215:N215" si="111">AVERAGE(H208:H213)</f>
        <v>0</v>
      </c>
      <c r="I215" s="42">
        <f t="shared" si="111"/>
        <v>0</v>
      </c>
      <c r="J215" s="42">
        <f t="shared" si="111"/>
        <v>0</v>
      </c>
      <c r="K215" s="42">
        <f t="shared" si="111"/>
        <v>0</v>
      </c>
      <c r="L215" s="42">
        <f t="shared" si="111"/>
        <v>0</v>
      </c>
      <c r="M215" s="10">
        <f t="shared" si="111"/>
        <v>0</v>
      </c>
      <c r="N215" s="10">
        <f t="shared" si="111"/>
        <v>0</v>
      </c>
      <c r="O215" s="53" t="e">
        <f>N214/O214</f>
        <v>#DIV/0!</v>
      </c>
      <c r="P215" s="53" t="e">
        <f>M214/P214</f>
        <v>#DIV/0!</v>
      </c>
    </row>
    <row r="216" spans="1:16" ht="15" customHeight="1" x14ac:dyDescent="0.25">
      <c r="A216" s="51" t="s">
        <v>506</v>
      </c>
      <c r="B216" s="452">
        <f>B215+I215</f>
        <v>0</v>
      </c>
      <c r="C216" s="453"/>
      <c r="D216" s="452">
        <f>D215+I215</f>
        <v>0</v>
      </c>
      <c r="E216" s="453"/>
      <c r="F216" s="452">
        <f>F215+I215</f>
        <v>0</v>
      </c>
      <c r="G216" s="453"/>
      <c r="H216" s="42">
        <f>H215+I215</f>
        <v>0</v>
      </c>
      <c r="I216" s="420"/>
      <c r="J216" s="421"/>
      <c r="K216" s="421"/>
      <c r="L216" s="421"/>
      <c r="M216" s="421"/>
      <c r="N216" s="422"/>
      <c r="O216" s="6" t="s">
        <v>507</v>
      </c>
      <c r="P216" s="6" t="s">
        <v>508</v>
      </c>
    </row>
    <row r="217" spans="1:16" ht="15" customHeight="1" x14ac:dyDescent="0.25">
      <c r="A217" s="424" t="s">
        <v>760</v>
      </c>
      <c r="B217" s="424"/>
      <c r="C217" s="424"/>
      <c r="D217" s="424"/>
      <c r="E217" s="424"/>
      <c r="F217" s="424"/>
      <c r="G217" s="424"/>
      <c r="H217" s="424"/>
      <c r="I217" s="424"/>
      <c r="J217" s="424"/>
      <c r="K217" s="424"/>
      <c r="L217" s="424"/>
      <c r="M217" s="424"/>
      <c r="N217" s="424"/>
      <c r="O217" s="424"/>
      <c r="P217" s="424"/>
    </row>
    <row r="218" spans="1:16" ht="25.5" x14ac:dyDescent="0.25">
      <c r="A218" s="425" t="s">
        <v>692</v>
      </c>
      <c r="B218" s="426"/>
      <c r="C218" s="427"/>
      <c r="D218" s="428"/>
      <c r="E218" s="429"/>
      <c r="F218" s="430"/>
      <c r="G218" s="4" t="s">
        <v>691</v>
      </c>
      <c r="H218" s="67" t="s">
        <v>849</v>
      </c>
      <c r="I218" s="52" t="s">
        <v>693</v>
      </c>
      <c r="J218" s="428" t="s">
        <v>849</v>
      </c>
      <c r="K218" s="429"/>
      <c r="L218" s="430"/>
      <c r="M218" s="52" t="s">
        <v>490</v>
      </c>
      <c r="N218" s="416"/>
      <c r="O218" s="417"/>
      <c r="P218" s="418"/>
    </row>
    <row r="219" spans="1:16" x14ac:dyDescent="0.25">
      <c r="A219" s="444" t="s">
        <v>492</v>
      </c>
      <c r="B219" s="444" t="s">
        <v>493</v>
      </c>
      <c r="C219" s="444"/>
      <c r="D219" s="444"/>
      <c r="E219" s="444"/>
      <c r="F219" s="444"/>
      <c r="G219" s="444"/>
      <c r="H219" s="419" t="s">
        <v>494</v>
      </c>
      <c r="I219" s="446" t="s">
        <v>683</v>
      </c>
      <c r="J219" s="419" t="s">
        <v>495</v>
      </c>
      <c r="K219" s="419" t="s">
        <v>496</v>
      </c>
      <c r="L219" s="419" t="s">
        <v>497</v>
      </c>
      <c r="M219" s="419" t="s">
        <v>498</v>
      </c>
      <c r="N219" s="419" t="s">
        <v>499</v>
      </c>
      <c r="O219" s="419" t="s">
        <v>500</v>
      </c>
      <c r="P219" s="419" t="s">
        <v>501</v>
      </c>
    </row>
    <row r="220" spans="1:16" x14ac:dyDescent="0.25">
      <c r="A220" s="444"/>
      <c r="B220" s="448">
        <v>5</v>
      </c>
      <c r="C220" s="449"/>
      <c r="D220" s="448">
        <v>15</v>
      </c>
      <c r="E220" s="449"/>
      <c r="F220" s="448">
        <v>25</v>
      </c>
      <c r="G220" s="449"/>
      <c r="H220" s="419"/>
      <c r="I220" s="447"/>
      <c r="J220" s="419"/>
      <c r="K220" s="419"/>
      <c r="L220" s="419"/>
      <c r="M220" s="419"/>
      <c r="N220" s="419"/>
      <c r="O220" s="419"/>
      <c r="P220" s="419"/>
    </row>
    <row r="221" spans="1:16" x14ac:dyDescent="0.25">
      <c r="A221" s="5">
        <v>43922</v>
      </c>
      <c r="B221" s="450">
        <v>0</v>
      </c>
      <c r="C221" s="451"/>
      <c r="D221" s="450">
        <v>0</v>
      </c>
      <c r="E221" s="451"/>
      <c r="F221" s="450">
        <v>0</v>
      </c>
      <c r="G221" s="451"/>
      <c r="H221" s="42">
        <f t="shared" ref="H221:H223" si="112">AVERAGE(B221:G221)</f>
        <v>0</v>
      </c>
      <c r="I221" s="43">
        <v>0</v>
      </c>
      <c r="J221" s="43">
        <v>0</v>
      </c>
      <c r="K221" s="44">
        <v>0</v>
      </c>
      <c r="L221" s="45">
        <f t="shared" ref="L221:L223" si="113">J221-K221</f>
        <v>0</v>
      </c>
      <c r="M221" s="7">
        <v>0</v>
      </c>
      <c r="N221" s="7">
        <v>0</v>
      </c>
      <c r="O221" s="7">
        <v>0</v>
      </c>
      <c r="P221" s="7">
        <v>0</v>
      </c>
    </row>
    <row r="222" spans="1:16" x14ac:dyDescent="0.25">
      <c r="A222" s="5">
        <f>EDATE(A221,1)</f>
        <v>43952</v>
      </c>
      <c r="B222" s="450">
        <v>0</v>
      </c>
      <c r="C222" s="451"/>
      <c r="D222" s="450">
        <v>0</v>
      </c>
      <c r="E222" s="451"/>
      <c r="F222" s="450">
        <v>0</v>
      </c>
      <c r="G222" s="451"/>
      <c r="H222" s="42">
        <f t="shared" si="112"/>
        <v>0</v>
      </c>
      <c r="I222" s="43">
        <v>0</v>
      </c>
      <c r="J222" s="43">
        <v>0</v>
      </c>
      <c r="K222" s="44">
        <v>0</v>
      </c>
      <c r="L222" s="45">
        <f t="shared" si="113"/>
        <v>0</v>
      </c>
      <c r="M222" s="7">
        <v>0</v>
      </c>
      <c r="N222" s="7">
        <v>0</v>
      </c>
      <c r="O222" s="7">
        <v>0</v>
      </c>
      <c r="P222" s="7">
        <v>0</v>
      </c>
    </row>
    <row r="223" spans="1:16" x14ac:dyDescent="0.25">
      <c r="A223" s="5">
        <f t="shared" ref="A223:A226" si="114">EDATE(A222,1)</f>
        <v>43983</v>
      </c>
      <c r="B223" s="450">
        <v>0</v>
      </c>
      <c r="C223" s="451"/>
      <c r="D223" s="450">
        <v>0</v>
      </c>
      <c r="E223" s="451"/>
      <c r="F223" s="450">
        <v>0</v>
      </c>
      <c r="G223" s="451"/>
      <c r="H223" s="42">
        <f t="shared" si="112"/>
        <v>0</v>
      </c>
      <c r="I223" s="43">
        <v>0</v>
      </c>
      <c r="J223" s="43">
        <v>0</v>
      </c>
      <c r="K223" s="44">
        <v>0</v>
      </c>
      <c r="L223" s="45">
        <f t="shared" si="113"/>
        <v>0</v>
      </c>
      <c r="M223" s="7">
        <v>0</v>
      </c>
      <c r="N223" s="7">
        <v>0</v>
      </c>
      <c r="O223" s="7">
        <v>0</v>
      </c>
      <c r="P223" s="7">
        <v>0</v>
      </c>
    </row>
    <row r="224" spans="1:16" x14ac:dyDescent="0.25">
      <c r="A224" s="5">
        <f t="shared" si="114"/>
        <v>44013</v>
      </c>
      <c r="B224" s="450">
        <v>0</v>
      </c>
      <c r="C224" s="451"/>
      <c r="D224" s="450">
        <v>0</v>
      </c>
      <c r="E224" s="451"/>
      <c r="F224" s="450">
        <v>0</v>
      </c>
      <c r="G224" s="451"/>
      <c r="H224" s="42">
        <f t="shared" ref="H224:H226" si="115">AVERAGE(B224:G224)</f>
        <v>0</v>
      </c>
      <c r="I224" s="43">
        <v>0</v>
      </c>
      <c r="J224" s="43">
        <v>0</v>
      </c>
      <c r="K224" s="44">
        <v>0</v>
      </c>
      <c r="L224" s="45">
        <f t="shared" ref="L224:L226" si="116">J224-K224</f>
        <v>0</v>
      </c>
      <c r="M224" s="7">
        <v>0</v>
      </c>
      <c r="N224" s="7">
        <v>0</v>
      </c>
      <c r="O224" s="7">
        <v>0</v>
      </c>
      <c r="P224" s="7">
        <v>0</v>
      </c>
    </row>
    <row r="225" spans="1:16" x14ac:dyDescent="0.25">
      <c r="A225" s="5">
        <f t="shared" si="114"/>
        <v>44044</v>
      </c>
      <c r="B225" s="450">
        <v>0</v>
      </c>
      <c r="C225" s="451"/>
      <c r="D225" s="450">
        <v>0</v>
      </c>
      <c r="E225" s="451"/>
      <c r="F225" s="450">
        <v>0</v>
      </c>
      <c r="G225" s="451"/>
      <c r="H225" s="42">
        <f t="shared" si="115"/>
        <v>0</v>
      </c>
      <c r="I225" s="43">
        <v>0</v>
      </c>
      <c r="J225" s="43">
        <v>0</v>
      </c>
      <c r="K225" s="44">
        <v>0</v>
      </c>
      <c r="L225" s="45">
        <f t="shared" si="116"/>
        <v>0</v>
      </c>
      <c r="M225" s="7">
        <v>0</v>
      </c>
      <c r="N225" s="7">
        <v>0</v>
      </c>
      <c r="O225" s="7">
        <v>0</v>
      </c>
      <c r="P225" s="7">
        <v>0</v>
      </c>
    </row>
    <row r="226" spans="1:16" x14ac:dyDescent="0.25">
      <c r="A226" s="5">
        <f t="shared" si="114"/>
        <v>44075</v>
      </c>
      <c r="B226" s="450">
        <v>0</v>
      </c>
      <c r="C226" s="451"/>
      <c r="D226" s="450">
        <v>0</v>
      </c>
      <c r="E226" s="451"/>
      <c r="F226" s="450">
        <v>0</v>
      </c>
      <c r="G226" s="451"/>
      <c r="H226" s="42">
        <f t="shared" si="115"/>
        <v>0</v>
      </c>
      <c r="I226" s="43">
        <v>0</v>
      </c>
      <c r="J226" s="43">
        <v>0</v>
      </c>
      <c r="K226" s="44">
        <v>0</v>
      </c>
      <c r="L226" s="45">
        <f t="shared" si="116"/>
        <v>0</v>
      </c>
      <c r="M226" s="7">
        <v>0</v>
      </c>
      <c r="N226" s="7">
        <v>0</v>
      </c>
      <c r="O226" s="7">
        <v>0</v>
      </c>
      <c r="P226" s="7">
        <v>0</v>
      </c>
    </row>
    <row r="227" spans="1:16" x14ac:dyDescent="0.25">
      <c r="A227" s="51" t="s">
        <v>505</v>
      </c>
      <c r="B227" s="452">
        <f>SUM(B221:B226)</f>
        <v>0</v>
      </c>
      <c r="C227" s="453"/>
      <c r="D227" s="452">
        <f>SUM(D221:D226)</f>
        <v>0</v>
      </c>
      <c r="E227" s="453"/>
      <c r="F227" s="452">
        <f>SUM(F221:F226)</f>
        <v>0</v>
      </c>
      <c r="G227" s="453"/>
      <c r="H227" s="42">
        <f t="shared" ref="H227:P227" si="117">SUM(H221:H226)</f>
        <v>0</v>
      </c>
      <c r="I227" s="42">
        <f t="shared" si="117"/>
        <v>0</v>
      </c>
      <c r="J227" s="42">
        <f t="shared" si="117"/>
        <v>0</v>
      </c>
      <c r="K227" s="42">
        <f t="shared" si="117"/>
        <v>0</v>
      </c>
      <c r="L227" s="42">
        <f t="shared" si="117"/>
        <v>0</v>
      </c>
      <c r="M227" s="10">
        <f t="shared" si="117"/>
        <v>0</v>
      </c>
      <c r="N227" s="10">
        <f t="shared" si="117"/>
        <v>0</v>
      </c>
      <c r="O227" s="8">
        <f t="shared" si="117"/>
        <v>0</v>
      </c>
      <c r="P227" s="8">
        <f t="shared" si="117"/>
        <v>0</v>
      </c>
    </row>
    <row r="228" spans="1:16" x14ac:dyDescent="0.25">
      <c r="A228" s="51" t="s">
        <v>494</v>
      </c>
      <c r="B228" s="452">
        <f>AVERAGE(B221:B226)</f>
        <v>0</v>
      </c>
      <c r="C228" s="453"/>
      <c r="D228" s="452">
        <f>AVERAGE(D221:D226)</f>
        <v>0</v>
      </c>
      <c r="E228" s="453"/>
      <c r="F228" s="452">
        <f>AVERAGE(F221:F226)</f>
        <v>0</v>
      </c>
      <c r="G228" s="453"/>
      <c r="H228" s="42">
        <f t="shared" ref="H228:N228" si="118">AVERAGE(H221:H226)</f>
        <v>0</v>
      </c>
      <c r="I228" s="42">
        <f t="shared" si="118"/>
        <v>0</v>
      </c>
      <c r="J228" s="42">
        <f t="shared" si="118"/>
        <v>0</v>
      </c>
      <c r="K228" s="42">
        <f t="shared" si="118"/>
        <v>0</v>
      </c>
      <c r="L228" s="42">
        <f t="shared" si="118"/>
        <v>0</v>
      </c>
      <c r="M228" s="10">
        <f t="shared" si="118"/>
        <v>0</v>
      </c>
      <c r="N228" s="10">
        <f t="shared" si="118"/>
        <v>0</v>
      </c>
      <c r="O228" s="53" t="e">
        <f>N227/O227</f>
        <v>#DIV/0!</v>
      </c>
      <c r="P228" s="53" t="e">
        <f>M227/P227</f>
        <v>#DIV/0!</v>
      </c>
    </row>
    <row r="229" spans="1:16" ht="38.25" x14ac:dyDescent="0.25">
      <c r="A229" s="51" t="s">
        <v>506</v>
      </c>
      <c r="B229" s="452">
        <f>B228+I228</f>
        <v>0</v>
      </c>
      <c r="C229" s="453"/>
      <c r="D229" s="452">
        <f>D228+I228</f>
        <v>0</v>
      </c>
      <c r="E229" s="453"/>
      <c r="F229" s="452">
        <f>F228+I228</f>
        <v>0</v>
      </c>
      <c r="G229" s="453"/>
      <c r="H229" s="42">
        <f>H228+I228</f>
        <v>0</v>
      </c>
      <c r="I229" s="420"/>
      <c r="J229" s="421"/>
      <c r="K229" s="421"/>
      <c r="L229" s="421"/>
      <c r="M229" s="421"/>
      <c r="N229" s="422"/>
      <c r="O229" s="6" t="s">
        <v>507</v>
      </c>
      <c r="P229" s="6" t="s">
        <v>508</v>
      </c>
    </row>
    <row r="230" spans="1:16" ht="18.75" hidden="1" x14ac:dyDescent="0.25">
      <c r="A230" s="424" t="s">
        <v>761</v>
      </c>
      <c r="B230" s="424"/>
      <c r="C230" s="424"/>
      <c r="D230" s="424"/>
      <c r="E230" s="424"/>
      <c r="F230" s="424"/>
      <c r="G230" s="424"/>
      <c r="H230" s="424"/>
      <c r="I230" s="424"/>
      <c r="J230" s="424"/>
      <c r="K230" s="424"/>
      <c r="L230" s="424"/>
      <c r="M230" s="424"/>
      <c r="N230" s="424"/>
      <c r="O230" s="424"/>
      <c r="P230" s="424"/>
    </row>
    <row r="231" spans="1:16" ht="25.5" hidden="1" x14ac:dyDescent="0.25">
      <c r="A231" s="425" t="s">
        <v>692</v>
      </c>
      <c r="B231" s="426"/>
      <c r="C231" s="427"/>
      <c r="D231" s="428"/>
      <c r="E231" s="429"/>
      <c r="F231" s="430"/>
      <c r="G231" s="4" t="s">
        <v>691</v>
      </c>
      <c r="H231" s="67" t="s">
        <v>849</v>
      </c>
      <c r="I231" s="52" t="s">
        <v>693</v>
      </c>
      <c r="J231" s="428" t="s">
        <v>849</v>
      </c>
      <c r="K231" s="429"/>
      <c r="L231" s="430"/>
      <c r="M231" s="52" t="s">
        <v>490</v>
      </c>
      <c r="N231" s="416" t="s">
        <v>567</v>
      </c>
      <c r="O231" s="417"/>
      <c r="P231" s="418"/>
    </row>
    <row r="232" spans="1:16" hidden="1" x14ac:dyDescent="0.25">
      <c r="A232" s="444" t="s">
        <v>492</v>
      </c>
      <c r="B232" s="444" t="s">
        <v>493</v>
      </c>
      <c r="C232" s="444"/>
      <c r="D232" s="444"/>
      <c r="E232" s="444"/>
      <c r="F232" s="444"/>
      <c r="G232" s="444"/>
      <c r="H232" s="419" t="s">
        <v>494</v>
      </c>
      <c r="I232" s="446" t="s">
        <v>683</v>
      </c>
      <c r="J232" s="419" t="s">
        <v>495</v>
      </c>
      <c r="K232" s="419" t="s">
        <v>496</v>
      </c>
      <c r="L232" s="419" t="s">
        <v>497</v>
      </c>
      <c r="M232" s="419" t="s">
        <v>498</v>
      </c>
      <c r="N232" s="419" t="s">
        <v>499</v>
      </c>
      <c r="O232" s="419" t="s">
        <v>500</v>
      </c>
      <c r="P232" s="419" t="s">
        <v>501</v>
      </c>
    </row>
    <row r="233" spans="1:16" hidden="1" x14ac:dyDescent="0.25">
      <c r="A233" s="444"/>
      <c r="B233" s="448">
        <v>5</v>
      </c>
      <c r="C233" s="449"/>
      <c r="D233" s="448">
        <v>15</v>
      </c>
      <c r="E233" s="449"/>
      <c r="F233" s="448">
        <v>25</v>
      </c>
      <c r="G233" s="449"/>
      <c r="H233" s="419"/>
      <c r="I233" s="447"/>
      <c r="J233" s="419"/>
      <c r="K233" s="419"/>
      <c r="L233" s="419"/>
      <c r="M233" s="419"/>
      <c r="N233" s="419"/>
      <c r="O233" s="419"/>
      <c r="P233" s="419"/>
    </row>
    <row r="234" spans="1:16" hidden="1" x14ac:dyDescent="0.25">
      <c r="A234" s="5" t="s">
        <v>513</v>
      </c>
      <c r="B234" s="450">
        <v>0</v>
      </c>
      <c r="C234" s="451"/>
      <c r="D234" s="450">
        <v>0</v>
      </c>
      <c r="E234" s="451"/>
      <c r="F234" s="450">
        <v>0</v>
      </c>
      <c r="G234" s="451"/>
      <c r="H234" s="42">
        <f t="shared" ref="H234:H239" si="119">AVERAGE(B234:G234)</f>
        <v>0</v>
      </c>
      <c r="I234" s="43">
        <v>0</v>
      </c>
      <c r="J234" s="43">
        <v>0</v>
      </c>
      <c r="K234" s="44">
        <v>0</v>
      </c>
      <c r="L234" s="45">
        <f t="shared" ref="L234:L239" si="120">J234-K234</f>
        <v>0</v>
      </c>
      <c r="M234" s="7">
        <v>0</v>
      </c>
      <c r="N234" s="7">
        <v>0</v>
      </c>
      <c r="O234" s="7">
        <v>0</v>
      </c>
      <c r="P234" s="7">
        <v>0</v>
      </c>
    </row>
    <row r="235" spans="1:16" hidden="1" x14ac:dyDescent="0.25">
      <c r="A235" s="5" t="s">
        <v>514</v>
      </c>
      <c r="B235" s="450">
        <v>0</v>
      </c>
      <c r="C235" s="451"/>
      <c r="D235" s="450">
        <v>0</v>
      </c>
      <c r="E235" s="451"/>
      <c r="F235" s="450">
        <v>0</v>
      </c>
      <c r="G235" s="451"/>
      <c r="H235" s="42">
        <f t="shared" si="119"/>
        <v>0</v>
      </c>
      <c r="I235" s="43">
        <v>0</v>
      </c>
      <c r="J235" s="43">
        <v>0</v>
      </c>
      <c r="K235" s="44">
        <v>0</v>
      </c>
      <c r="L235" s="45">
        <f t="shared" si="120"/>
        <v>0</v>
      </c>
      <c r="M235" s="7">
        <v>0</v>
      </c>
      <c r="N235" s="7">
        <v>0</v>
      </c>
      <c r="O235" s="7">
        <v>0</v>
      </c>
      <c r="P235" s="7">
        <v>0</v>
      </c>
    </row>
    <row r="236" spans="1:16" hidden="1" x14ac:dyDescent="0.25">
      <c r="A236" s="5" t="s">
        <v>515</v>
      </c>
      <c r="B236" s="450">
        <v>0</v>
      </c>
      <c r="C236" s="451"/>
      <c r="D236" s="450">
        <v>0</v>
      </c>
      <c r="E236" s="451"/>
      <c r="F236" s="450">
        <v>0</v>
      </c>
      <c r="G236" s="451"/>
      <c r="H236" s="42">
        <f t="shared" si="119"/>
        <v>0</v>
      </c>
      <c r="I236" s="43">
        <v>0</v>
      </c>
      <c r="J236" s="43">
        <v>0</v>
      </c>
      <c r="K236" s="44">
        <v>0</v>
      </c>
      <c r="L236" s="45">
        <f t="shared" si="120"/>
        <v>0</v>
      </c>
      <c r="M236" s="7">
        <v>0</v>
      </c>
      <c r="N236" s="7">
        <v>0</v>
      </c>
      <c r="O236" s="7">
        <v>0</v>
      </c>
      <c r="P236" s="7">
        <v>0</v>
      </c>
    </row>
    <row r="237" spans="1:16" hidden="1" x14ac:dyDescent="0.25">
      <c r="A237" s="5" t="s">
        <v>502</v>
      </c>
      <c r="B237" s="450">
        <v>0</v>
      </c>
      <c r="C237" s="451"/>
      <c r="D237" s="450">
        <v>0</v>
      </c>
      <c r="E237" s="451"/>
      <c r="F237" s="450">
        <v>0</v>
      </c>
      <c r="G237" s="451"/>
      <c r="H237" s="42">
        <f t="shared" si="119"/>
        <v>0</v>
      </c>
      <c r="I237" s="43">
        <v>0</v>
      </c>
      <c r="J237" s="43">
        <v>0</v>
      </c>
      <c r="K237" s="44">
        <v>0</v>
      </c>
      <c r="L237" s="45">
        <f t="shared" si="120"/>
        <v>0</v>
      </c>
      <c r="M237" s="7">
        <v>0</v>
      </c>
      <c r="N237" s="7">
        <v>0</v>
      </c>
      <c r="O237" s="7">
        <v>0</v>
      </c>
      <c r="P237" s="7">
        <v>0</v>
      </c>
    </row>
    <row r="238" spans="1:16" hidden="1" x14ac:dyDescent="0.25">
      <c r="A238" s="5" t="s">
        <v>503</v>
      </c>
      <c r="B238" s="450">
        <v>0</v>
      </c>
      <c r="C238" s="451"/>
      <c r="D238" s="450">
        <v>0</v>
      </c>
      <c r="E238" s="451"/>
      <c r="F238" s="450">
        <v>0</v>
      </c>
      <c r="G238" s="451"/>
      <c r="H238" s="42">
        <f t="shared" si="119"/>
        <v>0</v>
      </c>
      <c r="I238" s="43">
        <v>0</v>
      </c>
      <c r="J238" s="43">
        <v>0</v>
      </c>
      <c r="K238" s="44">
        <v>0</v>
      </c>
      <c r="L238" s="45">
        <f t="shared" si="120"/>
        <v>0</v>
      </c>
      <c r="M238" s="7">
        <v>0</v>
      </c>
      <c r="N238" s="7">
        <v>0</v>
      </c>
      <c r="O238" s="7">
        <v>0</v>
      </c>
      <c r="P238" s="7">
        <v>0</v>
      </c>
    </row>
    <row r="239" spans="1:16" hidden="1" x14ac:dyDescent="0.25">
      <c r="A239" s="5" t="s">
        <v>504</v>
      </c>
      <c r="B239" s="450">
        <v>0</v>
      </c>
      <c r="C239" s="451"/>
      <c r="D239" s="450">
        <v>0</v>
      </c>
      <c r="E239" s="451"/>
      <c r="F239" s="450">
        <v>0</v>
      </c>
      <c r="G239" s="451"/>
      <c r="H239" s="42">
        <f t="shared" si="119"/>
        <v>0</v>
      </c>
      <c r="I239" s="43">
        <v>0</v>
      </c>
      <c r="J239" s="43">
        <v>0</v>
      </c>
      <c r="K239" s="44">
        <v>0</v>
      </c>
      <c r="L239" s="45">
        <f t="shared" si="120"/>
        <v>0</v>
      </c>
      <c r="M239" s="7">
        <v>0</v>
      </c>
      <c r="N239" s="7">
        <v>0</v>
      </c>
      <c r="O239" s="7">
        <v>0</v>
      </c>
      <c r="P239" s="7">
        <v>0</v>
      </c>
    </row>
    <row r="240" spans="1:16" hidden="1" x14ac:dyDescent="0.25">
      <c r="A240" s="51" t="s">
        <v>505</v>
      </c>
      <c r="B240" s="452">
        <f t="shared" ref="B240" si="121">SUM(B234:B239)</f>
        <v>0</v>
      </c>
      <c r="C240" s="453"/>
      <c r="D240" s="452">
        <f t="shared" ref="D240" si="122">SUM(D234:D239)</f>
        <v>0</v>
      </c>
      <c r="E240" s="453"/>
      <c r="F240" s="452">
        <f t="shared" ref="F240" si="123">SUM(F234:F239)</f>
        <v>0</v>
      </c>
      <c r="G240" s="453"/>
      <c r="H240" s="42">
        <f t="shared" ref="H240:P240" si="124">SUM(H234:H239)</f>
        <v>0</v>
      </c>
      <c r="I240" s="42">
        <f t="shared" si="124"/>
        <v>0</v>
      </c>
      <c r="J240" s="42">
        <f t="shared" si="124"/>
        <v>0</v>
      </c>
      <c r="K240" s="42">
        <f t="shared" si="124"/>
        <v>0</v>
      </c>
      <c r="L240" s="42">
        <f t="shared" si="124"/>
        <v>0</v>
      </c>
      <c r="M240" s="10">
        <f t="shared" si="124"/>
        <v>0</v>
      </c>
      <c r="N240" s="10">
        <f t="shared" si="124"/>
        <v>0</v>
      </c>
      <c r="O240" s="8">
        <f t="shared" si="124"/>
        <v>0</v>
      </c>
      <c r="P240" s="8">
        <f t="shared" si="124"/>
        <v>0</v>
      </c>
    </row>
    <row r="241" spans="1:16" hidden="1" x14ac:dyDescent="0.25">
      <c r="A241" s="51" t="s">
        <v>494</v>
      </c>
      <c r="B241" s="452">
        <f t="shared" ref="B241" si="125">AVERAGE(B234:B239)</f>
        <v>0</v>
      </c>
      <c r="C241" s="453"/>
      <c r="D241" s="452">
        <f t="shared" ref="D241" si="126">AVERAGE(D234:D239)</f>
        <v>0</v>
      </c>
      <c r="E241" s="453"/>
      <c r="F241" s="452">
        <f t="shared" ref="F241" si="127">AVERAGE(F234:F239)</f>
        <v>0</v>
      </c>
      <c r="G241" s="453"/>
      <c r="H241" s="42">
        <f t="shared" ref="H241:N241" si="128">AVERAGE(H234:H239)</f>
        <v>0</v>
      </c>
      <c r="I241" s="42">
        <f t="shared" si="128"/>
        <v>0</v>
      </c>
      <c r="J241" s="42">
        <f t="shared" si="128"/>
        <v>0</v>
      </c>
      <c r="K241" s="42">
        <f t="shared" si="128"/>
        <v>0</v>
      </c>
      <c r="L241" s="42">
        <f t="shared" si="128"/>
        <v>0</v>
      </c>
      <c r="M241" s="10">
        <f t="shared" si="128"/>
        <v>0</v>
      </c>
      <c r="N241" s="10">
        <f t="shared" si="128"/>
        <v>0</v>
      </c>
      <c r="O241" s="53" t="e">
        <f>N240/O240</f>
        <v>#DIV/0!</v>
      </c>
      <c r="P241" s="53" t="e">
        <f>M240/P240</f>
        <v>#DIV/0!</v>
      </c>
    </row>
    <row r="242" spans="1:16" ht="38.25" hidden="1" x14ac:dyDescent="0.25">
      <c r="A242" s="51" t="s">
        <v>506</v>
      </c>
      <c r="B242" s="452">
        <f>B241+I241</f>
        <v>0</v>
      </c>
      <c r="C242" s="453"/>
      <c r="D242" s="452">
        <f>D241+I241</f>
        <v>0</v>
      </c>
      <c r="E242" s="453"/>
      <c r="F242" s="452">
        <f>F241+I241</f>
        <v>0</v>
      </c>
      <c r="G242" s="453"/>
      <c r="H242" s="42">
        <f>H241+I241</f>
        <v>0</v>
      </c>
      <c r="I242" s="420"/>
      <c r="J242" s="421"/>
      <c r="K242" s="421"/>
      <c r="L242" s="421"/>
      <c r="M242" s="421"/>
      <c r="N242" s="422"/>
      <c r="O242" s="6" t="s">
        <v>507</v>
      </c>
      <c r="P242" s="6" t="s">
        <v>508</v>
      </c>
    </row>
    <row r="243" spans="1:16" ht="18.75" hidden="1" x14ac:dyDescent="0.25">
      <c r="A243" s="424" t="s">
        <v>762</v>
      </c>
      <c r="B243" s="424"/>
      <c r="C243" s="424"/>
      <c r="D243" s="424"/>
      <c r="E243" s="424"/>
      <c r="F243" s="424"/>
      <c r="G243" s="424"/>
      <c r="H243" s="424"/>
      <c r="I243" s="424"/>
      <c r="J243" s="424"/>
      <c r="K243" s="424"/>
      <c r="L243" s="424"/>
      <c r="M243" s="424"/>
      <c r="N243" s="424"/>
      <c r="O243" s="424"/>
      <c r="P243" s="424"/>
    </row>
    <row r="244" spans="1:16" ht="25.5" hidden="1" x14ac:dyDescent="0.25">
      <c r="A244" s="425" t="s">
        <v>692</v>
      </c>
      <c r="B244" s="426"/>
      <c r="C244" s="427"/>
      <c r="D244" s="428"/>
      <c r="E244" s="429"/>
      <c r="F244" s="430"/>
      <c r="G244" s="4" t="s">
        <v>691</v>
      </c>
      <c r="H244" s="67" t="s">
        <v>849</v>
      </c>
      <c r="I244" s="52" t="s">
        <v>693</v>
      </c>
      <c r="J244" s="428" t="s">
        <v>849</v>
      </c>
      <c r="K244" s="429"/>
      <c r="L244" s="430"/>
      <c r="M244" s="52" t="s">
        <v>490</v>
      </c>
      <c r="N244" s="416" t="s">
        <v>567</v>
      </c>
      <c r="O244" s="417"/>
      <c r="P244" s="418"/>
    </row>
    <row r="245" spans="1:16" hidden="1" x14ac:dyDescent="0.25">
      <c r="A245" s="444" t="s">
        <v>492</v>
      </c>
      <c r="B245" s="444" t="s">
        <v>493</v>
      </c>
      <c r="C245" s="444"/>
      <c r="D245" s="444"/>
      <c r="E245" s="444"/>
      <c r="F245" s="444"/>
      <c r="G245" s="444"/>
      <c r="H245" s="419" t="s">
        <v>494</v>
      </c>
      <c r="I245" s="446" t="s">
        <v>683</v>
      </c>
      <c r="J245" s="419" t="s">
        <v>495</v>
      </c>
      <c r="K245" s="419" t="s">
        <v>496</v>
      </c>
      <c r="L245" s="419" t="s">
        <v>497</v>
      </c>
      <c r="M245" s="419" t="s">
        <v>498</v>
      </c>
      <c r="N245" s="419" t="s">
        <v>499</v>
      </c>
      <c r="O245" s="419" t="s">
        <v>500</v>
      </c>
      <c r="P245" s="419" t="s">
        <v>501</v>
      </c>
    </row>
    <row r="246" spans="1:16" hidden="1" x14ac:dyDescent="0.25">
      <c r="A246" s="444"/>
      <c r="B246" s="448">
        <v>5</v>
      </c>
      <c r="C246" s="449"/>
      <c r="D246" s="448">
        <v>15</v>
      </c>
      <c r="E246" s="449"/>
      <c r="F246" s="448">
        <v>25</v>
      </c>
      <c r="G246" s="449"/>
      <c r="H246" s="419"/>
      <c r="I246" s="447"/>
      <c r="J246" s="419"/>
      <c r="K246" s="419"/>
      <c r="L246" s="419"/>
      <c r="M246" s="419"/>
      <c r="N246" s="419"/>
      <c r="O246" s="419"/>
      <c r="P246" s="419"/>
    </row>
    <row r="247" spans="1:16" hidden="1" x14ac:dyDescent="0.25">
      <c r="A247" s="5" t="s">
        <v>513</v>
      </c>
      <c r="B247" s="450">
        <v>0</v>
      </c>
      <c r="C247" s="451"/>
      <c r="D247" s="450">
        <v>0</v>
      </c>
      <c r="E247" s="451"/>
      <c r="F247" s="450">
        <v>0</v>
      </c>
      <c r="G247" s="451"/>
      <c r="H247" s="42">
        <f t="shared" ref="H247:H252" si="129">AVERAGE(B247:G247)</f>
        <v>0</v>
      </c>
      <c r="I247" s="43">
        <v>0</v>
      </c>
      <c r="J247" s="43">
        <v>0</v>
      </c>
      <c r="K247" s="44">
        <v>0</v>
      </c>
      <c r="L247" s="45">
        <f t="shared" ref="L247:L252" si="130">J247-K247</f>
        <v>0</v>
      </c>
      <c r="M247" s="7">
        <v>0</v>
      </c>
      <c r="N247" s="7">
        <v>0</v>
      </c>
      <c r="O247" s="7">
        <v>0</v>
      </c>
      <c r="P247" s="7">
        <v>0</v>
      </c>
    </row>
    <row r="248" spans="1:16" hidden="1" x14ac:dyDescent="0.25">
      <c r="A248" s="5" t="s">
        <v>514</v>
      </c>
      <c r="B248" s="450">
        <v>0</v>
      </c>
      <c r="C248" s="451"/>
      <c r="D248" s="450">
        <v>0</v>
      </c>
      <c r="E248" s="451"/>
      <c r="F248" s="450">
        <v>0</v>
      </c>
      <c r="G248" s="451"/>
      <c r="H248" s="42">
        <f t="shared" si="129"/>
        <v>0</v>
      </c>
      <c r="I248" s="43">
        <v>0</v>
      </c>
      <c r="J248" s="43">
        <v>0</v>
      </c>
      <c r="K248" s="44">
        <v>0</v>
      </c>
      <c r="L248" s="45">
        <f t="shared" si="130"/>
        <v>0</v>
      </c>
      <c r="M248" s="7">
        <v>0</v>
      </c>
      <c r="N248" s="7">
        <v>0</v>
      </c>
      <c r="O248" s="7">
        <v>0</v>
      </c>
      <c r="P248" s="7">
        <v>0</v>
      </c>
    </row>
    <row r="249" spans="1:16" hidden="1" x14ac:dyDescent="0.25">
      <c r="A249" s="5" t="s">
        <v>515</v>
      </c>
      <c r="B249" s="450">
        <v>0</v>
      </c>
      <c r="C249" s="451"/>
      <c r="D249" s="450">
        <v>0</v>
      </c>
      <c r="E249" s="451"/>
      <c r="F249" s="450">
        <v>0</v>
      </c>
      <c r="G249" s="451"/>
      <c r="H249" s="42">
        <f t="shared" si="129"/>
        <v>0</v>
      </c>
      <c r="I249" s="43">
        <v>0</v>
      </c>
      <c r="J249" s="43">
        <v>0</v>
      </c>
      <c r="K249" s="44">
        <v>0</v>
      </c>
      <c r="L249" s="45">
        <f t="shared" si="130"/>
        <v>0</v>
      </c>
      <c r="M249" s="7">
        <v>0</v>
      </c>
      <c r="N249" s="7">
        <v>0</v>
      </c>
      <c r="O249" s="7">
        <v>0</v>
      </c>
      <c r="P249" s="7">
        <v>0</v>
      </c>
    </row>
    <row r="250" spans="1:16" hidden="1" x14ac:dyDescent="0.25">
      <c r="A250" s="5" t="s">
        <v>502</v>
      </c>
      <c r="B250" s="450">
        <v>0</v>
      </c>
      <c r="C250" s="451"/>
      <c r="D250" s="450">
        <v>0</v>
      </c>
      <c r="E250" s="451"/>
      <c r="F250" s="450">
        <v>0</v>
      </c>
      <c r="G250" s="451"/>
      <c r="H250" s="42">
        <f t="shared" si="129"/>
        <v>0</v>
      </c>
      <c r="I250" s="43">
        <v>0</v>
      </c>
      <c r="J250" s="43">
        <v>0</v>
      </c>
      <c r="K250" s="44">
        <v>0</v>
      </c>
      <c r="L250" s="45">
        <f t="shared" si="130"/>
        <v>0</v>
      </c>
      <c r="M250" s="7">
        <v>0</v>
      </c>
      <c r="N250" s="7">
        <v>0</v>
      </c>
      <c r="O250" s="7">
        <v>0</v>
      </c>
      <c r="P250" s="7">
        <v>0</v>
      </c>
    </row>
    <row r="251" spans="1:16" hidden="1" x14ac:dyDescent="0.25">
      <c r="A251" s="5" t="s">
        <v>503</v>
      </c>
      <c r="B251" s="450">
        <v>0</v>
      </c>
      <c r="C251" s="451"/>
      <c r="D251" s="450">
        <v>0</v>
      </c>
      <c r="E251" s="451"/>
      <c r="F251" s="450">
        <v>0</v>
      </c>
      <c r="G251" s="451"/>
      <c r="H251" s="42">
        <f t="shared" si="129"/>
        <v>0</v>
      </c>
      <c r="I251" s="43">
        <v>0</v>
      </c>
      <c r="J251" s="43">
        <v>0</v>
      </c>
      <c r="K251" s="44">
        <v>0</v>
      </c>
      <c r="L251" s="45">
        <f t="shared" si="130"/>
        <v>0</v>
      </c>
      <c r="M251" s="7">
        <v>0</v>
      </c>
      <c r="N251" s="7">
        <v>0</v>
      </c>
      <c r="O251" s="7">
        <v>0</v>
      </c>
      <c r="P251" s="7">
        <v>0</v>
      </c>
    </row>
    <row r="252" spans="1:16" hidden="1" x14ac:dyDescent="0.25">
      <c r="A252" s="5" t="s">
        <v>504</v>
      </c>
      <c r="B252" s="450">
        <v>0</v>
      </c>
      <c r="C252" s="451"/>
      <c r="D252" s="450">
        <v>0</v>
      </c>
      <c r="E252" s="451"/>
      <c r="F252" s="450">
        <v>0</v>
      </c>
      <c r="G252" s="451"/>
      <c r="H252" s="42">
        <f t="shared" si="129"/>
        <v>0</v>
      </c>
      <c r="I252" s="43">
        <v>0</v>
      </c>
      <c r="J252" s="43">
        <v>0</v>
      </c>
      <c r="K252" s="44">
        <v>0</v>
      </c>
      <c r="L252" s="45">
        <f t="shared" si="130"/>
        <v>0</v>
      </c>
      <c r="M252" s="7">
        <v>0</v>
      </c>
      <c r="N252" s="7">
        <v>0</v>
      </c>
      <c r="O252" s="7">
        <v>0</v>
      </c>
      <c r="P252" s="7">
        <v>0</v>
      </c>
    </row>
    <row r="253" spans="1:16" hidden="1" x14ac:dyDescent="0.25">
      <c r="A253" s="51" t="s">
        <v>505</v>
      </c>
      <c r="B253" s="452">
        <f t="shared" ref="B253" si="131">SUM(B247:B252)</f>
        <v>0</v>
      </c>
      <c r="C253" s="453"/>
      <c r="D253" s="452">
        <f t="shared" ref="D253" si="132">SUM(D247:D252)</f>
        <v>0</v>
      </c>
      <c r="E253" s="453"/>
      <c r="F253" s="452">
        <f t="shared" ref="F253" si="133">SUM(F247:F252)</f>
        <v>0</v>
      </c>
      <c r="G253" s="453"/>
      <c r="H253" s="42">
        <f t="shared" ref="H253:P253" si="134">SUM(H247:H252)</f>
        <v>0</v>
      </c>
      <c r="I253" s="42">
        <f t="shared" si="134"/>
        <v>0</v>
      </c>
      <c r="J253" s="42">
        <f t="shared" si="134"/>
        <v>0</v>
      </c>
      <c r="K253" s="42">
        <f t="shared" si="134"/>
        <v>0</v>
      </c>
      <c r="L253" s="42">
        <f t="shared" si="134"/>
        <v>0</v>
      </c>
      <c r="M253" s="10">
        <f t="shared" si="134"/>
        <v>0</v>
      </c>
      <c r="N253" s="10">
        <f t="shared" si="134"/>
        <v>0</v>
      </c>
      <c r="O253" s="8">
        <f t="shared" si="134"/>
        <v>0</v>
      </c>
      <c r="P253" s="8">
        <f t="shared" si="134"/>
        <v>0</v>
      </c>
    </row>
    <row r="254" spans="1:16" hidden="1" x14ac:dyDescent="0.25">
      <c r="A254" s="51" t="s">
        <v>494</v>
      </c>
      <c r="B254" s="452">
        <f t="shared" ref="B254" si="135">AVERAGE(B247:B252)</f>
        <v>0</v>
      </c>
      <c r="C254" s="453"/>
      <c r="D254" s="452">
        <f t="shared" ref="D254" si="136">AVERAGE(D247:D252)</f>
        <v>0</v>
      </c>
      <c r="E254" s="453"/>
      <c r="F254" s="452">
        <f t="shared" ref="F254" si="137">AVERAGE(F247:F252)</f>
        <v>0</v>
      </c>
      <c r="G254" s="453"/>
      <c r="H254" s="42">
        <f t="shared" ref="H254:N254" si="138">AVERAGE(H247:H252)</f>
        <v>0</v>
      </c>
      <c r="I254" s="42">
        <f t="shared" si="138"/>
        <v>0</v>
      </c>
      <c r="J254" s="42">
        <f t="shared" si="138"/>
        <v>0</v>
      </c>
      <c r="K254" s="42">
        <f t="shared" si="138"/>
        <v>0</v>
      </c>
      <c r="L254" s="42">
        <f t="shared" si="138"/>
        <v>0</v>
      </c>
      <c r="M254" s="10">
        <f t="shared" si="138"/>
        <v>0</v>
      </c>
      <c r="N254" s="10">
        <f t="shared" si="138"/>
        <v>0</v>
      </c>
      <c r="O254" s="53" t="e">
        <f>N253/O253</f>
        <v>#DIV/0!</v>
      </c>
      <c r="P254" s="53" t="e">
        <f>M253/P253</f>
        <v>#DIV/0!</v>
      </c>
    </row>
    <row r="255" spans="1:16" ht="38.25" hidden="1" x14ac:dyDescent="0.25">
      <c r="A255" s="51" t="s">
        <v>506</v>
      </c>
      <c r="B255" s="452">
        <f>B254+I254</f>
        <v>0</v>
      </c>
      <c r="C255" s="453"/>
      <c r="D255" s="452">
        <f>D254+I254</f>
        <v>0</v>
      </c>
      <c r="E255" s="453"/>
      <c r="F255" s="452">
        <f>F254+I254</f>
        <v>0</v>
      </c>
      <c r="G255" s="453"/>
      <c r="H255" s="42">
        <f>H254+I254</f>
        <v>0</v>
      </c>
      <c r="I255" s="420"/>
      <c r="J255" s="421"/>
      <c r="K255" s="421"/>
      <c r="L255" s="421"/>
      <c r="M255" s="421"/>
      <c r="N255" s="422"/>
      <c r="O255" s="6" t="s">
        <v>507</v>
      </c>
      <c r="P255" s="6" t="s">
        <v>508</v>
      </c>
    </row>
    <row r="256" spans="1:16" ht="18.75" hidden="1" x14ac:dyDescent="0.25">
      <c r="A256" s="424" t="s">
        <v>763</v>
      </c>
      <c r="B256" s="424"/>
      <c r="C256" s="424"/>
      <c r="D256" s="424"/>
      <c r="E256" s="424"/>
      <c r="F256" s="424"/>
      <c r="G256" s="424"/>
      <c r="H256" s="424"/>
      <c r="I256" s="424"/>
      <c r="J256" s="424"/>
      <c r="K256" s="424"/>
      <c r="L256" s="424"/>
      <c r="M256" s="424"/>
      <c r="N256" s="424"/>
      <c r="O256" s="424"/>
      <c r="P256" s="424"/>
    </row>
    <row r="257" spans="1:16" ht="25.5" hidden="1" x14ac:dyDescent="0.25">
      <c r="A257" s="425" t="s">
        <v>692</v>
      </c>
      <c r="B257" s="426"/>
      <c r="C257" s="427"/>
      <c r="D257" s="428"/>
      <c r="E257" s="429"/>
      <c r="F257" s="430"/>
      <c r="G257" s="4" t="s">
        <v>691</v>
      </c>
      <c r="H257" s="67" t="s">
        <v>849</v>
      </c>
      <c r="I257" s="52" t="s">
        <v>693</v>
      </c>
      <c r="J257" s="428" t="s">
        <v>849</v>
      </c>
      <c r="K257" s="429"/>
      <c r="L257" s="430"/>
      <c r="M257" s="52" t="s">
        <v>490</v>
      </c>
      <c r="N257" s="416" t="s">
        <v>567</v>
      </c>
      <c r="O257" s="417"/>
      <c r="P257" s="418"/>
    </row>
    <row r="258" spans="1:16" hidden="1" x14ac:dyDescent="0.25">
      <c r="A258" s="444" t="s">
        <v>492</v>
      </c>
      <c r="B258" s="444" t="s">
        <v>493</v>
      </c>
      <c r="C258" s="444"/>
      <c r="D258" s="444"/>
      <c r="E258" s="444"/>
      <c r="F258" s="444"/>
      <c r="G258" s="444"/>
      <c r="H258" s="419" t="s">
        <v>494</v>
      </c>
      <c r="I258" s="446" t="s">
        <v>683</v>
      </c>
      <c r="J258" s="419" t="s">
        <v>495</v>
      </c>
      <c r="K258" s="419" t="s">
        <v>496</v>
      </c>
      <c r="L258" s="419" t="s">
        <v>497</v>
      </c>
      <c r="M258" s="419" t="s">
        <v>498</v>
      </c>
      <c r="N258" s="419" t="s">
        <v>499</v>
      </c>
      <c r="O258" s="419" t="s">
        <v>500</v>
      </c>
      <c r="P258" s="419" t="s">
        <v>501</v>
      </c>
    </row>
    <row r="259" spans="1:16" hidden="1" x14ac:dyDescent="0.25">
      <c r="A259" s="444"/>
      <c r="B259" s="448">
        <v>5</v>
      </c>
      <c r="C259" s="449"/>
      <c r="D259" s="448">
        <v>15</v>
      </c>
      <c r="E259" s="449"/>
      <c r="F259" s="448">
        <v>25</v>
      </c>
      <c r="G259" s="449"/>
      <c r="H259" s="419"/>
      <c r="I259" s="447"/>
      <c r="J259" s="419"/>
      <c r="K259" s="419"/>
      <c r="L259" s="419"/>
      <c r="M259" s="419"/>
      <c r="N259" s="419"/>
      <c r="O259" s="419"/>
      <c r="P259" s="419"/>
    </row>
    <row r="260" spans="1:16" hidden="1" x14ac:dyDescent="0.25">
      <c r="A260" s="5" t="s">
        <v>513</v>
      </c>
      <c r="B260" s="450">
        <v>0</v>
      </c>
      <c r="C260" s="451"/>
      <c r="D260" s="450">
        <v>0</v>
      </c>
      <c r="E260" s="451"/>
      <c r="F260" s="450">
        <v>0</v>
      </c>
      <c r="G260" s="451"/>
      <c r="H260" s="42">
        <f t="shared" ref="H260:H265" si="139">AVERAGE(B260:G260)</f>
        <v>0</v>
      </c>
      <c r="I260" s="43">
        <v>0</v>
      </c>
      <c r="J260" s="43">
        <v>0</v>
      </c>
      <c r="K260" s="44">
        <v>0</v>
      </c>
      <c r="L260" s="45">
        <f t="shared" ref="L260:L265" si="140">J260-K260</f>
        <v>0</v>
      </c>
      <c r="M260" s="7">
        <v>0</v>
      </c>
      <c r="N260" s="7">
        <v>0</v>
      </c>
      <c r="O260" s="7">
        <v>0</v>
      </c>
      <c r="P260" s="7">
        <v>0</v>
      </c>
    </row>
    <row r="261" spans="1:16" hidden="1" x14ac:dyDescent="0.25">
      <c r="A261" s="5" t="s">
        <v>514</v>
      </c>
      <c r="B261" s="450">
        <v>0</v>
      </c>
      <c r="C261" s="451"/>
      <c r="D261" s="450">
        <v>0</v>
      </c>
      <c r="E261" s="451"/>
      <c r="F261" s="450">
        <v>0</v>
      </c>
      <c r="G261" s="451"/>
      <c r="H261" s="42">
        <f t="shared" si="139"/>
        <v>0</v>
      </c>
      <c r="I261" s="43">
        <v>0</v>
      </c>
      <c r="J261" s="43">
        <v>0</v>
      </c>
      <c r="K261" s="44">
        <v>0</v>
      </c>
      <c r="L261" s="45">
        <f t="shared" si="140"/>
        <v>0</v>
      </c>
      <c r="M261" s="7">
        <v>0</v>
      </c>
      <c r="N261" s="7">
        <v>0</v>
      </c>
      <c r="O261" s="7">
        <v>0</v>
      </c>
      <c r="P261" s="7">
        <v>0</v>
      </c>
    </row>
    <row r="262" spans="1:16" hidden="1" x14ac:dyDescent="0.25">
      <c r="A262" s="5" t="s">
        <v>515</v>
      </c>
      <c r="B262" s="450">
        <v>0</v>
      </c>
      <c r="C262" s="451"/>
      <c r="D262" s="450">
        <v>0</v>
      </c>
      <c r="E262" s="451"/>
      <c r="F262" s="450">
        <v>0</v>
      </c>
      <c r="G262" s="451"/>
      <c r="H262" s="42">
        <f t="shared" si="139"/>
        <v>0</v>
      </c>
      <c r="I262" s="43">
        <v>0</v>
      </c>
      <c r="J262" s="43">
        <v>0</v>
      </c>
      <c r="K262" s="44">
        <v>0</v>
      </c>
      <c r="L262" s="45">
        <f t="shared" si="140"/>
        <v>0</v>
      </c>
      <c r="M262" s="7">
        <v>0</v>
      </c>
      <c r="N262" s="7">
        <v>0</v>
      </c>
      <c r="O262" s="7">
        <v>0</v>
      </c>
      <c r="P262" s="7">
        <v>0</v>
      </c>
    </row>
    <row r="263" spans="1:16" hidden="1" x14ac:dyDescent="0.25">
      <c r="A263" s="5" t="s">
        <v>502</v>
      </c>
      <c r="B263" s="450">
        <v>0</v>
      </c>
      <c r="C263" s="451"/>
      <c r="D263" s="450">
        <v>0</v>
      </c>
      <c r="E263" s="451"/>
      <c r="F263" s="450">
        <v>0</v>
      </c>
      <c r="G263" s="451"/>
      <c r="H263" s="42">
        <f t="shared" si="139"/>
        <v>0</v>
      </c>
      <c r="I263" s="43">
        <v>0</v>
      </c>
      <c r="J263" s="43">
        <v>0</v>
      </c>
      <c r="K263" s="44">
        <v>0</v>
      </c>
      <c r="L263" s="45">
        <f t="shared" si="140"/>
        <v>0</v>
      </c>
      <c r="M263" s="7">
        <v>0</v>
      </c>
      <c r="N263" s="7">
        <v>0</v>
      </c>
      <c r="O263" s="7">
        <v>0</v>
      </c>
      <c r="P263" s="7">
        <v>0</v>
      </c>
    </row>
    <row r="264" spans="1:16" hidden="1" x14ac:dyDescent="0.25">
      <c r="A264" s="5" t="s">
        <v>503</v>
      </c>
      <c r="B264" s="450">
        <v>0</v>
      </c>
      <c r="C264" s="451"/>
      <c r="D264" s="450">
        <v>0</v>
      </c>
      <c r="E264" s="451"/>
      <c r="F264" s="450">
        <v>0</v>
      </c>
      <c r="G264" s="451"/>
      <c r="H264" s="42">
        <f t="shared" si="139"/>
        <v>0</v>
      </c>
      <c r="I264" s="43">
        <v>0</v>
      </c>
      <c r="J264" s="43">
        <v>0</v>
      </c>
      <c r="K264" s="44">
        <v>0</v>
      </c>
      <c r="L264" s="45">
        <f t="shared" si="140"/>
        <v>0</v>
      </c>
      <c r="M264" s="7">
        <v>0</v>
      </c>
      <c r="N264" s="7">
        <v>0</v>
      </c>
      <c r="O264" s="7">
        <v>0</v>
      </c>
      <c r="P264" s="7">
        <v>0</v>
      </c>
    </row>
    <row r="265" spans="1:16" hidden="1" x14ac:dyDescent="0.25">
      <c r="A265" s="5" t="s">
        <v>504</v>
      </c>
      <c r="B265" s="450">
        <v>0</v>
      </c>
      <c r="C265" s="451"/>
      <c r="D265" s="450">
        <v>0</v>
      </c>
      <c r="E265" s="451"/>
      <c r="F265" s="450">
        <v>0</v>
      </c>
      <c r="G265" s="451"/>
      <c r="H265" s="42">
        <f t="shared" si="139"/>
        <v>0</v>
      </c>
      <c r="I265" s="43">
        <v>0</v>
      </c>
      <c r="J265" s="43">
        <v>0</v>
      </c>
      <c r="K265" s="44">
        <v>0</v>
      </c>
      <c r="L265" s="45">
        <f t="shared" si="140"/>
        <v>0</v>
      </c>
      <c r="M265" s="7">
        <v>0</v>
      </c>
      <c r="N265" s="7">
        <v>0</v>
      </c>
      <c r="O265" s="7">
        <v>0</v>
      </c>
      <c r="P265" s="7">
        <v>0</v>
      </c>
    </row>
    <row r="266" spans="1:16" hidden="1" x14ac:dyDescent="0.25">
      <c r="A266" s="51" t="s">
        <v>505</v>
      </c>
      <c r="B266" s="452">
        <f t="shared" ref="B266" si="141">SUM(B260:B265)</f>
        <v>0</v>
      </c>
      <c r="C266" s="453"/>
      <c r="D266" s="452">
        <f t="shared" ref="D266" si="142">SUM(D260:D265)</f>
        <v>0</v>
      </c>
      <c r="E266" s="453"/>
      <c r="F266" s="452">
        <f t="shared" ref="F266" si="143">SUM(F260:F265)</f>
        <v>0</v>
      </c>
      <c r="G266" s="453"/>
      <c r="H266" s="42">
        <f t="shared" ref="H266:P266" si="144">SUM(H260:H265)</f>
        <v>0</v>
      </c>
      <c r="I266" s="42">
        <f t="shared" si="144"/>
        <v>0</v>
      </c>
      <c r="J266" s="42">
        <f t="shared" si="144"/>
        <v>0</v>
      </c>
      <c r="K266" s="42">
        <f t="shared" si="144"/>
        <v>0</v>
      </c>
      <c r="L266" s="42">
        <f t="shared" si="144"/>
        <v>0</v>
      </c>
      <c r="M266" s="10">
        <f t="shared" si="144"/>
        <v>0</v>
      </c>
      <c r="N266" s="10">
        <f t="shared" si="144"/>
        <v>0</v>
      </c>
      <c r="O266" s="8">
        <f t="shared" si="144"/>
        <v>0</v>
      </c>
      <c r="P266" s="8">
        <f t="shared" si="144"/>
        <v>0</v>
      </c>
    </row>
    <row r="267" spans="1:16" hidden="1" x14ac:dyDescent="0.25">
      <c r="A267" s="51" t="s">
        <v>494</v>
      </c>
      <c r="B267" s="452">
        <f t="shared" ref="B267" si="145">AVERAGE(B260:B265)</f>
        <v>0</v>
      </c>
      <c r="C267" s="453"/>
      <c r="D267" s="452">
        <f t="shared" ref="D267" si="146">AVERAGE(D260:D265)</f>
        <v>0</v>
      </c>
      <c r="E267" s="453"/>
      <c r="F267" s="452">
        <f t="shared" ref="F267" si="147">AVERAGE(F260:F265)</f>
        <v>0</v>
      </c>
      <c r="G267" s="453"/>
      <c r="H267" s="42">
        <f t="shared" ref="H267:N267" si="148">AVERAGE(H260:H265)</f>
        <v>0</v>
      </c>
      <c r="I267" s="42">
        <f t="shared" si="148"/>
        <v>0</v>
      </c>
      <c r="J267" s="42">
        <f t="shared" si="148"/>
        <v>0</v>
      </c>
      <c r="K267" s="42">
        <f t="shared" si="148"/>
        <v>0</v>
      </c>
      <c r="L267" s="42">
        <f t="shared" si="148"/>
        <v>0</v>
      </c>
      <c r="M267" s="10">
        <f t="shared" si="148"/>
        <v>0</v>
      </c>
      <c r="N267" s="10">
        <f t="shared" si="148"/>
        <v>0</v>
      </c>
      <c r="O267" s="53" t="e">
        <f>N266/O266</f>
        <v>#DIV/0!</v>
      </c>
      <c r="P267" s="53" t="e">
        <f>M266/P266</f>
        <v>#DIV/0!</v>
      </c>
    </row>
    <row r="268" spans="1:16" ht="38.25" hidden="1" x14ac:dyDescent="0.25">
      <c r="A268" s="51" t="s">
        <v>506</v>
      </c>
      <c r="B268" s="452">
        <f>B267+I267</f>
        <v>0</v>
      </c>
      <c r="C268" s="453"/>
      <c r="D268" s="452">
        <f>D267+I267</f>
        <v>0</v>
      </c>
      <c r="E268" s="453"/>
      <c r="F268" s="452">
        <f>F267+I267</f>
        <v>0</v>
      </c>
      <c r="G268" s="453"/>
      <c r="H268" s="42">
        <f>H267+I267</f>
        <v>0</v>
      </c>
      <c r="I268" s="420"/>
      <c r="J268" s="421"/>
      <c r="K268" s="421"/>
      <c r="L268" s="421"/>
      <c r="M268" s="421"/>
      <c r="N268" s="422"/>
      <c r="O268" s="6" t="s">
        <v>507</v>
      </c>
      <c r="P268" s="6" t="s">
        <v>508</v>
      </c>
    </row>
    <row r="269" spans="1:16" x14ac:dyDescent="0.25"/>
    <row r="270" spans="1:16" x14ac:dyDescent="0.25"/>
    <row r="271" spans="1:16" x14ac:dyDescent="0.25"/>
    <row r="272" spans="1:16"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sheetData>
  <sheetProtection algorithmName="SHA-512" hashValue="q5nof3lJidK4f0oeec8NXGWDHRoLl4jw3qymUvRKYLK14xo2pjM9hFWzhyNKMlshfnlqeyi3QiY5Y82+V/vZhw==" saltValue="CW4lR/qYz6k90da0beC7Kg==" spinCount="100000" sheet="1" objects="1" scenarios="1" formatCells="0" formatColumns="0" formatRows="0"/>
  <mergeCells count="963">
    <mergeCell ref="B262:C262"/>
    <mergeCell ref="D262:E262"/>
    <mergeCell ref="F262:G262"/>
    <mergeCell ref="B263:C263"/>
    <mergeCell ref="D263:E263"/>
    <mergeCell ref="F263:G263"/>
    <mergeCell ref="B264:C264"/>
    <mergeCell ref="D264:E264"/>
    <mergeCell ref="F264:G264"/>
    <mergeCell ref="B265:C265"/>
    <mergeCell ref="D265:E265"/>
    <mergeCell ref="F265:G265"/>
    <mergeCell ref="I268:N268"/>
    <mergeCell ref="B266:C266"/>
    <mergeCell ref="D266:E266"/>
    <mergeCell ref="F266:G266"/>
    <mergeCell ref="B267:C267"/>
    <mergeCell ref="D267:E267"/>
    <mergeCell ref="F267:G267"/>
    <mergeCell ref="B268:C268"/>
    <mergeCell ref="D268:E268"/>
    <mergeCell ref="F268:G268"/>
    <mergeCell ref="D255:E255"/>
    <mergeCell ref="F255:G255"/>
    <mergeCell ref="I255:N255"/>
    <mergeCell ref="A256:P256"/>
    <mergeCell ref="A257:C257"/>
    <mergeCell ref="D257:F257"/>
    <mergeCell ref="J257:L257"/>
    <mergeCell ref="N257:P257"/>
    <mergeCell ref="O258:O259"/>
    <mergeCell ref="P258:P259"/>
    <mergeCell ref="B259:C259"/>
    <mergeCell ref="D259:E259"/>
    <mergeCell ref="F259:G259"/>
    <mergeCell ref="I258:I259"/>
    <mergeCell ref="J258:J259"/>
    <mergeCell ref="K258:K259"/>
    <mergeCell ref="L258:L259"/>
    <mergeCell ref="M258:M259"/>
    <mergeCell ref="N258:N259"/>
    <mergeCell ref="B255:C255"/>
    <mergeCell ref="B260:C260"/>
    <mergeCell ref="D260:E260"/>
    <mergeCell ref="F260:G260"/>
    <mergeCell ref="B261:C261"/>
    <mergeCell ref="D261:E261"/>
    <mergeCell ref="F261:G261"/>
    <mergeCell ref="A258:A259"/>
    <mergeCell ref="B258:G258"/>
    <mergeCell ref="H258:H259"/>
    <mergeCell ref="B252:C252"/>
    <mergeCell ref="D252:E252"/>
    <mergeCell ref="F252:G252"/>
    <mergeCell ref="B253:C253"/>
    <mergeCell ref="D253:E253"/>
    <mergeCell ref="F253:G253"/>
    <mergeCell ref="B254:C254"/>
    <mergeCell ref="D254:E254"/>
    <mergeCell ref="F254:G254"/>
    <mergeCell ref="B249:C249"/>
    <mergeCell ref="D249:E249"/>
    <mergeCell ref="F249:G249"/>
    <mergeCell ref="B250:C250"/>
    <mergeCell ref="D250:E250"/>
    <mergeCell ref="F250:G250"/>
    <mergeCell ref="B251:C251"/>
    <mergeCell ref="D251:E251"/>
    <mergeCell ref="F251:G251"/>
    <mergeCell ref="O245:O246"/>
    <mergeCell ref="P245:P246"/>
    <mergeCell ref="B246:C246"/>
    <mergeCell ref="D246:E246"/>
    <mergeCell ref="F246:G246"/>
    <mergeCell ref="B247:C247"/>
    <mergeCell ref="D247:E247"/>
    <mergeCell ref="F247:G247"/>
    <mergeCell ref="B248:C248"/>
    <mergeCell ref="D248:E248"/>
    <mergeCell ref="F248:G248"/>
    <mergeCell ref="A245:A246"/>
    <mergeCell ref="B245:G245"/>
    <mergeCell ref="H245:H246"/>
    <mergeCell ref="I245:I246"/>
    <mergeCell ref="J245:J246"/>
    <mergeCell ref="K245:K246"/>
    <mergeCell ref="L245:L246"/>
    <mergeCell ref="M245:M246"/>
    <mergeCell ref="N245:N246"/>
    <mergeCell ref="B242:C242"/>
    <mergeCell ref="D242:E242"/>
    <mergeCell ref="F242:G242"/>
    <mergeCell ref="I242:N242"/>
    <mergeCell ref="A243:P243"/>
    <mergeCell ref="A244:C244"/>
    <mergeCell ref="D244:F244"/>
    <mergeCell ref="J244:L244"/>
    <mergeCell ref="N244:P244"/>
    <mergeCell ref="B239:C239"/>
    <mergeCell ref="D239:E239"/>
    <mergeCell ref="F239:G239"/>
    <mergeCell ref="B240:C240"/>
    <mergeCell ref="D240:E240"/>
    <mergeCell ref="F240:G240"/>
    <mergeCell ref="B241:C241"/>
    <mergeCell ref="D241:E241"/>
    <mergeCell ref="F241:G241"/>
    <mergeCell ref="B236:C236"/>
    <mergeCell ref="D236:E236"/>
    <mergeCell ref="F236:G236"/>
    <mergeCell ref="B237:C237"/>
    <mergeCell ref="D237:E237"/>
    <mergeCell ref="F237:G237"/>
    <mergeCell ref="B238:C238"/>
    <mergeCell ref="D238:E238"/>
    <mergeCell ref="F238:G238"/>
    <mergeCell ref="O232:O233"/>
    <mergeCell ref="P232:P233"/>
    <mergeCell ref="B233:C233"/>
    <mergeCell ref="D233:E233"/>
    <mergeCell ref="F233:G233"/>
    <mergeCell ref="B234:C234"/>
    <mergeCell ref="D234:E234"/>
    <mergeCell ref="F234:G234"/>
    <mergeCell ref="B235:C235"/>
    <mergeCell ref="D235:E235"/>
    <mergeCell ref="F235:G235"/>
    <mergeCell ref="A232:A233"/>
    <mergeCell ref="B232:G232"/>
    <mergeCell ref="H232:H233"/>
    <mergeCell ref="I232:I233"/>
    <mergeCell ref="J232:J233"/>
    <mergeCell ref="K232:K233"/>
    <mergeCell ref="L232:L233"/>
    <mergeCell ref="M232:M233"/>
    <mergeCell ref="N232:N233"/>
    <mergeCell ref="B229:C229"/>
    <mergeCell ref="D229:E229"/>
    <mergeCell ref="F229:G229"/>
    <mergeCell ref="I229:N229"/>
    <mergeCell ref="A230:P230"/>
    <mergeCell ref="A231:C231"/>
    <mergeCell ref="D231:F231"/>
    <mergeCell ref="J231:L231"/>
    <mergeCell ref="N231:P231"/>
    <mergeCell ref="B227:C227"/>
    <mergeCell ref="D227:E227"/>
    <mergeCell ref="F227:G227"/>
    <mergeCell ref="B228:C228"/>
    <mergeCell ref="D228:E228"/>
    <mergeCell ref="F228:G228"/>
    <mergeCell ref="B223:C223"/>
    <mergeCell ref="D223:E223"/>
    <mergeCell ref="F223:G223"/>
    <mergeCell ref="B224:C224"/>
    <mergeCell ref="D224:E224"/>
    <mergeCell ref="F224:G224"/>
    <mergeCell ref="B225:C225"/>
    <mergeCell ref="D225:E225"/>
    <mergeCell ref="F225:G225"/>
    <mergeCell ref="B226:C226"/>
    <mergeCell ref="D226:E226"/>
    <mergeCell ref="F226:G226"/>
    <mergeCell ref="O219:O220"/>
    <mergeCell ref="P219:P220"/>
    <mergeCell ref="B220:C220"/>
    <mergeCell ref="D220:E220"/>
    <mergeCell ref="F220:G220"/>
    <mergeCell ref="B221:C221"/>
    <mergeCell ref="D221:E221"/>
    <mergeCell ref="F221:G221"/>
    <mergeCell ref="B222:C222"/>
    <mergeCell ref="D222:E222"/>
    <mergeCell ref="F222:G222"/>
    <mergeCell ref="A219:A220"/>
    <mergeCell ref="B219:G219"/>
    <mergeCell ref="H219:H220"/>
    <mergeCell ref="I219:I220"/>
    <mergeCell ref="J219:J220"/>
    <mergeCell ref="K219:K220"/>
    <mergeCell ref="L219:L220"/>
    <mergeCell ref="M219:M220"/>
    <mergeCell ref="N219:N220"/>
    <mergeCell ref="B216:C216"/>
    <mergeCell ref="D216:E216"/>
    <mergeCell ref="F216:G216"/>
    <mergeCell ref="I216:N216"/>
    <mergeCell ref="A217:P217"/>
    <mergeCell ref="A218:C218"/>
    <mergeCell ref="D218:F218"/>
    <mergeCell ref="J218:L218"/>
    <mergeCell ref="N218:P218"/>
    <mergeCell ref="B214:C214"/>
    <mergeCell ref="D214:E214"/>
    <mergeCell ref="F214:G214"/>
    <mergeCell ref="B215:C215"/>
    <mergeCell ref="D215:E215"/>
    <mergeCell ref="F215:G215"/>
    <mergeCell ref="B210:C210"/>
    <mergeCell ref="D210:E210"/>
    <mergeCell ref="F210:G210"/>
    <mergeCell ref="B211:C211"/>
    <mergeCell ref="D211:E211"/>
    <mergeCell ref="F211:G211"/>
    <mergeCell ref="B212:C212"/>
    <mergeCell ref="D212:E212"/>
    <mergeCell ref="F212:G212"/>
    <mergeCell ref="B213:C213"/>
    <mergeCell ref="D213:E213"/>
    <mergeCell ref="F213:G213"/>
    <mergeCell ref="O206:O207"/>
    <mergeCell ref="P206:P207"/>
    <mergeCell ref="B207:C207"/>
    <mergeCell ref="D207:E207"/>
    <mergeCell ref="F207:G207"/>
    <mergeCell ref="B208:C208"/>
    <mergeCell ref="D208:E208"/>
    <mergeCell ref="F208:G208"/>
    <mergeCell ref="B209:C209"/>
    <mergeCell ref="D209:E209"/>
    <mergeCell ref="F209:G209"/>
    <mergeCell ref="A206:A207"/>
    <mergeCell ref="B206:G206"/>
    <mergeCell ref="H206:H207"/>
    <mergeCell ref="I206:I207"/>
    <mergeCell ref="J206:J207"/>
    <mergeCell ref="K206:K207"/>
    <mergeCell ref="L206:L207"/>
    <mergeCell ref="M206:M207"/>
    <mergeCell ref="N206:N207"/>
    <mergeCell ref="B203:C203"/>
    <mergeCell ref="D203:E203"/>
    <mergeCell ref="F203:G203"/>
    <mergeCell ref="I203:N203"/>
    <mergeCell ref="A204:P204"/>
    <mergeCell ref="A205:C205"/>
    <mergeCell ref="D205:F205"/>
    <mergeCell ref="J205:L205"/>
    <mergeCell ref="N205:P205"/>
    <mergeCell ref="B201:C201"/>
    <mergeCell ref="D201:E201"/>
    <mergeCell ref="F201:G201"/>
    <mergeCell ref="B202:C202"/>
    <mergeCell ref="D202:E202"/>
    <mergeCell ref="F202:G202"/>
    <mergeCell ref="B197:C197"/>
    <mergeCell ref="D197:E197"/>
    <mergeCell ref="F197:G197"/>
    <mergeCell ref="B198:C198"/>
    <mergeCell ref="D198:E198"/>
    <mergeCell ref="F198:G198"/>
    <mergeCell ref="B199:C199"/>
    <mergeCell ref="D199:E199"/>
    <mergeCell ref="F199:G199"/>
    <mergeCell ref="B200:C200"/>
    <mergeCell ref="D200:E200"/>
    <mergeCell ref="F200:G200"/>
    <mergeCell ref="O193:O194"/>
    <mergeCell ref="P193:P194"/>
    <mergeCell ref="B194:C194"/>
    <mergeCell ref="D194:E194"/>
    <mergeCell ref="F194:G194"/>
    <mergeCell ref="B195:C195"/>
    <mergeCell ref="D195:E195"/>
    <mergeCell ref="F195:G195"/>
    <mergeCell ref="B196:C196"/>
    <mergeCell ref="D196:E196"/>
    <mergeCell ref="F196:G196"/>
    <mergeCell ref="A193:A194"/>
    <mergeCell ref="B193:G193"/>
    <mergeCell ref="H193:H194"/>
    <mergeCell ref="I193:I194"/>
    <mergeCell ref="J193:J194"/>
    <mergeCell ref="K193:K194"/>
    <mergeCell ref="L193:L194"/>
    <mergeCell ref="M193:M194"/>
    <mergeCell ref="N193:N194"/>
    <mergeCell ref="B190:C190"/>
    <mergeCell ref="D190:E190"/>
    <mergeCell ref="F190:G190"/>
    <mergeCell ref="I190:N190"/>
    <mergeCell ref="A191:P191"/>
    <mergeCell ref="A192:C192"/>
    <mergeCell ref="D192:F192"/>
    <mergeCell ref="J192:L192"/>
    <mergeCell ref="N192:P192"/>
    <mergeCell ref="B188:C188"/>
    <mergeCell ref="D188:E188"/>
    <mergeCell ref="F188:G188"/>
    <mergeCell ref="B189:C189"/>
    <mergeCell ref="D189:E189"/>
    <mergeCell ref="F189:G189"/>
    <mergeCell ref="B184:C184"/>
    <mergeCell ref="D184:E184"/>
    <mergeCell ref="F184:G184"/>
    <mergeCell ref="B185:C185"/>
    <mergeCell ref="D185:E185"/>
    <mergeCell ref="F185:G185"/>
    <mergeCell ref="B186:C186"/>
    <mergeCell ref="D186:E186"/>
    <mergeCell ref="F186:G186"/>
    <mergeCell ref="B187:C187"/>
    <mergeCell ref="D187:E187"/>
    <mergeCell ref="F187:G187"/>
    <mergeCell ref="O180:O181"/>
    <mergeCell ref="P180:P181"/>
    <mergeCell ref="B181:C181"/>
    <mergeCell ref="D181:E181"/>
    <mergeCell ref="F181:G181"/>
    <mergeCell ref="B182:C182"/>
    <mergeCell ref="D182:E182"/>
    <mergeCell ref="F182:G182"/>
    <mergeCell ref="B183:C183"/>
    <mergeCell ref="D183:E183"/>
    <mergeCell ref="F183:G183"/>
    <mergeCell ref="A180:A181"/>
    <mergeCell ref="B180:G180"/>
    <mergeCell ref="H180:H181"/>
    <mergeCell ref="I180:I181"/>
    <mergeCell ref="J180:J181"/>
    <mergeCell ref="K180:K181"/>
    <mergeCell ref="L180:L181"/>
    <mergeCell ref="M180:M181"/>
    <mergeCell ref="N180:N181"/>
    <mergeCell ref="B177:C177"/>
    <mergeCell ref="D177:E177"/>
    <mergeCell ref="F177:G177"/>
    <mergeCell ref="I177:N177"/>
    <mergeCell ref="A178:P178"/>
    <mergeCell ref="A179:C179"/>
    <mergeCell ref="D179:F179"/>
    <mergeCell ref="J179:L179"/>
    <mergeCell ref="N179:P179"/>
    <mergeCell ref="B175:C175"/>
    <mergeCell ref="D175:E175"/>
    <mergeCell ref="F175:G175"/>
    <mergeCell ref="B176:C176"/>
    <mergeCell ref="D176:E176"/>
    <mergeCell ref="F176:G176"/>
    <mergeCell ref="B171:C171"/>
    <mergeCell ref="D171:E171"/>
    <mergeCell ref="F171:G171"/>
    <mergeCell ref="B172:C172"/>
    <mergeCell ref="D172:E172"/>
    <mergeCell ref="F172:G172"/>
    <mergeCell ref="B173:C173"/>
    <mergeCell ref="D173:E173"/>
    <mergeCell ref="F173:G173"/>
    <mergeCell ref="B174:C174"/>
    <mergeCell ref="D174:E174"/>
    <mergeCell ref="F174:G174"/>
    <mergeCell ref="O167:O168"/>
    <mergeCell ref="P167:P168"/>
    <mergeCell ref="B168:C168"/>
    <mergeCell ref="D168:E168"/>
    <mergeCell ref="F168:G168"/>
    <mergeCell ref="B169:C169"/>
    <mergeCell ref="D169:E169"/>
    <mergeCell ref="F169:G169"/>
    <mergeCell ref="B170:C170"/>
    <mergeCell ref="D170:E170"/>
    <mergeCell ref="F170:G170"/>
    <mergeCell ref="A167:A168"/>
    <mergeCell ref="B167:G167"/>
    <mergeCell ref="H167:H168"/>
    <mergeCell ref="I167:I168"/>
    <mergeCell ref="J167:J168"/>
    <mergeCell ref="K167:K168"/>
    <mergeCell ref="L167:L168"/>
    <mergeCell ref="M167:M168"/>
    <mergeCell ref="N167:N168"/>
    <mergeCell ref="B164:C164"/>
    <mergeCell ref="D164:E164"/>
    <mergeCell ref="F164:G164"/>
    <mergeCell ref="I164:N164"/>
    <mergeCell ref="A165:P165"/>
    <mergeCell ref="A166:C166"/>
    <mergeCell ref="D166:F166"/>
    <mergeCell ref="J166:L166"/>
    <mergeCell ref="N166:P166"/>
    <mergeCell ref="B162:C162"/>
    <mergeCell ref="D162:E162"/>
    <mergeCell ref="F162:G162"/>
    <mergeCell ref="B163:C163"/>
    <mergeCell ref="D163:E163"/>
    <mergeCell ref="F163:G163"/>
    <mergeCell ref="B158:C158"/>
    <mergeCell ref="D158:E158"/>
    <mergeCell ref="F158:G158"/>
    <mergeCell ref="B159:C159"/>
    <mergeCell ref="D159:E159"/>
    <mergeCell ref="F159:G159"/>
    <mergeCell ref="B160:C160"/>
    <mergeCell ref="D160:E160"/>
    <mergeCell ref="F160:G160"/>
    <mergeCell ref="B161:C161"/>
    <mergeCell ref="D161:E161"/>
    <mergeCell ref="F161:G161"/>
    <mergeCell ref="O154:O155"/>
    <mergeCell ref="P154:P155"/>
    <mergeCell ref="B155:C155"/>
    <mergeCell ref="D155:E155"/>
    <mergeCell ref="F155:G155"/>
    <mergeCell ref="B156:C156"/>
    <mergeCell ref="D156:E156"/>
    <mergeCell ref="F156:G156"/>
    <mergeCell ref="B157:C157"/>
    <mergeCell ref="D157:E157"/>
    <mergeCell ref="F157:G157"/>
    <mergeCell ref="A154:A155"/>
    <mergeCell ref="B154:G154"/>
    <mergeCell ref="H154:H155"/>
    <mergeCell ref="I154:I155"/>
    <mergeCell ref="J154:J155"/>
    <mergeCell ref="K154:K155"/>
    <mergeCell ref="L154:L155"/>
    <mergeCell ref="M154:M155"/>
    <mergeCell ref="N154:N155"/>
    <mergeCell ref="B151:C151"/>
    <mergeCell ref="D151:E151"/>
    <mergeCell ref="F151:G151"/>
    <mergeCell ref="I151:N151"/>
    <mergeCell ref="A152:P152"/>
    <mergeCell ref="A153:C153"/>
    <mergeCell ref="D153:F153"/>
    <mergeCell ref="J153:L153"/>
    <mergeCell ref="N153:P153"/>
    <mergeCell ref="B149:C149"/>
    <mergeCell ref="D149:E149"/>
    <mergeCell ref="F149:G149"/>
    <mergeCell ref="B150:C150"/>
    <mergeCell ref="D150:E150"/>
    <mergeCell ref="F150:G150"/>
    <mergeCell ref="B145:C145"/>
    <mergeCell ref="D145:E145"/>
    <mergeCell ref="F145:G145"/>
    <mergeCell ref="B146:C146"/>
    <mergeCell ref="D146:E146"/>
    <mergeCell ref="F146:G146"/>
    <mergeCell ref="B147:C147"/>
    <mergeCell ref="D147:E147"/>
    <mergeCell ref="F147:G147"/>
    <mergeCell ref="B148:C148"/>
    <mergeCell ref="D148:E148"/>
    <mergeCell ref="F148:G148"/>
    <mergeCell ref="O141:O142"/>
    <mergeCell ref="P141:P142"/>
    <mergeCell ref="B142:C142"/>
    <mergeCell ref="D142:E142"/>
    <mergeCell ref="F142:G142"/>
    <mergeCell ref="B143:C143"/>
    <mergeCell ref="D143:E143"/>
    <mergeCell ref="F143:G143"/>
    <mergeCell ref="B144:C144"/>
    <mergeCell ref="D144:E144"/>
    <mergeCell ref="F144:G144"/>
    <mergeCell ref="A141:A142"/>
    <mergeCell ref="B141:G141"/>
    <mergeCell ref="H141:H142"/>
    <mergeCell ref="I141:I142"/>
    <mergeCell ref="J141:J142"/>
    <mergeCell ref="K141:K142"/>
    <mergeCell ref="L141:L142"/>
    <mergeCell ref="M141:M142"/>
    <mergeCell ref="N141:N142"/>
    <mergeCell ref="B138:C138"/>
    <mergeCell ref="D138:E138"/>
    <mergeCell ref="F138:G138"/>
    <mergeCell ref="I138:N138"/>
    <mergeCell ref="A139:P139"/>
    <mergeCell ref="A140:C140"/>
    <mergeCell ref="D140:F140"/>
    <mergeCell ref="J140:L140"/>
    <mergeCell ref="N140:P140"/>
    <mergeCell ref="B136:C136"/>
    <mergeCell ref="D136:E136"/>
    <mergeCell ref="F136:G136"/>
    <mergeCell ref="B137:C137"/>
    <mergeCell ref="D137:E137"/>
    <mergeCell ref="F137:G137"/>
    <mergeCell ref="B132:C132"/>
    <mergeCell ref="D132:E132"/>
    <mergeCell ref="F132:G132"/>
    <mergeCell ref="B133:C133"/>
    <mergeCell ref="D133:E133"/>
    <mergeCell ref="F133:G133"/>
    <mergeCell ref="B134:C134"/>
    <mergeCell ref="D134:E134"/>
    <mergeCell ref="F134:G134"/>
    <mergeCell ref="B135:C135"/>
    <mergeCell ref="D135:E135"/>
    <mergeCell ref="F135:G135"/>
    <mergeCell ref="O128:O129"/>
    <mergeCell ref="P128:P129"/>
    <mergeCell ref="B129:C129"/>
    <mergeCell ref="D129:E129"/>
    <mergeCell ref="F129:G129"/>
    <mergeCell ref="B130:C130"/>
    <mergeCell ref="D130:E130"/>
    <mergeCell ref="F130:G130"/>
    <mergeCell ref="B131:C131"/>
    <mergeCell ref="D131:E131"/>
    <mergeCell ref="F131:G131"/>
    <mergeCell ref="A128:A129"/>
    <mergeCell ref="B128:G128"/>
    <mergeCell ref="H128:H129"/>
    <mergeCell ref="I128:I129"/>
    <mergeCell ref="J128:J129"/>
    <mergeCell ref="K128:K129"/>
    <mergeCell ref="L128:L129"/>
    <mergeCell ref="M128:M129"/>
    <mergeCell ref="N128:N129"/>
    <mergeCell ref="B125:C125"/>
    <mergeCell ref="D125:E125"/>
    <mergeCell ref="F125:G125"/>
    <mergeCell ref="I125:N125"/>
    <mergeCell ref="A126:P126"/>
    <mergeCell ref="A127:C127"/>
    <mergeCell ref="D127:F127"/>
    <mergeCell ref="J127:L127"/>
    <mergeCell ref="N127:P127"/>
    <mergeCell ref="B123:C123"/>
    <mergeCell ref="D123:E123"/>
    <mergeCell ref="F123:G123"/>
    <mergeCell ref="B124:C124"/>
    <mergeCell ref="D124:E124"/>
    <mergeCell ref="F124:G124"/>
    <mergeCell ref="B119:C119"/>
    <mergeCell ref="D119:E119"/>
    <mergeCell ref="F119:G119"/>
    <mergeCell ref="B120:C120"/>
    <mergeCell ref="D120:E120"/>
    <mergeCell ref="F120:G120"/>
    <mergeCell ref="B121:C121"/>
    <mergeCell ref="D121:E121"/>
    <mergeCell ref="F121:G121"/>
    <mergeCell ref="B122:C122"/>
    <mergeCell ref="D122:E122"/>
    <mergeCell ref="F122:G122"/>
    <mergeCell ref="O115:O116"/>
    <mergeCell ref="P115:P116"/>
    <mergeCell ref="B116:C116"/>
    <mergeCell ref="D116:E116"/>
    <mergeCell ref="F116:G116"/>
    <mergeCell ref="B117:C117"/>
    <mergeCell ref="D117:E117"/>
    <mergeCell ref="F117:G117"/>
    <mergeCell ref="B118:C118"/>
    <mergeCell ref="D118:E118"/>
    <mergeCell ref="F118:G118"/>
    <mergeCell ref="A115:A116"/>
    <mergeCell ref="B115:G115"/>
    <mergeCell ref="H115:H116"/>
    <mergeCell ref="I115:I116"/>
    <mergeCell ref="J115:J116"/>
    <mergeCell ref="K115:K116"/>
    <mergeCell ref="L115:L116"/>
    <mergeCell ref="M115:M116"/>
    <mergeCell ref="N115:N116"/>
    <mergeCell ref="B112:C112"/>
    <mergeCell ref="D112:E112"/>
    <mergeCell ref="F112:G112"/>
    <mergeCell ref="I112:N112"/>
    <mergeCell ref="A113:P113"/>
    <mergeCell ref="A114:C114"/>
    <mergeCell ref="D114:F114"/>
    <mergeCell ref="J114:L114"/>
    <mergeCell ref="N114:P114"/>
    <mergeCell ref="B110:C110"/>
    <mergeCell ref="D110:E110"/>
    <mergeCell ref="F110:G110"/>
    <mergeCell ref="B111:C111"/>
    <mergeCell ref="D111:E111"/>
    <mergeCell ref="F111:G111"/>
    <mergeCell ref="O102:O103"/>
    <mergeCell ref="P102:P103"/>
    <mergeCell ref="B103:C103"/>
    <mergeCell ref="D103:E103"/>
    <mergeCell ref="F103:G103"/>
    <mergeCell ref="B104:C104"/>
    <mergeCell ref="D104:E104"/>
    <mergeCell ref="F104:G104"/>
    <mergeCell ref="B108:C108"/>
    <mergeCell ref="D108:E108"/>
    <mergeCell ref="F108:G108"/>
    <mergeCell ref="B105:C105"/>
    <mergeCell ref="D105:E105"/>
    <mergeCell ref="F105:G105"/>
    <mergeCell ref="B106:C106"/>
    <mergeCell ref="D106:E106"/>
    <mergeCell ref="F106:G106"/>
    <mergeCell ref="B107:C107"/>
    <mergeCell ref="I99:N99"/>
    <mergeCell ref="A100:P100"/>
    <mergeCell ref="A101:C101"/>
    <mergeCell ref="D101:F101"/>
    <mergeCell ref="J101:L101"/>
    <mergeCell ref="N101:P101"/>
    <mergeCell ref="D107:E107"/>
    <mergeCell ref="F107:G107"/>
    <mergeCell ref="H102:H103"/>
    <mergeCell ref="I102:I103"/>
    <mergeCell ref="J102:J103"/>
    <mergeCell ref="K102:K103"/>
    <mergeCell ref="L102:L103"/>
    <mergeCell ref="M102:M103"/>
    <mergeCell ref="N102:N103"/>
    <mergeCell ref="F94:G94"/>
    <mergeCell ref="B109:C109"/>
    <mergeCell ref="D109:E109"/>
    <mergeCell ref="F109:G109"/>
    <mergeCell ref="B97:C97"/>
    <mergeCell ref="D97:E97"/>
    <mergeCell ref="F97:G97"/>
    <mergeCell ref="B98:C98"/>
    <mergeCell ref="D98:E98"/>
    <mergeCell ref="F98:G98"/>
    <mergeCell ref="B99:C99"/>
    <mergeCell ref="D99:E99"/>
    <mergeCell ref="F99:G99"/>
    <mergeCell ref="J89:J90"/>
    <mergeCell ref="K89:K90"/>
    <mergeCell ref="L89:L90"/>
    <mergeCell ref="M89:M90"/>
    <mergeCell ref="N89:N90"/>
    <mergeCell ref="B96:C96"/>
    <mergeCell ref="D96:E96"/>
    <mergeCell ref="F96:G96"/>
    <mergeCell ref="A102:A103"/>
    <mergeCell ref="B102:G102"/>
    <mergeCell ref="B91:C91"/>
    <mergeCell ref="D91:E91"/>
    <mergeCell ref="F91:G91"/>
    <mergeCell ref="B95:C95"/>
    <mergeCell ref="D95:E95"/>
    <mergeCell ref="F95:G95"/>
    <mergeCell ref="B92:C92"/>
    <mergeCell ref="D92:E92"/>
    <mergeCell ref="F92:G92"/>
    <mergeCell ref="B93:C93"/>
    <mergeCell ref="D93:E93"/>
    <mergeCell ref="F93:G93"/>
    <mergeCell ref="B94:C94"/>
    <mergeCell ref="D94:E94"/>
    <mergeCell ref="O89:O90"/>
    <mergeCell ref="P89:P90"/>
    <mergeCell ref="B90:C90"/>
    <mergeCell ref="D90:E90"/>
    <mergeCell ref="F90:G90"/>
    <mergeCell ref="B84:C84"/>
    <mergeCell ref="D84:E84"/>
    <mergeCell ref="F84:G84"/>
    <mergeCell ref="B85:C85"/>
    <mergeCell ref="D85:E85"/>
    <mergeCell ref="F85:G85"/>
    <mergeCell ref="B86:C86"/>
    <mergeCell ref="D86:E86"/>
    <mergeCell ref="F86:G86"/>
    <mergeCell ref="I86:N86"/>
    <mergeCell ref="A87:P87"/>
    <mergeCell ref="A88:C88"/>
    <mergeCell ref="D88:F88"/>
    <mergeCell ref="J88:L88"/>
    <mergeCell ref="N88:P88"/>
    <mergeCell ref="A89:A90"/>
    <mergeCell ref="B89:G89"/>
    <mergeCell ref="H89:H90"/>
    <mergeCell ref="I89:I90"/>
    <mergeCell ref="B83:C83"/>
    <mergeCell ref="D83:E83"/>
    <mergeCell ref="F83:G83"/>
    <mergeCell ref="A24:A25"/>
    <mergeCell ref="B24:G24"/>
    <mergeCell ref="H24:H25"/>
    <mergeCell ref="J24:J25"/>
    <mergeCell ref="O76:O77"/>
    <mergeCell ref="P76:P77"/>
    <mergeCell ref="B77:C77"/>
    <mergeCell ref="D77:E77"/>
    <mergeCell ref="F77:G77"/>
    <mergeCell ref="B78:C78"/>
    <mergeCell ref="D78:E78"/>
    <mergeCell ref="F78:G78"/>
    <mergeCell ref="B82:C82"/>
    <mergeCell ref="D82:E82"/>
    <mergeCell ref="F82:G82"/>
    <mergeCell ref="B79:C79"/>
    <mergeCell ref="D79:E79"/>
    <mergeCell ref="F79:G79"/>
    <mergeCell ref="B80:C80"/>
    <mergeCell ref="D80:E80"/>
    <mergeCell ref="F80:G80"/>
    <mergeCell ref="B81:C81"/>
    <mergeCell ref="D81:E81"/>
    <mergeCell ref="F81:G81"/>
    <mergeCell ref="B66:C66"/>
    <mergeCell ref="D66:E66"/>
    <mergeCell ref="F66:G66"/>
    <mergeCell ref="B67:C67"/>
    <mergeCell ref="D67:E67"/>
    <mergeCell ref="F67:G67"/>
    <mergeCell ref="B68:C68"/>
    <mergeCell ref="D68:E68"/>
    <mergeCell ref="B73:C73"/>
    <mergeCell ref="D73:E73"/>
    <mergeCell ref="F73:G73"/>
    <mergeCell ref="D69:E69"/>
    <mergeCell ref="F69:G69"/>
    <mergeCell ref="B71:C71"/>
    <mergeCell ref="D71:E71"/>
    <mergeCell ref="F68:G68"/>
    <mergeCell ref="A76:A77"/>
    <mergeCell ref="B76:G76"/>
    <mergeCell ref="H76:H77"/>
    <mergeCell ref="I76:I77"/>
    <mergeCell ref="J76:J77"/>
    <mergeCell ref="B28:C28"/>
    <mergeCell ref="D28:E28"/>
    <mergeCell ref="F28:G28"/>
    <mergeCell ref="B29:C29"/>
    <mergeCell ref="D29:E29"/>
    <mergeCell ref="F29:G29"/>
    <mergeCell ref="B30:C30"/>
    <mergeCell ref="D30:E30"/>
    <mergeCell ref="F30:G30"/>
    <mergeCell ref="B31:C31"/>
    <mergeCell ref="D31:E31"/>
    <mergeCell ref="F31:G31"/>
    <mergeCell ref="B34:C34"/>
    <mergeCell ref="D34:E34"/>
    <mergeCell ref="F34:G34"/>
    <mergeCell ref="A35:P35"/>
    <mergeCell ref="A36:C36"/>
    <mergeCell ref="D36:F36"/>
    <mergeCell ref="J36:L36"/>
    <mergeCell ref="K76:K77"/>
    <mergeCell ref="L76:L77"/>
    <mergeCell ref="M76:M77"/>
    <mergeCell ref="N76:N77"/>
    <mergeCell ref="A6:F6"/>
    <mergeCell ref="A74:P74"/>
    <mergeCell ref="A75:C75"/>
    <mergeCell ref="D75:F75"/>
    <mergeCell ref="J75:L75"/>
    <mergeCell ref="N75:P75"/>
    <mergeCell ref="D13:E13"/>
    <mergeCell ref="D14:E14"/>
    <mergeCell ref="D15:E15"/>
    <mergeCell ref="D16:E16"/>
    <mergeCell ref="F12:G12"/>
    <mergeCell ref="D12:E12"/>
    <mergeCell ref="B12:C12"/>
    <mergeCell ref="B13:C13"/>
    <mergeCell ref="B14:C14"/>
    <mergeCell ref="B15:C15"/>
    <mergeCell ref="A22:P22"/>
    <mergeCell ref="F17:G17"/>
    <mergeCell ref="B18:C18"/>
    <mergeCell ref="D18:E18"/>
    <mergeCell ref="A1:P1"/>
    <mergeCell ref="A9:P9"/>
    <mergeCell ref="A11:A12"/>
    <mergeCell ref="B11:G11"/>
    <mergeCell ref="H11:H12"/>
    <mergeCell ref="J11:J12"/>
    <mergeCell ref="K11:K12"/>
    <mergeCell ref="G5:J5"/>
    <mergeCell ref="K5:M5"/>
    <mergeCell ref="N5:P5"/>
    <mergeCell ref="A10:C10"/>
    <mergeCell ref="D10:F10"/>
    <mergeCell ref="J10:L10"/>
    <mergeCell ref="L11:L12"/>
    <mergeCell ref="M11:M12"/>
    <mergeCell ref="N11:N12"/>
    <mergeCell ref="O11:O12"/>
    <mergeCell ref="P11:P12"/>
    <mergeCell ref="A2:F2"/>
    <mergeCell ref="G2:P2"/>
    <mergeCell ref="A3:F3"/>
    <mergeCell ref="N6:P6"/>
    <mergeCell ref="G7:J7"/>
    <mergeCell ref="K7:M7"/>
    <mergeCell ref="G3:P3"/>
    <mergeCell ref="G6:J6"/>
    <mergeCell ref="K6:M6"/>
    <mergeCell ref="F20:G20"/>
    <mergeCell ref="F21:G21"/>
    <mergeCell ref="F16:G16"/>
    <mergeCell ref="B19:C19"/>
    <mergeCell ref="D19:E19"/>
    <mergeCell ref="F19:G19"/>
    <mergeCell ref="B16:C16"/>
    <mergeCell ref="F13:G13"/>
    <mergeCell ref="F14:G14"/>
    <mergeCell ref="F15:G15"/>
    <mergeCell ref="A4:F4"/>
    <mergeCell ref="G4:P4"/>
    <mergeCell ref="A5:F5"/>
    <mergeCell ref="A7:F7"/>
    <mergeCell ref="N7:P7"/>
    <mergeCell ref="G8:J8"/>
    <mergeCell ref="K8:M8"/>
    <mergeCell ref="N8:P8"/>
    <mergeCell ref="A8:F8"/>
    <mergeCell ref="B17:C17"/>
    <mergeCell ref="D17:E17"/>
    <mergeCell ref="F18:G18"/>
    <mergeCell ref="A23:C23"/>
    <mergeCell ref="D23:F23"/>
    <mergeCell ref="J23:L23"/>
    <mergeCell ref="B26:C26"/>
    <mergeCell ref="D26:E26"/>
    <mergeCell ref="F26:G26"/>
    <mergeCell ref="B27:C27"/>
    <mergeCell ref="D27:E27"/>
    <mergeCell ref="F27:G27"/>
    <mergeCell ref="B25:C25"/>
    <mergeCell ref="D25:E25"/>
    <mergeCell ref="F25:G25"/>
    <mergeCell ref="K24:K25"/>
    <mergeCell ref="L24:L25"/>
    <mergeCell ref="B20:C20"/>
    <mergeCell ref="B21:C21"/>
    <mergeCell ref="D20:E20"/>
    <mergeCell ref="D21:E21"/>
    <mergeCell ref="B32:C32"/>
    <mergeCell ref="D32:E32"/>
    <mergeCell ref="F32:G32"/>
    <mergeCell ref="B33:C33"/>
    <mergeCell ref="D33:E33"/>
    <mergeCell ref="F33:G33"/>
    <mergeCell ref="M37:M38"/>
    <mergeCell ref="N37:N38"/>
    <mergeCell ref="O37:O38"/>
    <mergeCell ref="I37:I38"/>
    <mergeCell ref="B38:C38"/>
    <mergeCell ref="D38:E38"/>
    <mergeCell ref="F38:G38"/>
    <mergeCell ref="A37:A38"/>
    <mergeCell ref="B37:G37"/>
    <mergeCell ref="H37:H38"/>
    <mergeCell ref="J37:J38"/>
    <mergeCell ref="K37:K38"/>
    <mergeCell ref="L37:L38"/>
    <mergeCell ref="B44:C44"/>
    <mergeCell ref="D44:E44"/>
    <mergeCell ref="F44:G44"/>
    <mergeCell ref="B39:C39"/>
    <mergeCell ref="D39:E39"/>
    <mergeCell ref="F39:G39"/>
    <mergeCell ref="B40:C40"/>
    <mergeCell ref="D40:E40"/>
    <mergeCell ref="F40:G40"/>
    <mergeCell ref="B41:C41"/>
    <mergeCell ref="D41:E41"/>
    <mergeCell ref="F41:G41"/>
    <mergeCell ref="B42:C42"/>
    <mergeCell ref="D42:E42"/>
    <mergeCell ref="F42:G42"/>
    <mergeCell ref="B43:C43"/>
    <mergeCell ref="D43:E43"/>
    <mergeCell ref="F43:G43"/>
    <mergeCell ref="B45:C45"/>
    <mergeCell ref="D45:E45"/>
    <mergeCell ref="F45:G45"/>
    <mergeCell ref="B46:C46"/>
    <mergeCell ref="D46:E46"/>
    <mergeCell ref="F46:G46"/>
    <mergeCell ref="I47:N47"/>
    <mergeCell ref="N49:P49"/>
    <mergeCell ref="A50:A51"/>
    <mergeCell ref="B50:G50"/>
    <mergeCell ref="H50:H51"/>
    <mergeCell ref="J50:J51"/>
    <mergeCell ref="K50:K51"/>
    <mergeCell ref="L50:L51"/>
    <mergeCell ref="I50:I51"/>
    <mergeCell ref="B47:C47"/>
    <mergeCell ref="D47:E47"/>
    <mergeCell ref="F47:G47"/>
    <mergeCell ref="A48:P48"/>
    <mergeCell ref="A49:C49"/>
    <mergeCell ref="D49:F49"/>
    <mergeCell ref="J49:L49"/>
    <mergeCell ref="B52:C52"/>
    <mergeCell ref="D52:E52"/>
    <mergeCell ref="F52:G52"/>
    <mergeCell ref="B56:C56"/>
    <mergeCell ref="D56:E56"/>
    <mergeCell ref="F56:G56"/>
    <mergeCell ref="B51:C51"/>
    <mergeCell ref="D51:E51"/>
    <mergeCell ref="F51:G51"/>
    <mergeCell ref="B53:C53"/>
    <mergeCell ref="D53:E53"/>
    <mergeCell ref="F53:G53"/>
    <mergeCell ref="B54:C54"/>
    <mergeCell ref="D54:E54"/>
    <mergeCell ref="F54:G54"/>
    <mergeCell ref="B55:C55"/>
    <mergeCell ref="D55:E55"/>
    <mergeCell ref="F55:G55"/>
    <mergeCell ref="B57:C57"/>
    <mergeCell ref="D57:E57"/>
    <mergeCell ref="F57:G57"/>
    <mergeCell ref="F71:G71"/>
    <mergeCell ref="B72:C72"/>
    <mergeCell ref="D72:E72"/>
    <mergeCell ref="F72:G72"/>
    <mergeCell ref="B60:C60"/>
    <mergeCell ref="D60:E60"/>
    <mergeCell ref="F60:G60"/>
    <mergeCell ref="A61:P61"/>
    <mergeCell ref="O63:O64"/>
    <mergeCell ref="P63:P64"/>
    <mergeCell ref="A63:A64"/>
    <mergeCell ref="B58:C58"/>
    <mergeCell ref="D58:E58"/>
    <mergeCell ref="F58:G58"/>
    <mergeCell ref="I60:N60"/>
    <mergeCell ref="N62:P62"/>
    <mergeCell ref="B59:C59"/>
    <mergeCell ref="D59:E59"/>
    <mergeCell ref="F59:G59"/>
    <mergeCell ref="F65:G65"/>
    <mergeCell ref="B69:C69"/>
    <mergeCell ref="M63:M64"/>
    <mergeCell ref="N63:N64"/>
    <mergeCell ref="B64:C64"/>
    <mergeCell ref="D64:E64"/>
    <mergeCell ref="F64:G64"/>
    <mergeCell ref="B63:G63"/>
    <mergeCell ref="H63:H64"/>
    <mergeCell ref="B70:C70"/>
    <mergeCell ref="D70:E70"/>
    <mergeCell ref="F70:G70"/>
    <mergeCell ref="B65:C65"/>
    <mergeCell ref="D65:E65"/>
    <mergeCell ref="A62:C62"/>
    <mergeCell ref="D62:F62"/>
    <mergeCell ref="J62:L62"/>
    <mergeCell ref="I63:I64"/>
    <mergeCell ref="I73:N73"/>
    <mergeCell ref="I11:I12"/>
    <mergeCell ref="N10:P10"/>
    <mergeCell ref="I21:N21"/>
    <mergeCell ref="N23:P23"/>
    <mergeCell ref="I24:I25"/>
    <mergeCell ref="I34:N34"/>
    <mergeCell ref="N36:P36"/>
    <mergeCell ref="M50:M51"/>
    <mergeCell ref="N50:N51"/>
    <mergeCell ref="O50:O51"/>
    <mergeCell ref="P50:P51"/>
    <mergeCell ref="P37:P38"/>
    <mergeCell ref="M24:M25"/>
    <mergeCell ref="N24:N25"/>
    <mergeCell ref="O24:O25"/>
    <mergeCell ref="P24:P25"/>
    <mergeCell ref="J63:J64"/>
    <mergeCell ref="K63:K64"/>
    <mergeCell ref="L63:L64"/>
  </mergeCells>
  <dataValidations count="2">
    <dataValidation type="list" allowBlank="1" showInputMessage="1" showErrorMessage="1" sqref="N23 N257 N244 N231 N218 N205 N192 N179 N166 N153 N140 N127 N114 N101 N88 N75 N62 N10 N49 N36" xr:uid="{00000000-0002-0000-0B00-000000000000}">
      <formula1>$T$2:$T$13</formula1>
    </dataValidation>
    <dataValidation type="list" allowBlank="1" showInputMessage="1" showErrorMessage="1" sqref="A234:A239 A260:A265 A247:A252" xr:uid="{00000000-0002-0000-0B00-000001000000}">
      <formula1>$S$2:$S$13</formula1>
    </dataValidation>
  </dataValidations>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A24C7-0A41-4449-9151-6E5A1942016D}">
  <sheetPr codeName="Sheet26">
    <tabColor theme="3" tint="-0.499984740745262"/>
  </sheetPr>
  <dimension ref="B1:J38"/>
  <sheetViews>
    <sheetView showRowColHeaders="0" workbookViewId="0">
      <selection activeCell="E17" sqref="E17:G17"/>
    </sheetView>
  </sheetViews>
  <sheetFormatPr defaultRowHeight="15" x14ac:dyDescent="0.25"/>
  <cols>
    <col min="1" max="1" width="2.7109375" style="284" customWidth="1"/>
    <col min="2" max="2" width="3.85546875" style="284" customWidth="1"/>
    <col min="3" max="3" width="19.42578125" style="284" customWidth="1"/>
    <col min="4" max="4" width="23.7109375" style="284" customWidth="1"/>
    <col min="5" max="5" width="40.7109375" style="284" customWidth="1"/>
    <col min="6" max="8" width="12.7109375" style="284" customWidth="1"/>
    <col min="9" max="9" width="13.7109375" style="284" customWidth="1"/>
    <col min="10" max="10" width="62.7109375" style="284" customWidth="1"/>
    <col min="11" max="16384" width="9.140625" style="284"/>
  </cols>
  <sheetData>
    <row r="1" spans="2:7" ht="15.75" thickBot="1" x14ac:dyDescent="0.3"/>
    <row r="2" spans="2:7" ht="20.25" customHeight="1" thickBot="1" x14ac:dyDescent="0.3">
      <c r="B2" s="505" t="s">
        <v>1021</v>
      </c>
      <c r="C2" s="506"/>
      <c r="D2" s="506"/>
      <c r="E2" s="506"/>
      <c r="F2" s="506"/>
      <c r="G2" s="507"/>
    </row>
    <row r="3" spans="2:7" x14ac:dyDescent="0.25">
      <c r="B3" s="508" t="s">
        <v>1022</v>
      </c>
      <c r="C3" s="509"/>
      <c r="D3" s="510"/>
      <c r="E3" s="511"/>
      <c r="F3" s="511"/>
      <c r="G3" s="512"/>
    </row>
    <row r="4" spans="2:7" x14ac:dyDescent="0.25">
      <c r="B4" s="480" t="s">
        <v>1023</v>
      </c>
      <c r="C4" s="481"/>
      <c r="D4" s="482"/>
      <c r="E4" s="483"/>
      <c r="F4" s="483"/>
      <c r="G4" s="484"/>
    </row>
    <row r="5" spans="2:7" x14ac:dyDescent="0.25">
      <c r="B5" s="480" t="s">
        <v>1024</v>
      </c>
      <c r="C5" s="481"/>
      <c r="D5" s="482"/>
      <c r="E5" s="483"/>
      <c r="F5" s="483"/>
      <c r="G5" s="484"/>
    </row>
    <row r="6" spans="2:7" x14ac:dyDescent="0.25">
      <c r="B6" s="480" t="s">
        <v>1025</v>
      </c>
      <c r="C6" s="481"/>
      <c r="D6" s="482"/>
      <c r="E6" s="502"/>
      <c r="F6" s="503"/>
      <c r="G6" s="504"/>
    </row>
    <row r="7" spans="2:7" x14ac:dyDescent="0.25">
      <c r="B7" s="480" t="s">
        <v>1026</v>
      </c>
      <c r="C7" s="481"/>
      <c r="D7" s="482"/>
      <c r="E7" s="483"/>
      <c r="F7" s="483"/>
      <c r="G7" s="484"/>
    </row>
    <row r="8" spans="2:7" x14ac:dyDescent="0.25">
      <c r="B8" s="480" t="s">
        <v>1027</v>
      </c>
      <c r="C8" s="481"/>
      <c r="D8" s="482"/>
      <c r="E8" s="483"/>
      <c r="F8" s="483"/>
      <c r="G8" s="484"/>
    </row>
    <row r="9" spans="2:7" x14ac:dyDescent="0.25">
      <c r="B9" s="480" t="s">
        <v>1028</v>
      </c>
      <c r="C9" s="481"/>
      <c r="D9" s="482"/>
      <c r="E9" s="483"/>
      <c r="F9" s="483"/>
      <c r="G9" s="484"/>
    </row>
    <row r="10" spans="2:7" x14ac:dyDescent="0.25">
      <c r="B10" s="480" t="s">
        <v>1029</v>
      </c>
      <c r="C10" s="481"/>
      <c r="D10" s="482"/>
      <c r="E10" s="500"/>
      <c r="F10" s="500"/>
      <c r="G10" s="501"/>
    </row>
    <row r="11" spans="2:7" x14ac:dyDescent="0.25">
      <c r="B11" s="480" t="s">
        <v>1030</v>
      </c>
      <c r="C11" s="481"/>
      <c r="D11" s="482"/>
      <c r="E11" s="500"/>
      <c r="F11" s="500"/>
      <c r="G11" s="501"/>
    </row>
    <row r="12" spans="2:7" x14ac:dyDescent="0.25">
      <c r="B12" s="480" t="s">
        <v>1031</v>
      </c>
      <c r="C12" s="481"/>
      <c r="D12" s="482"/>
      <c r="E12" s="483"/>
      <c r="F12" s="483"/>
      <c r="G12" s="484"/>
    </row>
    <row r="13" spans="2:7" x14ac:dyDescent="0.25">
      <c r="B13" s="480" t="s">
        <v>765</v>
      </c>
      <c r="C13" s="481"/>
      <c r="D13" s="482"/>
      <c r="E13" s="285"/>
      <c r="F13" s="286" t="s">
        <v>1032</v>
      </c>
      <c r="G13" s="287" t="str">
        <f ca="1">IF(E13&lt;&gt;"",DATEDIF(E13,TODAY(),"Y")&amp;" Years","")</f>
        <v/>
      </c>
    </row>
    <row r="14" spans="2:7" ht="30" customHeight="1" x14ac:dyDescent="0.25">
      <c r="B14" s="480" t="s">
        <v>1033</v>
      </c>
      <c r="C14" s="481"/>
      <c r="D14" s="482"/>
      <c r="E14" s="498"/>
      <c r="F14" s="498"/>
      <c r="G14" s="499"/>
    </row>
    <row r="15" spans="2:7" ht="39" customHeight="1" x14ac:dyDescent="0.25">
      <c r="B15" s="495" t="s">
        <v>1034</v>
      </c>
      <c r="C15" s="496"/>
      <c r="D15" s="497"/>
      <c r="E15" s="498"/>
      <c r="F15" s="498"/>
      <c r="G15" s="499"/>
    </row>
    <row r="16" spans="2:7" x14ac:dyDescent="0.25">
      <c r="B16" s="480" t="s">
        <v>1035</v>
      </c>
      <c r="C16" s="481"/>
      <c r="D16" s="482"/>
      <c r="E16" s="483"/>
      <c r="F16" s="483"/>
      <c r="G16" s="484"/>
    </row>
    <row r="17" spans="2:10" x14ac:dyDescent="0.25">
      <c r="B17" s="480" t="s">
        <v>1036</v>
      </c>
      <c r="C17" s="481"/>
      <c r="D17" s="482"/>
      <c r="E17" s="483"/>
      <c r="F17" s="483"/>
      <c r="G17" s="484"/>
    </row>
    <row r="18" spans="2:10" x14ac:dyDescent="0.25">
      <c r="B18" s="480" t="s">
        <v>1037</v>
      </c>
      <c r="C18" s="481"/>
      <c r="D18" s="482"/>
      <c r="E18" s="483"/>
      <c r="F18" s="483"/>
      <c r="G18" s="484"/>
    </row>
    <row r="19" spans="2:10" x14ac:dyDescent="0.25">
      <c r="B19" s="480" t="s">
        <v>1038</v>
      </c>
      <c r="C19" s="481"/>
      <c r="D19" s="482"/>
      <c r="E19" s="483"/>
      <c r="F19" s="483"/>
      <c r="G19" s="484"/>
    </row>
    <row r="20" spans="2:10" x14ac:dyDescent="0.25">
      <c r="B20" s="480" t="s">
        <v>1039</v>
      </c>
      <c r="C20" s="481"/>
      <c r="D20" s="482"/>
      <c r="E20" s="485"/>
      <c r="F20" s="485"/>
      <c r="G20" s="486"/>
    </row>
    <row r="21" spans="2:10" x14ac:dyDescent="0.25">
      <c r="B21" s="480" t="s">
        <v>1040</v>
      </c>
      <c r="C21" s="481"/>
      <c r="D21" s="482"/>
      <c r="E21" s="485"/>
      <c r="F21" s="485"/>
      <c r="G21" s="486"/>
    </row>
    <row r="22" spans="2:10" x14ac:dyDescent="0.25">
      <c r="B22" s="480" t="s">
        <v>1041</v>
      </c>
      <c r="C22" s="481"/>
      <c r="D22" s="482"/>
      <c r="E22" s="487"/>
      <c r="F22" s="487"/>
      <c r="G22" s="488"/>
    </row>
    <row r="23" spans="2:10" ht="15.75" thickBot="1" x14ac:dyDescent="0.3">
      <c r="B23" s="489" t="s">
        <v>1042</v>
      </c>
      <c r="C23" s="490"/>
      <c r="D23" s="491"/>
      <c r="E23" s="492"/>
      <c r="F23" s="493"/>
      <c r="G23" s="494"/>
    </row>
    <row r="24" spans="2:10" ht="15.75" thickBot="1" x14ac:dyDescent="0.3"/>
    <row r="25" spans="2:10" ht="20.25" customHeight="1" thickBot="1" x14ac:dyDescent="0.3">
      <c r="B25" s="470" t="s">
        <v>523</v>
      </c>
      <c r="C25" s="471"/>
      <c r="D25" s="471"/>
      <c r="E25" s="472"/>
    </row>
    <row r="26" spans="2:10" x14ac:dyDescent="0.25">
      <c r="B26" s="466" t="s">
        <v>1043</v>
      </c>
      <c r="C26" s="467"/>
      <c r="D26" s="288">
        <f>COUNTIF(H32:H33,"-")</f>
        <v>0</v>
      </c>
      <c r="E26" s="289">
        <f>SUMIF(H32:H33,"-",I32:I33)</f>
        <v>0</v>
      </c>
    </row>
    <row r="27" spans="2:10" x14ac:dyDescent="0.25">
      <c r="B27" s="466" t="s">
        <v>1044</v>
      </c>
      <c r="C27" s="467"/>
      <c r="D27" s="288">
        <f>COUNTIFS(H32:H33,"&lt;&gt;-",H32:H33,"&lt;&gt;")</f>
        <v>0</v>
      </c>
      <c r="E27" s="289">
        <f>SUMIF(H32:H33,"&lt;&gt;-",I32:I33)</f>
        <v>0</v>
      </c>
    </row>
    <row r="28" spans="2:10" ht="15.75" thickBot="1" x14ac:dyDescent="0.3">
      <c r="B28" s="468" t="s">
        <v>248</v>
      </c>
      <c r="C28" s="469"/>
      <c r="D28" s="290">
        <f>SUM(D26:D27)</f>
        <v>0</v>
      </c>
      <c r="E28" s="291">
        <f>+SUM(E26:E27)</f>
        <v>0</v>
      </c>
    </row>
    <row r="29" spans="2:10" ht="15.75" thickBot="1" x14ac:dyDescent="0.3"/>
    <row r="30" spans="2:10" ht="20.25" customHeight="1" thickBot="1" x14ac:dyDescent="0.3">
      <c r="B30" s="470" t="s">
        <v>1045</v>
      </c>
      <c r="C30" s="471"/>
      <c r="D30" s="471"/>
      <c r="E30" s="471"/>
      <c r="F30" s="471"/>
      <c r="G30" s="471"/>
      <c r="H30" s="471"/>
      <c r="I30" s="471"/>
      <c r="J30" s="472"/>
    </row>
    <row r="31" spans="2:10" ht="30" x14ac:dyDescent="0.25">
      <c r="B31" s="292" t="s">
        <v>1046</v>
      </c>
      <c r="C31" s="293" t="s">
        <v>1047</v>
      </c>
      <c r="D31" s="293" t="s">
        <v>1048</v>
      </c>
      <c r="E31" s="293" t="s">
        <v>1049</v>
      </c>
      <c r="F31" s="293" t="s">
        <v>1050</v>
      </c>
      <c r="G31" s="293" t="s">
        <v>1051</v>
      </c>
      <c r="H31" s="293" t="s">
        <v>1052</v>
      </c>
      <c r="I31" s="293" t="s">
        <v>1053</v>
      </c>
      <c r="J31" s="294" t="s">
        <v>972</v>
      </c>
    </row>
    <row r="32" spans="2:10" x14ac:dyDescent="0.25">
      <c r="B32" s="295"/>
      <c r="C32" s="296"/>
      <c r="D32" s="296"/>
      <c r="E32" s="296"/>
      <c r="F32" s="297"/>
      <c r="G32" s="297"/>
      <c r="H32" s="297"/>
      <c r="I32" s="298"/>
      <c r="J32" s="299"/>
    </row>
    <row r="33" spans="2:10" ht="15.75" thickBot="1" x14ac:dyDescent="0.3">
      <c r="B33" s="300"/>
      <c r="C33" s="301"/>
      <c r="D33" s="301"/>
      <c r="E33" s="301"/>
      <c r="F33" s="302"/>
      <c r="G33" s="302"/>
      <c r="H33" s="302"/>
      <c r="I33" s="303"/>
      <c r="J33" s="304"/>
    </row>
    <row r="34" spans="2:10" ht="15.75" thickBot="1" x14ac:dyDescent="0.3">
      <c r="J34" s="305"/>
    </row>
    <row r="35" spans="2:10" ht="20.25" customHeight="1" thickBot="1" x14ac:dyDescent="0.3">
      <c r="B35" s="473" t="s">
        <v>1054</v>
      </c>
      <c r="C35" s="474"/>
      <c r="D35" s="474"/>
      <c r="E35" s="474"/>
      <c r="F35" s="474"/>
      <c r="G35" s="474"/>
      <c r="H35" s="474"/>
      <c r="I35" s="474"/>
      <c r="J35" s="475"/>
    </row>
    <row r="36" spans="2:10" s="308" customFormat="1" ht="30" x14ac:dyDescent="0.25">
      <c r="B36" s="306" t="s">
        <v>1046</v>
      </c>
      <c r="C36" s="307" t="s">
        <v>1055</v>
      </c>
      <c r="D36" s="307" t="s">
        <v>966</v>
      </c>
      <c r="E36" s="307" t="s">
        <v>1056</v>
      </c>
      <c r="F36" s="307" t="s">
        <v>1057</v>
      </c>
      <c r="G36" s="307" t="s">
        <v>1058</v>
      </c>
      <c r="H36" s="307" t="s">
        <v>1059</v>
      </c>
      <c r="I36" s="476" t="s">
        <v>1060</v>
      </c>
      <c r="J36" s="477"/>
    </row>
    <row r="37" spans="2:10" x14ac:dyDescent="0.25">
      <c r="B37" s="309">
        <v>1</v>
      </c>
      <c r="C37" s="310"/>
      <c r="D37" s="296"/>
      <c r="E37" s="296"/>
      <c r="F37" s="297"/>
      <c r="G37" s="296"/>
      <c r="H37" s="297"/>
      <c r="I37" s="478"/>
      <c r="J37" s="479"/>
    </row>
    <row r="38" spans="2:10" ht="15.75" thickBot="1" x14ac:dyDescent="0.3">
      <c r="B38" s="311"/>
      <c r="C38" s="312"/>
      <c r="D38" s="301"/>
      <c r="E38" s="301"/>
      <c r="F38" s="302"/>
      <c r="G38" s="301"/>
      <c r="H38" s="302"/>
      <c r="I38" s="464"/>
      <c r="J38" s="465"/>
    </row>
  </sheetData>
  <mergeCells count="51">
    <mergeCell ref="B5:D5"/>
    <mergeCell ref="E5:G5"/>
    <mergeCell ref="B2:G2"/>
    <mergeCell ref="B3:D3"/>
    <mergeCell ref="E3:G3"/>
    <mergeCell ref="B4:D4"/>
    <mergeCell ref="E4:G4"/>
    <mergeCell ref="B6:D6"/>
    <mergeCell ref="E6:G6"/>
    <mergeCell ref="B7:D7"/>
    <mergeCell ref="E7:G7"/>
    <mergeCell ref="B8:D8"/>
    <mergeCell ref="E8:G8"/>
    <mergeCell ref="B15:D15"/>
    <mergeCell ref="E15:G15"/>
    <mergeCell ref="B9:D9"/>
    <mergeCell ref="E9:G9"/>
    <mergeCell ref="B10:D10"/>
    <mergeCell ref="E10:G10"/>
    <mergeCell ref="B11:D11"/>
    <mergeCell ref="E11:G11"/>
    <mergeCell ref="B12:D12"/>
    <mergeCell ref="E12:G12"/>
    <mergeCell ref="B13:D13"/>
    <mergeCell ref="B14:D14"/>
    <mergeCell ref="E14:G14"/>
    <mergeCell ref="B16:D16"/>
    <mergeCell ref="E16:G16"/>
    <mergeCell ref="B17:D17"/>
    <mergeCell ref="E17:G17"/>
    <mergeCell ref="B18:D18"/>
    <mergeCell ref="E18:G18"/>
    <mergeCell ref="B26:C26"/>
    <mergeCell ref="B19:D19"/>
    <mergeCell ref="E19:G19"/>
    <mergeCell ref="B20:D20"/>
    <mergeCell ref="E20:G20"/>
    <mergeCell ref="B21:D21"/>
    <mergeCell ref="E21:G21"/>
    <mergeCell ref="B22:D22"/>
    <mergeCell ref="E22:G22"/>
    <mergeCell ref="B23:D23"/>
    <mergeCell ref="E23:G23"/>
    <mergeCell ref="B25:E25"/>
    <mergeCell ref="I38:J38"/>
    <mergeCell ref="B27:C27"/>
    <mergeCell ref="B28:C28"/>
    <mergeCell ref="B30:J30"/>
    <mergeCell ref="B35:J35"/>
    <mergeCell ref="I36:J36"/>
    <mergeCell ref="I37:J37"/>
  </mergeCells>
  <pageMargins left="0.7" right="0.7" top="0.75" bottom="0.75" header="0.3" footer="0.3"/>
  <pageSetup paperSize="9" orientation="portrait" horizontalDpi="4294967292" verticalDpi="0" copies="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rgb="FFFFC000"/>
  </sheetPr>
  <dimension ref="A1:XFC174"/>
  <sheetViews>
    <sheetView zoomScaleNormal="100" workbookViewId="0">
      <selection sqref="A1:F1"/>
    </sheetView>
  </sheetViews>
  <sheetFormatPr defaultColWidth="0" defaultRowHeight="15" customHeight="1" zeroHeight="1" x14ac:dyDescent="0.2"/>
  <cols>
    <col min="1" max="1" width="50.140625" style="18" bestFit="1" customWidth="1"/>
    <col min="2" max="3" width="19" style="18" customWidth="1"/>
    <col min="4" max="6" width="30.140625" style="18" customWidth="1"/>
    <col min="7" max="7" width="9.7109375" style="18" hidden="1"/>
    <col min="8" max="8" width="139" style="18" hidden="1"/>
    <col min="9" max="9" width="32.85546875" style="18" hidden="1"/>
    <col min="10" max="10" width="116" style="18" hidden="1"/>
    <col min="11" max="11" width="139" style="18" hidden="1"/>
    <col min="12" max="12" width="11.7109375" style="18" hidden="1"/>
    <col min="13" max="13" width="6.140625" style="18" hidden="1"/>
    <col min="14" max="14" width="7" style="18" hidden="1"/>
    <col min="15" max="15" width="18.85546875" style="18" hidden="1"/>
    <col min="16" max="16" width="15.28515625" style="18" hidden="1"/>
    <col min="17" max="16383" width="9.140625" style="18" hidden="1"/>
    <col min="16384" max="16384" width="8.140625" style="18" hidden="1"/>
  </cols>
  <sheetData>
    <row r="1" spans="1:16" ht="18" customHeight="1" x14ac:dyDescent="0.3">
      <c r="A1" s="439" t="s">
        <v>473</v>
      </c>
      <c r="B1" s="439"/>
      <c r="C1" s="439"/>
      <c r="D1" s="439"/>
      <c r="E1" s="439"/>
      <c r="F1" s="439"/>
      <c r="G1" s="19"/>
      <c r="I1" s="2" t="s">
        <v>19</v>
      </c>
      <c r="J1" s="2" t="s">
        <v>20</v>
      </c>
      <c r="K1" s="2"/>
      <c r="L1" s="2" t="s">
        <v>15</v>
      </c>
      <c r="M1" s="2" t="s">
        <v>21</v>
      </c>
      <c r="N1" s="2" t="s">
        <v>22</v>
      </c>
      <c r="O1" s="18" t="s">
        <v>1009</v>
      </c>
      <c r="P1" s="19" t="s">
        <v>257</v>
      </c>
    </row>
    <row r="2" spans="1:16" ht="15" customHeight="1" x14ac:dyDescent="0.25">
      <c r="A2" s="129" t="s">
        <v>0</v>
      </c>
      <c r="B2" s="381">
        <f>'Loan Details'!B3:E3</f>
        <v>0</v>
      </c>
      <c r="C2" s="381"/>
      <c r="D2" s="381"/>
      <c r="E2" s="381"/>
      <c r="F2" s="381"/>
      <c r="G2" s="20"/>
      <c r="H2" s="2" t="str">
        <f>I2&amp;" "&amp;J2</f>
        <v>Agriculture Products Agriculture Products</v>
      </c>
      <c r="I2" s="2" t="s">
        <v>23</v>
      </c>
      <c r="J2" s="2" t="s">
        <v>23</v>
      </c>
      <c r="K2" s="2" t="str">
        <f t="shared" ref="K2:K27" si="0">I2&amp;" "&amp;J2</f>
        <v>Agriculture Products Agriculture Products</v>
      </c>
      <c r="L2" s="2">
        <v>6.64</v>
      </c>
      <c r="M2" s="2">
        <v>3.95</v>
      </c>
      <c r="N2" s="2"/>
      <c r="O2" s="18" t="s">
        <v>1010</v>
      </c>
      <c r="P2" s="19" t="s">
        <v>264</v>
      </c>
    </row>
    <row r="3" spans="1:16" ht="15" customHeight="1" x14ac:dyDescent="0.25">
      <c r="A3" s="129" t="s">
        <v>2</v>
      </c>
      <c r="B3" s="382">
        <f>'Loan Details'!B4:E4</f>
        <v>0.18</v>
      </c>
      <c r="C3" s="382"/>
      <c r="D3" s="382"/>
      <c r="E3" s="382"/>
      <c r="F3" s="382"/>
      <c r="G3" s="20"/>
      <c r="H3" s="2" t="str">
        <f t="shared" ref="H3:H27" si="1">I3&amp;" "&amp;J3</f>
        <v>Agriculture Products Animal Products (Including animal and bird feed)</v>
      </c>
      <c r="I3" s="2" t="s">
        <v>23</v>
      </c>
      <c r="J3" s="2" t="s">
        <v>24</v>
      </c>
      <c r="K3" s="2" t="str">
        <f t="shared" si="0"/>
        <v>Agriculture Products Animal Products (Including animal and bird feed)</v>
      </c>
      <c r="L3" s="2">
        <v>5.8</v>
      </c>
      <c r="M3" s="2">
        <v>3.95</v>
      </c>
      <c r="N3" s="2"/>
      <c r="O3" s="18" t="s">
        <v>1010</v>
      </c>
      <c r="P3" s="19" t="s">
        <v>265</v>
      </c>
    </row>
    <row r="4" spans="1:16" ht="15" customHeight="1" x14ac:dyDescent="0.25">
      <c r="A4" s="129" t="s">
        <v>3</v>
      </c>
      <c r="B4" s="383">
        <f>'Loan Details'!B5:E5</f>
        <v>48</v>
      </c>
      <c r="C4" s="383"/>
      <c r="D4" s="383"/>
      <c r="E4" s="383"/>
      <c r="F4" s="383"/>
      <c r="G4" s="20"/>
      <c r="H4" s="2" t="str">
        <f t="shared" si="1"/>
        <v>Agriculture Products Edible Oils</v>
      </c>
      <c r="I4" s="2" t="s">
        <v>23</v>
      </c>
      <c r="J4" s="2" t="s">
        <v>25</v>
      </c>
      <c r="K4" s="2" t="str">
        <f t="shared" si="0"/>
        <v>Agriculture Products Edible Oils</v>
      </c>
      <c r="L4" s="2">
        <v>3.57</v>
      </c>
      <c r="M4" s="2">
        <v>3.57</v>
      </c>
      <c r="N4" s="2"/>
      <c r="O4" s="18" t="s">
        <v>1010</v>
      </c>
    </row>
    <row r="5" spans="1:16" ht="15" customHeight="1" x14ac:dyDescent="0.2">
      <c r="A5" s="129" t="s">
        <v>14</v>
      </c>
      <c r="B5" s="383">
        <f>'Loan Details'!C9</f>
        <v>0</v>
      </c>
      <c r="C5" s="383"/>
      <c r="D5" s="383"/>
      <c r="E5" s="383"/>
      <c r="F5" s="383"/>
      <c r="H5" s="2" t="str">
        <f t="shared" si="1"/>
        <v>Agriculture Products Floricultural</v>
      </c>
      <c r="I5" s="2" t="s">
        <v>23</v>
      </c>
      <c r="J5" s="2" t="s">
        <v>26</v>
      </c>
      <c r="K5" s="2" t="str">
        <f t="shared" si="0"/>
        <v>Agriculture Products Floricultural</v>
      </c>
      <c r="L5" s="2">
        <v>9.69</v>
      </c>
      <c r="M5" s="2">
        <v>3.95</v>
      </c>
      <c r="N5" s="2"/>
      <c r="O5" s="18" t="s">
        <v>1010</v>
      </c>
    </row>
    <row r="6" spans="1:16" ht="15" customHeight="1" x14ac:dyDescent="0.2">
      <c r="A6" s="129" t="s">
        <v>16</v>
      </c>
      <c r="B6" s="383">
        <f>'Loan Details'!C10</f>
        <v>0</v>
      </c>
      <c r="C6" s="383"/>
      <c r="D6" s="383"/>
      <c r="E6" s="383"/>
      <c r="F6" s="383"/>
      <c r="H6" s="2" t="str">
        <f t="shared" si="1"/>
        <v>Agriculture Products Fruit and nuts</v>
      </c>
      <c r="I6" s="2" t="s">
        <v>23</v>
      </c>
      <c r="J6" s="2" t="s">
        <v>27</v>
      </c>
      <c r="K6" s="2" t="str">
        <f t="shared" si="0"/>
        <v>Agriculture Products Fruit and nuts</v>
      </c>
      <c r="L6" s="2">
        <v>6.64</v>
      </c>
      <c r="M6" s="2">
        <v>3.95</v>
      </c>
      <c r="N6" s="2"/>
      <c r="O6" s="18" t="s">
        <v>1010</v>
      </c>
    </row>
    <row r="7" spans="1:16" ht="15" customHeight="1" x14ac:dyDescent="0.2">
      <c r="A7" s="129" t="s">
        <v>18</v>
      </c>
      <c r="B7" s="520" t="str">
        <f ca="1">IFERROR(INDIRECT(ADDRESS(MATCH(B6,K:K,0),MATCH(B5,1:1,0),,,)),"-")</f>
        <v>-</v>
      </c>
      <c r="C7" s="520"/>
      <c r="D7" s="520"/>
      <c r="E7" s="520"/>
      <c r="F7" s="520"/>
      <c r="H7" s="2" t="str">
        <f t="shared" si="1"/>
        <v>Agriculture Products Poultry &amp; Meal Products</v>
      </c>
      <c r="I7" s="2" t="s">
        <v>23</v>
      </c>
      <c r="J7" s="2" t="s">
        <v>28</v>
      </c>
      <c r="K7" s="2" t="str">
        <f t="shared" si="0"/>
        <v>Agriculture Products Poultry &amp; Meal Products</v>
      </c>
      <c r="L7" s="2">
        <v>9.42</v>
      </c>
      <c r="M7" s="2">
        <v>3.95</v>
      </c>
      <c r="N7" s="2"/>
      <c r="O7" s="18" t="s">
        <v>1010</v>
      </c>
    </row>
    <row r="8" spans="1:16" ht="15" customHeight="1" x14ac:dyDescent="0.3">
      <c r="A8" s="517" t="s">
        <v>4</v>
      </c>
      <c r="B8" s="517"/>
      <c r="C8" s="517"/>
      <c r="D8" s="517"/>
      <c r="E8" s="517"/>
      <c r="F8" s="517"/>
      <c r="H8" s="2" t="str">
        <f t="shared" si="1"/>
        <v>Agriculture Products Agri-seed</v>
      </c>
      <c r="I8" s="2" t="s">
        <v>23</v>
      </c>
      <c r="J8" s="2" t="s">
        <v>29</v>
      </c>
      <c r="K8" s="2" t="str">
        <f t="shared" si="0"/>
        <v>Agriculture Products Agri-seed</v>
      </c>
      <c r="L8" s="2">
        <v>15.98</v>
      </c>
      <c r="M8" s="2">
        <v>3.95</v>
      </c>
      <c r="N8" s="2"/>
      <c r="O8" s="18" t="s">
        <v>1010</v>
      </c>
    </row>
    <row r="9" spans="1:16" ht="15" customHeight="1" x14ac:dyDescent="0.2">
      <c r="A9" s="114" t="s">
        <v>5</v>
      </c>
      <c r="B9" s="381">
        <f>'Loan Details'!C12</f>
        <v>0</v>
      </c>
      <c r="C9" s="381"/>
      <c r="D9" s="381"/>
      <c r="E9" s="381"/>
      <c r="F9" s="381"/>
      <c r="H9" s="2" t="str">
        <f t="shared" si="1"/>
        <v>Agriculture Products Spices</v>
      </c>
      <c r="I9" s="2" t="s">
        <v>23</v>
      </c>
      <c r="J9" s="2" t="s">
        <v>30</v>
      </c>
      <c r="K9" s="2" t="str">
        <f t="shared" si="0"/>
        <v>Agriculture Products Spices</v>
      </c>
      <c r="L9" s="2">
        <v>6.64</v>
      </c>
      <c r="M9" s="2">
        <v>3.95</v>
      </c>
      <c r="N9" s="2"/>
      <c r="O9" s="18" t="s">
        <v>1010</v>
      </c>
    </row>
    <row r="10" spans="1:16" ht="15" customHeight="1" x14ac:dyDescent="0.3">
      <c r="A10" s="517" t="s">
        <v>560</v>
      </c>
      <c r="B10" s="517"/>
      <c r="C10" s="517"/>
      <c r="D10" s="517"/>
      <c r="E10" s="517"/>
      <c r="F10" s="517"/>
      <c r="H10" s="2" t="str">
        <f t="shared" si="1"/>
        <v>Agriculture Products Starches</v>
      </c>
      <c r="I10" s="2" t="s">
        <v>23</v>
      </c>
      <c r="J10" s="2" t="s">
        <v>31</v>
      </c>
      <c r="K10" s="2" t="str">
        <f t="shared" si="0"/>
        <v>Agriculture Products Starches</v>
      </c>
      <c r="L10" s="2">
        <v>8.61</v>
      </c>
      <c r="M10" s="2">
        <v>3.95</v>
      </c>
      <c r="N10" s="2"/>
      <c r="O10" s="18" t="s">
        <v>1010</v>
      </c>
    </row>
    <row r="11" spans="1:16" ht="15" customHeight="1" x14ac:dyDescent="0.2">
      <c r="A11" s="443" t="s">
        <v>234</v>
      </c>
      <c r="B11" s="518" t="s">
        <v>7</v>
      </c>
      <c r="C11" s="518"/>
      <c r="D11" s="111" t="s">
        <v>231</v>
      </c>
      <c r="E11" s="111" t="s">
        <v>232</v>
      </c>
      <c r="F11" s="111" t="s">
        <v>233</v>
      </c>
      <c r="H11" s="2" t="str">
        <f t="shared" si="1"/>
        <v>Agriculture Products Sugar</v>
      </c>
      <c r="I11" s="2" t="s">
        <v>23</v>
      </c>
      <c r="J11" s="2" t="s">
        <v>32</v>
      </c>
      <c r="K11" s="2" t="str">
        <f t="shared" si="0"/>
        <v>Agriculture Products Sugar</v>
      </c>
      <c r="L11" s="2">
        <v>9.69</v>
      </c>
      <c r="M11" s="2">
        <v>3.95</v>
      </c>
      <c r="N11" s="2"/>
      <c r="O11" s="18" t="s">
        <v>1010</v>
      </c>
    </row>
    <row r="12" spans="1:16" ht="15" customHeight="1" x14ac:dyDescent="0.2">
      <c r="A12" s="443"/>
      <c r="B12" s="519">
        <v>1</v>
      </c>
      <c r="C12" s="519"/>
      <c r="D12" s="107">
        <f>'Loan Details'!C15</f>
        <v>0</v>
      </c>
      <c r="E12" s="107">
        <f>'Loan Details'!E15</f>
        <v>0</v>
      </c>
      <c r="F12" s="260" t="str">
        <f>IFERROR(IF(((E12-D12)/D12)&lt;=20%,E12*B12,IF(((E12-D12)/D12)&lt;=50%,B12*MAX(AVERAGE(E12,D12),1.2*D12),IF(((E12-D12)/D12)&gt;100%,B12*D12*150%,B12*AVERAGE(E12,D12)))),"-")</f>
        <v>-</v>
      </c>
      <c r="H12" s="2" t="str">
        <f t="shared" si="1"/>
        <v>Agriculture Products Tea &amp; Coffee</v>
      </c>
      <c r="I12" s="2" t="s">
        <v>23</v>
      </c>
      <c r="J12" s="2" t="s">
        <v>33</v>
      </c>
      <c r="K12" s="2" t="str">
        <f t="shared" si="0"/>
        <v>Agriculture Products Tea &amp; Coffee</v>
      </c>
      <c r="L12" s="2">
        <v>12.26</v>
      </c>
      <c r="M12" s="2">
        <v>3.95</v>
      </c>
      <c r="N12" s="2"/>
      <c r="O12" s="18" t="s">
        <v>1010</v>
      </c>
    </row>
    <row r="13" spans="1:16" ht="15" customHeight="1" x14ac:dyDescent="0.3">
      <c r="A13" s="517" t="s">
        <v>255</v>
      </c>
      <c r="B13" s="517"/>
      <c r="C13" s="517"/>
      <c r="D13" s="517"/>
      <c r="E13" s="517"/>
      <c r="F13" s="517"/>
      <c r="H13" s="2" t="str">
        <f t="shared" si="1"/>
        <v>Agriculture Products Tobacco Products</v>
      </c>
      <c r="I13" s="2" t="s">
        <v>23</v>
      </c>
      <c r="J13" s="2" t="s">
        <v>34</v>
      </c>
      <c r="K13" s="2" t="str">
        <f t="shared" si="0"/>
        <v>Agriculture Products Tobacco Products</v>
      </c>
      <c r="L13" s="2">
        <v>6.09</v>
      </c>
      <c r="M13" s="2">
        <v>3.95</v>
      </c>
      <c r="N13" s="2"/>
      <c r="O13" s="18" t="s">
        <v>1010</v>
      </c>
    </row>
    <row r="14" spans="1:16" ht="15" customHeight="1" x14ac:dyDescent="0.2">
      <c r="A14" s="114" t="s">
        <v>563</v>
      </c>
      <c r="B14" s="518" t="s">
        <v>7</v>
      </c>
      <c r="C14" s="518"/>
      <c r="D14" s="111" t="s">
        <v>231</v>
      </c>
      <c r="E14" s="111" t="s">
        <v>232</v>
      </c>
      <c r="F14" s="111" t="s">
        <v>233</v>
      </c>
      <c r="H14" s="2" t="str">
        <f t="shared" si="1"/>
        <v>Agriculture Products Vegetables, roots and tubers</v>
      </c>
      <c r="I14" s="2" t="s">
        <v>23</v>
      </c>
      <c r="J14" s="2" t="s">
        <v>35</v>
      </c>
      <c r="K14" s="2" t="str">
        <f t="shared" si="0"/>
        <v>Agriculture Products Vegetables, roots and tubers</v>
      </c>
      <c r="L14" s="2">
        <v>6.64</v>
      </c>
      <c r="M14" s="2">
        <v>3.95</v>
      </c>
      <c r="N14" s="2"/>
      <c r="O14" s="18" t="s">
        <v>1011</v>
      </c>
    </row>
    <row r="15" spans="1:16" ht="15" customHeight="1" x14ac:dyDescent="0.2">
      <c r="A15" s="129" t="s">
        <v>256</v>
      </c>
      <c r="B15" s="519">
        <v>1</v>
      </c>
      <c r="C15" s="519"/>
      <c r="D15" s="107">
        <f>'Loan Details'!C18</f>
        <v>0</v>
      </c>
      <c r="E15" s="107">
        <f>'Loan Details'!E18</f>
        <v>0</v>
      </c>
      <c r="F15" s="516" t="e">
        <f>IF(((E19-D19)/D19)&lt;=20%,E19,IF(((E19-D19)/D19)&lt;=50%,MAX(AVERAGE(E19,D19),1.2*D19),AVERAGE(E19,D19)))</f>
        <v>#DIV/0!</v>
      </c>
      <c r="H15" s="2" t="str">
        <f t="shared" si="1"/>
        <v>Air-conditioners &amp; refrigerators Air-conditioners &amp; refrigerators</v>
      </c>
      <c r="I15" s="2" t="s">
        <v>36</v>
      </c>
      <c r="J15" s="2" t="s">
        <v>36</v>
      </c>
      <c r="K15" s="2" t="str">
        <f t="shared" si="0"/>
        <v>Air-conditioners &amp; refrigerators Air-conditioners &amp; refrigerators</v>
      </c>
      <c r="L15" s="2">
        <v>7.43</v>
      </c>
      <c r="M15" s="2">
        <v>7.43</v>
      </c>
      <c r="N15" s="2"/>
      <c r="O15" s="18" t="s">
        <v>1011</v>
      </c>
    </row>
    <row r="16" spans="1:16" ht="15" customHeight="1" x14ac:dyDescent="0.2">
      <c r="A16" s="129" t="s">
        <v>237</v>
      </c>
      <c r="B16" s="519">
        <v>1</v>
      </c>
      <c r="C16" s="519"/>
      <c r="D16" s="107">
        <f>'Loan Details'!C20</f>
        <v>0</v>
      </c>
      <c r="E16" s="107">
        <f>'Loan Details'!E20</f>
        <v>0</v>
      </c>
      <c r="F16" s="516"/>
      <c r="H16" s="2" t="str">
        <f t="shared" si="1"/>
        <v>Automobiles 2 &amp; 3 Wheelers</v>
      </c>
      <c r="I16" s="2" t="s">
        <v>37</v>
      </c>
      <c r="J16" s="2" t="s">
        <v>38</v>
      </c>
      <c r="K16" s="2" t="str">
        <f t="shared" si="0"/>
        <v>Automobiles 2 &amp; 3 Wheelers</v>
      </c>
      <c r="L16" s="2"/>
      <c r="M16" s="2">
        <v>5.43</v>
      </c>
      <c r="N16" s="2"/>
      <c r="O16" s="18" t="s">
        <v>927</v>
      </c>
    </row>
    <row r="17" spans="1:15" ht="15" customHeight="1" x14ac:dyDescent="0.2">
      <c r="A17" s="129" t="s">
        <v>238</v>
      </c>
      <c r="B17" s="519">
        <v>1</v>
      </c>
      <c r="C17" s="519"/>
      <c r="D17" s="107">
        <f>'Loan Details'!C21</f>
        <v>0</v>
      </c>
      <c r="E17" s="107">
        <f>'Loan Details'!E21</f>
        <v>0</v>
      </c>
      <c r="F17" s="516"/>
      <c r="H17" s="2" t="str">
        <f t="shared" si="1"/>
        <v>Automobiles Automobiles ancillaries</v>
      </c>
      <c r="I17" s="2" t="s">
        <v>37</v>
      </c>
      <c r="J17" s="2" t="s">
        <v>39</v>
      </c>
      <c r="K17" s="2" t="str">
        <f t="shared" si="0"/>
        <v>Automobiles Automobiles ancillaries</v>
      </c>
      <c r="L17" s="2">
        <v>10.17</v>
      </c>
      <c r="M17" s="2">
        <v>5.43</v>
      </c>
      <c r="N17" s="2"/>
      <c r="O17" s="18" t="s">
        <v>927</v>
      </c>
    </row>
    <row r="18" spans="1:15" ht="15" customHeight="1" x14ac:dyDescent="0.2">
      <c r="A18" s="129" t="s">
        <v>239</v>
      </c>
      <c r="B18" s="519">
        <v>1</v>
      </c>
      <c r="C18" s="519"/>
      <c r="D18" s="107">
        <f>'Loan Details'!C22</f>
        <v>0</v>
      </c>
      <c r="E18" s="107">
        <f>'Loan Details'!E22</f>
        <v>0</v>
      </c>
      <c r="F18" s="516"/>
      <c r="H18" s="2" t="str">
        <f t="shared" si="1"/>
        <v>Automobiles Cycle &amp; accessories</v>
      </c>
      <c r="I18" s="2" t="s">
        <v>37</v>
      </c>
      <c r="J18" s="2" t="s">
        <v>40</v>
      </c>
      <c r="K18" s="2" t="str">
        <f t="shared" si="0"/>
        <v>Automobiles Cycle &amp; accessories</v>
      </c>
      <c r="L18" s="2">
        <v>10.17</v>
      </c>
      <c r="M18" s="2">
        <v>5.43</v>
      </c>
      <c r="N18" s="2"/>
      <c r="O18" s="18" t="s">
        <v>927</v>
      </c>
    </row>
    <row r="19" spans="1:15" ht="15" customHeight="1" x14ac:dyDescent="0.2">
      <c r="A19" s="114" t="s">
        <v>255</v>
      </c>
      <c r="B19" s="516"/>
      <c r="C19" s="516"/>
      <c r="D19" s="126">
        <f>SUM(D15:D18)</f>
        <v>0</v>
      </c>
      <c r="E19" s="126">
        <f>SUM(E15:E18)</f>
        <v>0</v>
      </c>
      <c r="F19" s="516"/>
      <c r="H19" s="2" t="str">
        <f t="shared" si="1"/>
        <v>Automobiles Passenger &amp; commercial vehicles</v>
      </c>
      <c r="I19" s="2" t="s">
        <v>37</v>
      </c>
      <c r="J19" s="2" t="s">
        <v>41</v>
      </c>
      <c r="K19" s="2" t="str">
        <f t="shared" si="0"/>
        <v>Automobiles Passenger &amp; commercial vehicles</v>
      </c>
      <c r="L19" s="2">
        <v>2.7</v>
      </c>
      <c r="M19" s="2">
        <v>5.43</v>
      </c>
      <c r="N19" s="2"/>
      <c r="O19" s="18" t="s">
        <v>927</v>
      </c>
    </row>
    <row r="20" spans="1:15" ht="15" customHeight="1" x14ac:dyDescent="0.3">
      <c r="A20" s="517" t="s">
        <v>244</v>
      </c>
      <c r="B20" s="517"/>
      <c r="C20" s="517"/>
      <c r="D20" s="517"/>
      <c r="E20" s="517"/>
      <c r="F20" s="517"/>
      <c r="H20" s="2" t="str">
        <f t="shared" si="1"/>
        <v>Automobiles Tyres&amp; Tubes</v>
      </c>
      <c r="I20" s="2" t="s">
        <v>37</v>
      </c>
      <c r="J20" s="2" t="s">
        <v>42</v>
      </c>
      <c r="K20" s="2" t="str">
        <f t="shared" si="0"/>
        <v>Automobiles Tyres&amp; Tubes</v>
      </c>
      <c r="L20" s="2">
        <v>8.5</v>
      </c>
      <c r="M20" s="2">
        <v>5.43</v>
      </c>
      <c r="N20" s="2"/>
      <c r="O20" s="18" t="s">
        <v>927</v>
      </c>
    </row>
    <row r="21" spans="1:15" ht="15" customHeight="1" x14ac:dyDescent="0.2">
      <c r="A21" s="114" t="s">
        <v>563</v>
      </c>
      <c r="B21" s="111" t="s">
        <v>7</v>
      </c>
      <c r="C21" s="111" t="s">
        <v>8</v>
      </c>
      <c r="D21" s="111" t="s">
        <v>231</v>
      </c>
      <c r="E21" s="111" t="s">
        <v>232</v>
      </c>
      <c r="F21" s="111" t="s">
        <v>233</v>
      </c>
      <c r="H21" s="2" t="str">
        <f t="shared" si="1"/>
        <v>Professional Services Architectural services &amp; interior designing service</v>
      </c>
      <c r="I21" s="2" t="s">
        <v>43</v>
      </c>
      <c r="J21" s="2" t="s">
        <v>44</v>
      </c>
      <c r="K21" s="2" t="str">
        <f t="shared" si="0"/>
        <v>Professional Services Architectural services &amp; interior designing service</v>
      </c>
      <c r="L21" s="2"/>
      <c r="M21" s="2"/>
      <c r="N21" s="2">
        <v>12.36</v>
      </c>
      <c r="O21" s="18" t="s">
        <v>1011</v>
      </c>
    </row>
    <row r="22" spans="1:15" ht="13.5" customHeight="1" x14ac:dyDescent="0.2">
      <c r="A22" s="258" t="s">
        <v>431</v>
      </c>
      <c r="B22" s="142">
        <v>1</v>
      </c>
      <c r="C22" s="515" t="s">
        <v>241</v>
      </c>
      <c r="D22" s="107">
        <v>1</v>
      </c>
      <c r="E22" s="107">
        <v>1</v>
      </c>
      <c r="F22" s="259">
        <f>IF(C22="Monthly",AVERAGE(B22*D22*12,B22*E22*12),AVERAGE(B22*D22,B22*E22))</f>
        <v>12</v>
      </c>
      <c r="H22" s="2" t="str">
        <f t="shared" si="1"/>
        <v>Board line/ Multiline General Merchandise Stores</v>
      </c>
      <c r="I22" s="2" t="s">
        <v>45</v>
      </c>
      <c r="J22" s="2" t="s">
        <v>46</v>
      </c>
      <c r="K22" s="2" t="str">
        <f t="shared" si="0"/>
        <v>Board line/ Multiline General Merchandise Stores</v>
      </c>
      <c r="L22" s="2"/>
      <c r="M22" s="2">
        <v>5.04</v>
      </c>
      <c r="N22" s="2"/>
      <c r="O22" s="18" t="s">
        <v>1011</v>
      </c>
    </row>
    <row r="23" spans="1:15" ht="15" customHeight="1" x14ac:dyDescent="0.2">
      <c r="A23" s="129" t="s">
        <v>433</v>
      </c>
      <c r="B23" s="142">
        <v>1</v>
      </c>
      <c r="C23" s="515"/>
      <c r="D23" s="107">
        <v>1</v>
      </c>
      <c r="E23" s="107">
        <v>2</v>
      </c>
      <c r="F23" s="126">
        <f>IF(C22="Monthly",AVERAGE(B23*D23*12,B23*E23*12),AVERAGE(B23*D23,B23*E23))</f>
        <v>18</v>
      </c>
      <c r="H23" s="2" t="str">
        <f t="shared" si="1"/>
        <v>Cement Cement Products &amp; asbestos products</v>
      </c>
      <c r="I23" s="2" t="s">
        <v>47</v>
      </c>
      <c r="J23" s="2" t="s">
        <v>48</v>
      </c>
      <c r="K23" s="2" t="str">
        <f t="shared" si="0"/>
        <v>Cement Cement Products &amp; asbestos products</v>
      </c>
      <c r="L23" s="2">
        <v>10.99</v>
      </c>
      <c r="M23" s="2">
        <v>5.04</v>
      </c>
      <c r="N23" s="2"/>
      <c r="O23" s="18" t="s">
        <v>927</v>
      </c>
    </row>
    <row r="24" spans="1:15" ht="15" customHeight="1" x14ac:dyDescent="0.2">
      <c r="A24" s="129" t="s">
        <v>432</v>
      </c>
      <c r="B24" s="142">
        <v>1</v>
      </c>
      <c r="C24" s="515"/>
      <c r="D24" s="107">
        <v>10</v>
      </c>
      <c r="E24" s="107">
        <v>20</v>
      </c>
      <c r="F24" s="126">
        <f>IF(C22="Monthly",AVERAGE(B24*D24*12,B24*E24*12),AVERAGE(B24*D24,B24*E24))</f>
        <v>180</v>
      </c>
      <c r="H24" s="2" t="str">
        <f t="shared" si="1"/>
        <v>Chemicals Acids &amp; Salts</v>
      </c>
      <c r="I24" s="2" t="s">
        <v>49</v>
      </c>
      <c r="J24" s="2" t="s">
        <v>50</v>
      </c>
      <c r="K24" s="2" t="str">
        <f t="shared" si="0"/>
        <v>Chemicals Acids &amp; Salts</v>
      </c>
      <c r="L24" s="2">
        <v>9.48</v>
      </c>
      <c r="M24" s="2">
        <v>5.31</v>
      </c>
      <c r="N24" s="2"/>
      <c r="O24" s="18" t="s">
        <v>927</v>
      </c>
    </row>
    <row r="25" spans="1:15" ht="14.25" x14ac:dyDescent="0.2">
      <c r="A25" s="114" t="s">
        <v>248</v>
      </c>
      <c r="B25" s="514" t="e">
        <f>MIN(SUM(F22:F24),1.5*F15)</f>
        <v>#DIV/0!</v>
      </c>
      <c r="C25" s="514"/>
      <c r="D25" s="514"/>
      <c r="E25" s="514"/>
      <c r="F25" s="514"/>
      <c r="H25" s="2" t="str">
        <f t="shared" si="1"/>
        <v>Chemicals Chemicals including inorganic</v>
      </c>
      <c r="I25" s="2" t="s">
        <v>49</v>
      </c>
      <c r="J25" s="2" t="s">
        <v>52</v>
      </c>
      <c r="K25" s="2" t="str">
        <f t="shared" si="0"/>
        <v>Chemicals Chemicals including inorganic</v>
      </c>
      <c r="L25" s="2">
        <v>9.48</v>
      </c>
      <c r="M25" s="2">
        <v>5.31</v>
      </c>
      <c r="N25" s="2"/>
      <c r="O25" s="18" t="s">
        <v>927</v>
      </c>
    </row>
    <row r="26" spans="1:15" ht="18.75" x14ac:dyDescent="0.3">
      <c r="A26" s="517" t="s">
        <v>9</v>
      </c>
      <c r="B26" s="517"/>
      <c r="C26" s="517"/>
      <c r="D26" s="517"/>
      <c r="E26" s="517"/>
      <c r="F26" s="517"/>
      <c r="H26" s="2" t="str">
        <f t="shared" si="1"/>
        <v>Chemicals Dyes &amp; pigments</v>
      </c>
      <c r="I26" s="2" t="s">
        <v>49</v>
      </c>
      <c r="J26" s="2" t="s">
        <v>53</v>
      </c>
      <c r="K26" s="2" t="str">
        <f t="shared" si="0"/>
        <v>Chemicals Dyes &amp; pigments</v>
      </c>
      <c r="L26" s="2">
        <v>8.11</v>
      </c>
      <c r="M26" s="2">
        <v>5.31</v>
      </c>
      <c r="N26" s="2"/>
      <c r="O26" s="18" t="s">
        <v>927</v>
      </c>
    </row>
    <row r="27" spans="1:15" ht="15" customHeight="1" x14ac:dyDescent="0.2">
      <c r="A27" s="129" t="s">
        <v>245</v>
      </c>
      <c r="B27" s="514" t="e">
        <f>B25+F15</f>
        <v>#DIV/0!</v>
      </c>
      <c r="C27" s="514"/>
      <c r="D27" s="514"/>
      <c r="E27" s="514"/>
      <c r="F27" s="514"/>
      <c r="H27" s="2" t="str">
        <f t="shared" si="1"/>
        <v>Chemicals Fertilizers</v>
      </c>
      <c r="I27" s="2" t="s">
        <v>49</v>
      </c>
      <c r="J27" s="2" t="s">
        <v>54</v>
      </c>
      <c r="K27" s="2" t="str">
        <f t="shared" si="0"/>
        <v>Chemicals Fertilizers</v>
      </c>
      <c r="L27" s="2">
        <v>8.81</v>
      </c>
      <c r="M27" s="2">
        <v>5.31</v>
      </c>
      <c r="N27" s="2"/>
      <c r="O27" s="18" t="s">
        <v>927</v>
      </c>
    </row>
    <row r="28" spans="1:15" ht="15" customHeight="1" x14ac:dyDescent="0.2">
      <c r="A28" s="129" t="s">
        <v>246</v>
      </c>
      <c r="B28" s="514" t="e">
        <f>B27/12</f>
        <v>#DIV/0!</v>
      </c>
      <c r="C28" s="514"/>
      <c r="D28" s="514"/>
      <c r="E28" s="514"/>
      <c r="F28" s="514"/>
      <c r="H28" s="2" t="str">
        <f t="shared" ref="H28:H63" si="2">I28&amp;" "&amp;J28</f>
        <v>Chemicals Industrial Gases</v>
      </c>
      <c r="I28" s="2" t="s">
        <v>49</v>
      </c>
      <c r="J28" s="2" t="s">
        <v>55</v>
      </c>
      <c r="K28" s="2" t="str">
        <f t="shared" ref="K28:K61" si="3">I28&amp;" "&amp;J28</f>
        <v>Chemicals Industrial Gases</v>
      </c>
      <c r="L28" s="2">
        <v>9.48</v>
      </c>
      <c r="M28" s="2">
        <v>5.31</v>
      </c>
      <c r="N28" s="2"/>
      <c r="O28" s="18" t="s">
        <v>927</v>
      </c>
    </row>
    <row r="29" spans="1:15" ht="15" customHeight="1" x14ac:dyDescent="0.2">
      <c r="A29" s="129" t="s">
        <v>564</v>
      </c>
      <c r="B29" s="514" t="e">
        <f ca="1">(F12*(B7/100))/12</f>
        <v>#VALUE!</v>
      </c>
      <c r="C29" s="514"/>
      <c r="D29" s="514"/>
      <c r="E29" s="514"/>
      <c r="F29" s="514"/>
      <c r="H29" s="2" t="str">
        <f t="shared" si="2"/>
        <v>Chemicals Pesticides</v>
      </c>
      <c r="I29" s="2" t="s">
        <v>49</v>
      </c>
      <c r="J29" s="2" t="s">
        <v>56</v>
      </c>
      <c r="K29" s="2" t="str">
        <f t="shared" si="3"/>
        <v>Chemicals Pesticides</v>
      </c>
      <c r="L29" s="2">
        <v>7.45</v>
      </c>
      <c r="M29" s="2">
        <v>5.31</v>
      </c>
      <c r="N29" s="2"/>
      <c r="O29" s="18" t="s">
        <v>927</v>
      </c>
    </row>
    <row r="30" spans="1:15" ht="15" customHeight="1" x14ac:dyDescent="0.2">
      <c r="A30" s="129" t="s">
        <v>565</v>
      </c>
      <c r="B30" s="514">
        <f>PMT(B3/12,B4,-B2)</f>
        <v>0</v>
      </c>
      <c r="C30" s="514"/>
      <c r="D30" s="514"/>
      <c r="E30" s="514"/>
      <c r="F30" s="514"/>
      <c r="H30" s="2" t="str">
        <f t="shared" si="2"/>
        <v>Chemicals Petrochemicals including organic</v>
      </c>
      <c r="I30" s="2" t="s">
        <v>49</v>
      </c>
      <c r="J30" s="2" t="s">
        <v>57</v>
      </c>
      <c r="K30" s="2" t="str">
        <f t="shared" si="3"/>
        <v>Chemicals Petrochemicals including organic</v>
      </c>
      <c r="L30" s="2">
        <v>7.15</v>
      </c>
      <c r="M30" s="2">
        <v>5.31</v>
      </c>
      <c r="N30" s="2"/>
      <c r="O30" s="18" t="s">
        <v>927</v>
      </c>
    </row>
    <row r="31" spans="1:15" ht="15" customHeight="1" x14ac:dyDescent="0.2">
      <c r="A31" s="129" t="s">
        <v>258</v>
      </c>
      <c r="B31" s="513" t="e">
        <f>B28/(B30+B9)</f>
        <v>#DIV/0!</v>
      </c>
      <c r="C31" s="513"/>
      <c r="D31" s="513"/>
      <c r="E31" s="513"/>
      <c r="F31" s="513"/>
      <c r="H31" s="2" t="str">
        <f t="shared" si="2"/>
        <v>Chemicals Polymers</v>
      </c>
      <c r="I31" s="2" t="s">
        <v>49</v>
      </c>
      <c r="J31" s="2" t="s">
        <v>58</v>
      </c>
      <c r="K31" s="2" t="str">
        <f t="shared" si="3"/>
        <v>Chemicals Polymers</v>
      </c>
      <c r="L31" s="2">
        <v>6.29</v>
      </c>
      <c r="M31" s="2">
        <v>5.31</v>
      </c>
      <c r="N31" s="2"/>
      <c r="O31" s="18" t="s">
        <v>927</v>
      </c>
    </row>
    <row r="32" spans="1:15" ht="12.75" customHeight="1" x14ac:dyDescent="0.2">
      <c r="A32" s="129" t="s">
        <v>259</v>
      </c>
      <c r="B32" s="513" t="e">
        <f ca="1">B29/(B30+B9)</f>
        <v>#VALUE!</v>
      </c>
      <c r="C32" s="513"/>
      <c r="D32" s="513"/>
      <c r="E32" s="513"/>
      <c r="F32" s="513"/>
      <c r="H32" s="2" t="str">
        <f t="shared" si="2"/>
        <v>Chemicals Refractories</v>
      </c>
      <c r="I32" s="2" t="s">
        <v>49</v>
      </c>
      <c r="J32" s="2" t="s">
        <v>59</v>
      </c>
      <c r="K32" s="2" t="str">
        <f t="shared" si="3"/>
        <v>Chemicals Refractories</v>
      </c>
      <c r="L32" s="2">
        <v>10.11</v>
      </c>
      <c r="M32" s="2">
        <v>5.31</v>
      </c>
      <c r="N32" s="2"/>
      <c r="O32" s="18" t="s">
        <v>927</v>
      </c>
    </row>
    <row r="33" spans="8:15" ht="12.75" customHeight="1" x14ac:dyDescent="0.2">
      <c r="H33" s="2" t="str">
        <f t="shared" si="2"/>
        <v>Computers Computer – Education</v>
      </c>
      <c r="I33" s="2" t="s">
        <v>60</v>
      </c>
      <c r="J33" s="2" t="s">
        <v>61</v>
      </c>
      <c r="K33" s="2" t="str">
        <f t="shared" si="3"/>
        <v>Computers Computer – Education</v>
      </c>
      <c r="L33" s="2"/>
      <c r="M33" s="2"/>
      <c r="N33" s="2">
        <v>10.73</v>
      </c>
      <c r="O33" s="18" t="s">
        <v>1011</v>
      </c>
    </row>
    <row r="34" spans="8:15" ht="16.5" customHeight="1" x14ac:dyDescent="0.2">
      <c r="H34" s="2" t="str">
        <f t="shared" si="2"/>
        <v>Computers Computer – Software</v>
      </c>
      <c r="I34" s="2" t="s">
        <v>60</v>
      </c>
      <c r="J34" s="2" t="s">
        <v>62</v>
      </c>
      <c r="K34" s="2" t="str">
        <f t="shared" si="3"/>
        <v>Computers Computer – Software</v>
      </c>
      <c r="L34" s="2"/>
      <c r="M34" s="2"/>
      <c r="N34" s="2">
        <v>12.9</v>
      </c>
      <c r="O34" s="18" t="s">
        <v>1011</v>
      </c>
    </row>
    <row r="35" spans="8:15" ht="15" customHeight="1" x14ac:dyDescent="0.2">
      <c r="H35" s="2" t="str">
        <f t="shared" si="2"/>
        <v>Computers Computer – Electronics</v>
      </c>
      <c r="I35" s="2" t="s">
        <v>60</v>
      </c>
      <c r="J35" s="2" t="s">
        <v>63</v>
      </c>
      <c r="K35" s="2" t="str">
        <f t="shared" si="3"/>
        <v>Computers Computer – Electronics</v>
      </c>
      <c r="L35" s="2">
        <v>7.98</v>
      </c>
      <c r="M35" s="2">
        <v>7.98</v>
      </c>
      <c r="N35" s="2"/>
      <c r="O35" s="18" t="s">
        <v>1011</v>
      </c>
    </row>
    <row r="36" spans="8:15" ht="15" customHeight="1" x14ac:dyDescent="0.2">
      <c r="H36" s="2" t="str">
        <f t="shared" si="2"/>
        <v>Construction Ceramic Tiles &amp; Sanitary ware</v>
      </c>
      <c r="I36" s="2" t="s">
        <v>64</v>
      </c>
      <c r="J36" s="2" t="s">
        <v>65</v>
      </c>
      <c r="K36" s="2" t="str">
        <f t="shared" si="3"/>
        <v>Construction Ceramic Tiles &amp; Sanitary ware</v>
      </c>
      <c r="L36" s="2">
        <v>9.64</v>
      </c>
      <c r="M36" s="2">
        <v>5.04</v>
      </c>
      <c r="N36" s="2"/>
      <c r="O36" s="18" t="s">
        <v>1010</v>
      </c>
    </row>
    <row r="37" spans="8:15" ht="15" customHeight="1" x14ac:dyDescent="0.2">
      <c r="H37" s="2" t="str">
        <f t="shared" si="2"/>
        <v>Construction Construction equipment’s</v>
      </c>
      <c r="I37" s="2" t="s">
        <v>64</v>
      </c>
      <c r="J37" s="2" t="s">
        <v>68</v>
      </c>
      <c r="K37" s="2" t="str">
        <f t="shared" si="3"/>
        <v>Construction Construction equipment’s</v>
      </c>
      <c r="L37" s="2">
        <v>9.1300000000000008</v>
      </c>
      <c r="M37" s="2">
        <v>9.1300000000000008</v>
      </c>
      <c r="N37" s="2"/>
      <c r="O37" s="18" t="s">
        <v>1010</v>
      </c>
    </row>
    <row r="38" spans="8:15" ht="15" customHeight="1" x14ac:dyDescent="0.2">
      <c r="H38" s="2" t="str">
        <f t="shared" si="2"/>
        <v>Construction Construction (Industrial)</v>
      </c>
      <c r="I38" s="2" t="s">
        <v>64</v>
      </c>
      <c r="J38" s="2" t="s">
        <v>69</v>
      </c>
      <c r="K38" s="2" t="str">
        <f t="shared" si="3"/>
        <v>Construction Construction (Industrial)</v>
      </c>
      <c r="L38" s="2"/>
      <c r="M38" s="2"/>
      <c r="N38" s="2">
        <v>10.18</v>
      </c>
      <c r="O38" s="18" t="s">
        <v>1010</v>
      </c>
    </row>
    <row r="39" spans="8:15" ht="15" customHeight="1" x14ac:dyDescent="0.2">
      <c r="H39" s="2" t="str">
        <f t="shared" si="2"/>
        <v>Construction Construction (Roads)</v>
      </c>
      <c r="I39" s="2" t="s">
        <v>64</v>
      </c>
      <c r="J39" s="2" t="s">
        <v>70</v>
      </c>
      <c r="K39" s="2" t="str">
        <f t="shared" si="3"/>
        <v>Construction Construction (Roads)</v>
      </c>
      <c r="L39" s="2"/>
      <c r="M39" s="2"/>
      <c r="N39" s="2">
        <v>13.01</v>
      </c>
      <c r="O39" s="18" t="s">
        <v>1010</v>
      </c>
    </row>
    <row r="40" spans="8:15" ht="15" customHeight="1" x14ac:dyDescent="0.2">
      <c r="H40" s="2" t="str">
        <f t="shared" si="2"/>
        <v>Consumer Electronics Consumer Electronics</v>
      </c>
      <c r="I40" s="2" t="s">
        <v>71</v>
      </c>
      <c r="J40" s="2" t="s">
        <v>71</v>
      </c>
      <c r="K40" s="2" t="str">
        <f t="shared" si="3"/>
        <v>Consumer Electronics Consumer Electronics</v>
      </c>
      <c r="L40" s="2">
        <v>7.98</v>
      </c>
      <c r="M40" s="2">
        <v>7.98</v>
      </c>
      <c r="N40" s="2"/>
      <c r="O40" s="18" t="s">
        <v>1011</v>
      </c>
    </row>
    <row r="41" spans="8:15" ht="15" customHeight="1" x14ac:dyDescent="0.2">
      <c r="H41" s="2" t="str">
        <f t="shared" si="2"/>
        <v>Containers &amp; Packaging Packaging</v>
      </c>
      <c r="I41" s="2" t="s">
        <v>72</v>
      </c>
      <c r="J41" s="2" t="s">
        <v>73</v>
      </c>
      <c r="K41" s="2" t="str">
        <f t="shared" si="3"/>
        <v>Containers &amp; Packaging Packaging</v>
      </c>
      <c r="L41" s="2">
        <v>9.4499999999999993</v>
      </c>
      <c r="M41" s="2">
        <v>9.4499999999999993</v>
      </c>
      <c r="N41" s="2">
        <v>9.4499999999999993</v>
      </c>
      <c r="O41" s="18" t="s">
        <v>927</v>
      </c>
    </row>
    <row r="42" spans="8:15" ht="15" customHeight="1" x14ac:dyDescent="0.2">
      <c r="H42" s="2" t="str">
        <f t="shared" si="2"/>
        <v>Durables Hardware, Plumbing &amp; Heating Equipment</v>
      </c>
      <c r="I42" s="2" t="s">
        <v>74</v>
      </c>
      <c r="J42" s="2" t="s">
        <v>75</v>
      </c>
      <c r="K42" s="2" t="str">
        <f t="shared" si="3"/>
        <v>Durables Hardware, Plumbing &amp; Heating Equipment</v>
      </c>
      <c r="L42" s="2">
        <v>6.94</v>
      </c>
      <c r="M42" s="2">
        <v>6.94</v>
      </c>
      <c r="N42" s="2">
        <v>6.94</v>
      </c>
      <c r="O42" s="18" t="s">
        <v>1011</v>
      </c>
    </row>
    <row r="43" spans="8:15" ht="15" customHeight="1" x14ac:dyDescent="0.2">
      <c r="H43" s="2" t="str">
        <f t="shared" si="2"/>
        <v>Electronics Domestic Appliances &amp; Machinery</v>
      </c>
      <c r="I43" s="2" t="s">
        <v>76</v>
      </c>
      <c r="J43" s="2" t="s">
        <v>77</v>
      </c>
      <c r="K43" s="2" t="str">
        <f t="shared" si="3"/>
        <v>Electronics Domestic Appliances &amp; Machinery</v>
      </c>
      <c r="L43" s="2">
        <v>8.58</v>
      </c>
      <c r="M43" s="2">
        <v>8.58</v>
      </c>
      <c r="N43" s="2"/>
      <c r="O43" s="18" t="s">
        <v>1011</v>
      </c>
    </row>
    <row r="44" spans="8:15" ht="15" customHeight="1" x14ac:dyDescent="0.2">
      <c r="H44" s="2" t="str">
        <f t="shared" si="2"/>
        <v>Entertainments &amp; Leisure Hotels &amp; Restaurants</v>
      </c>
      <c r="I44" s="2" t="s">
        <v>78</v>
      </c>
      <c r="J44" s="2" t="s">
        <v>79</v>
      </c>
      <c r="K44" s="2" t="str">
        <f t="shared" si="3"/>
        <v>Entertainments &amp; Leisure Hotels &amp; Restaurants</v>
      </c>
      <c r="L44" s="2"/>
      <c r="M44" s="2"/>
      <c r="N44" s="2">
        <v>18.14</v>
      </c>
      <c r="O44" s="18" t="s">
        <v>1010</v>
      </c>
    </row>
    <row r="45" spans="8:15" ht="15" customHeight="1" x14ac:dyDescent="0.2">
      <c r="H45" s="2" t="str">
        <f t="shared" si="2"/>
        <v>Entertainments &amp; Leisure Recreation &amp; Amusement Parks</v>
      </c>
      <c r="I45" s="2" t="s">
        <v>78</v>
      </c>
      <c r="J45" s="2" t="s">
        <v>80</v>
      </c>
      <c r="K45" s="2" t="str">
        <f t="shared" si="3"/>
        <v>Entertainments &amp; Leisure Recreation &amp; Amusement Parks</v>
      </c>
      <c r="L45" s="2"/>
      <c r="M45" s="2"/>
      <c r="N45" s="2">
        <v>10.38</v>
      </c>
      <c r="O45" s="18" t="s">
        <v>1010</v>
      </c>
    </row>
    <row r="46" spans="8:15" ht="15" customHeight="1" x14ac:dyDescent="0.2">
      <c r="H46" s="2" t="str">
        <f t="shared" si="2"/>
        <v>Entertainments &amp; Leisure Travel Services</v>
      </c>
      <c r="I46" s="2" t="s">
        <v>78</v>
      </c>
      <c r="J46" s="2" t="s">
        <v>81</v>
      </c>
      <c r="K46" s="2" t="str">
        <f t="shared" si="3"/>
        <v>Entertainments &amp; Leisure Travel Services</v>
      </c>
      <c r="L46" s="2"/>
      <c r="M46" s="2"/>
      <c r="N46" s="2">
        <v>5.4</v>
      </c>
      <c r="O46" s="18" t="s">
        <v>1010</v>
      </c>
    </row>
    <row r="47" spans="8:15" ht="15" customHeight="1" x14ac:dyDescent="0.2">
      <c r="H47" s="2" t="str">
        <f t="shared" si="2"/>
        <v>FMCG FMCG</v>
      </c>
      <c r="I47" s="2" t="s">
        <v>82</v>
      </c>
      <c r="J47" s="2" t="s">
        <v>82</v>
      </c>
      <c r="K47" s="2" t="str">
        <f t="shared" si="3"/>
        <v>FMCG FMCG</v>
      </c>
      <c r="L47" s="2">
        <v>7.6</v>
      </c>
      <c r="M47" s="2">
        <v>5.04</v>
      </c>
      <c r="N47" s="2"/>
      <c r="O47" s="18" t="s">
        <v>1010</v>
      </c>
    </row>
    <row r="48" spans="8:15" ht="15" customHeight="1" x14ac:dyDescent="0.2">
      <c r="H48" s="2" t="str">
        <f t="shared" si="2"/>
        <v>Food and Beverages Beer, Wine &amp;Distilled Alcoholic Beverages</v>
      </c>
      <c r="I48" s="2" t="s">
        <v>83</v>
      </c>
      <c r="J48" s="2" t="s">
        <v>84</v>
      </c>
      <c r="K48" s="2" t="str">
        <f t="shared" si="3"/>
        <v>Food and Beverages Beer, Wine &amp;Distilled Alcoholic Beverages</v>
      </c>
      <c r="L48" s="2">
        <v>7.17</v>
      </c>
      <c r="M48" s="2">
        <v>3.95</v>
      </c>
      <c r="N48" s="2"/>
      <c r="O48" s="18" t="s">
        <v>1010</v>
      </c>
    </row>
    <row r="49" spans="8:15" ht="15" customHeight="1" x14ac:dyDescent="0.2">
      <c r="H49" s="2" t="str">
        <f t="shared" si="2"/>
        <v>Food and Beverages Processed/Packaged, foods/foods &amp; beverages products (other than poultry meat)</v>
      </c>
      <c r="I49" s="2" t="s">
        <v>83</v>
      </c>
      <c r="J49" s="2" t="s">
        <v>85</v>
      </c>
      <c r="K49" s="2" t="str">
        <f t="shared" si="3"/>
        <v>Food and Beverages Processed/Packaged, foods/foods &amp; beverages products (other than poultry meat)</v>
      </c>
      <c r="L49" s="2">
        <v>6.49</v>
      </c>
      <c r="M49" s="2">
        <v>3.95</v>
      </c>
      <c r="N49" s="2"/>
      <c r="O49" s="18" t="s">
        <v>1010</v>
      </c>
    </row>
    <row r="50" spans="8:15" ht="15" customHeight="1" x14ac:dyDescent="0.2">
      <c r="H50" s="2" t="str">
        <f t="shared" si="2"/>
        <v>Food and Beverages Soft Drinks</v>
      </c>
      <c r="I50" s="2" t="s">
        <v>83</v>
      </c>
      <c r="J50" s="2" t="s">
        <v>86</v>
      </c>
      <c r="K50" s="2" t="str">
        <f t="shared" si="3"/>
        <v>Food and Beverages Soft Drinks</v>
      </c>
      <c r="L50" s="2">
        <v>7.17</v>
      </c>
      <c r="M50" s="2">
        <v>3.95</v>
      </c>
      <c r="N50" s="2"/>
      <c r="O50" s="18" t="s">
        <v>1010</v>
      </c>
    </row>
    <row r="51" spans="8:15" ht="15" customHeight="1" x14ac:dyDescent="0.2">
      <c r="H51" s="2" t="str">
        <f t="shared" si="2"/>
        <v>Food Processing Bakery products</v>
      </c>
      <c r="I51" s="2" t="s">
        <v>87</v>
      </c>
      <c r="J51" s="2" t="s">
        <v>88</v>
      </c>
      <c r="K51" s="2" t="str">
        <f t="shared" si="3"/>
        <v>Food Processing Bakery products</v>
      </c>
      <c r="L51" s="2">
        <v>4.34</v>
      </c>
      <c r="M51" s="2">
        <v>3.95</v>
      </c>
      <c r="N51" s="2"/>
      <c r="O51" s="18" t="s">
        <v>927</v>
      </c>
    </row>
    <row r="52" spans="8:15" ht="15" customHeight="1" x14ac:dyDescent="0.2">
      <c r="H52" s="2" t="str">
        <f t="shared" si="2"/>
        <v>Food Products Dairy products</v>
      </c>
      <c r="I52" s="2" t="s">
        <v>89</v>
      </c>
      <c r="J52" s="2" t="s">
        <v>90</v>
      </c>
      <c r="K52" s="2" t="str">
        <f t="shared" si="3"/>
        <v>Food Products Dairy products</v>
      </c>
      <c r="L52" s="2">
        <v>5.33</v>
      </c>
      <c r="M52" s="2">
        <v>3.95</v>
      </c>
      <c r="N52" s="2"/>
      <c r="O52" s="18" t="s">
        <v>1011</v>
      </c>
    </row>
    <row r="53" spans="8:15" ht="15" customHeight="1" x14ac:dyDescent="0.2">
      <c r="H53" s="2" t="str">
        <f t="shared" si="2"/>
        <v>Food Products Marine foods</v>
      </c>
      <c r="I53" s="2" t="s">
        <v>89</v>
      </c>
      <c r="J53" s="2" t="s">
        <v>91</v>
      </c>
      <c r="K53" s="2" t="str">
        <f t="shared" si="3"/>
        <v>Food Products Marine foods</v>
      </c>
      <c r="L53" s="2">
        <v>9.42</v>
      </c>
      <c r="M53" s="2">
        <v>3.95</v>
      </c>
      <c r="N53" s="2"/>
      <c r="O53" s="18" t="s">
        <v>1011</v>
      </c>
    </row>
    <row r="54" spans="8:15" ht="15" customHeight="1" x14ac:dyDescent="0.2">
      <c r="H54" s="2" t="str">
        <f t="shared" si="2"/>
        <v>Food Products Milling products</v>
      </c>
      <c r="I54" s="2" t="s">
        <v>89</v>
      </c>
      <c r="J54" s="2" t="s">
        <v>92</v>
      </c>
      <c r="K54" s="2" t="str">
        <f t="shared" si="3"/>
        <v>Food Products Milling products</v>
      </c>
      <c r="L54" s="2">
        <v>3.4</v>
      </c>
      <c r="M54" s="2">
        <v>3.95</v>
      </c>
      <c r="N54" s="2"/>
      <c r="O54" s="18" t="s">
        <v>1011</v>
      </c>
    </row>
    <row r="55" spans="8:15" ht="15" customHeight="1" x14ac:dyDescent="0.2">
      <c r="H55" s="2" t="str">
        <f t="shared" si="2"/>
        <v>Food Products Rice</v>
      </c>
      <c r="I55" s="2" t="s">
        <v>89</v>
      </c>
      <c r="J55" s="2" t="s">
        <v>93</v>
      </c>
      <c r="K55" s="2" t="str">
        <f t="shared" si="3"/>
        <v>Food Products Rice</v>
      </c>
      <c r="L55" s="2">
        <v>4.8899999999999997</v>
      </c>
      <c r="M55" s="2">
        <v>3.95</v>
      </c>
      <c r="N55" s="2"/>
      <c r="O55" s="18" t="s">
        <v>1011</v>
      </c>
    </row>
    <row r="56" spans="8:15" ht="15" customHeight="1" x14ac:dyDescent="0.2">
      <c r="H56" s="2" t="str">
        <f t="shared" si="2"/>
        <v>Food Products Soya bean products</v>
      </c>
      <c r="I56" s="2" t="s">
        <v>89</v>
      </c>
      <c r="J56" s="2" t="s">
        <v>94</v>
      </c>
      <c r="K56" s="2" t="str">
        <f t="shared" si="3"/>
        <v>Food Products Soya bean products</v>
      </c>
      <c r="L56" s="2">
        <v>6.64</v>
      </c>
      <c r="M56" s="2">
        <v>3.95</v>
      </c>
      <c r="N56" s="2"/>
      <c r="O56" s="18" t="s">
        <v>1011</v>
      </c>
    </row>
    <row r="57" spans="8:15" ht="15" customHeight="1" x14ac:dyDescent="0.2">
      <c r="H57" s="2" t="str">
        <f t="shared" si="2"/>
        <v>Granite / Marbles Granite</v>
      </c>
      <c r="I57" s="2" t="s">
        <v>95</v>
      </c>
      <c r="J57" s="2" t="s">
        <v>96</v>
      </c>
      <c r="K57" s="2" t="str">
        <f t="shared" si="3"/>
        <v>Granite / Marbles Granite</v>
      </c>
      <c r="L57" s="2">
        <v>11.15</v>
      </c>
      <c r="M57" s="2">
        <v>5.8</v>
      </c>
      <c r="N57" s="2"/>
      <c r="O57" s="18" t="s">
        <v>927</v>
      </c>
    </row>
    <row r="58" spans="8:15" ht="15" customHeight="1" x14ac:dyDescent="0.2">
      <c r="H58" s="2" t="str">
        <f t="shared" si="2"/>
        <v>Hardware Equipment Office Equipment</v>
      </c>
      <c r="I58" s="2" t="s">
        <v>97</v>
      </c>
      <c r="J58" s="2" t="s">
        <v>98</v>
      </c>
      <c r="K58" s="2" t="str">
        <f t="shared" si="3"/>
        <v>Hardware Equipment Office Equipment</v>
      </c>
      <c r="L58" s="2">
        <v>7.98</v>
      </c>
      <c r="M58" s="2">
        <v>7.98</v>
      </c>
      <c r="N58" s="2"/>
      <c r="O58" s="18" t="s">
        <v>1011</v>
      </c>
    </row>
    <row r="59" spans="8:15" ht="15" customHeight="1" x14ac:dyDescent="0.2">
      <c r="H59" s="2" t="str">
        <f t="shared" si="2"/>
        <v>Healthcare Medical &amp; Health Services/Diagnostic center</v>
      </c>
      <c r="I59" s="2" t="s">
        <v>99</v>
      </c>
      <c r="J59" s="2" t="s">
        <v>100</v>
      </c>
      <c r="K59" s="2" t="str">
        <f t="shared" si="3"/>
        <v>Healthcare Medical &amp; Health Services/Diagnostic center</v>
      </c>
      <c r="L59" s="2"/>
      <c r="M59" s="2"/>
      <c r="N59" s="2">
        <v>18.5</v>
      </c>
      <c r="O59" s="18" t="s">
        <v>1011</v>
      </c>
    </row>
    <row r="60" spans="8:15" ht="15" customHeight="1" x14ac:dyDescent="0.2">
      <c r="H60" s="2" t="str">
        <f t="shared" si="2"/>
        <v>Healthcare Medical Equipment &amp; medical supplies</v>
      </c>
      <c r="I60" s="2" t="s">
        <v>99</v>
      </c>
      <c r="J60" s="2" t="s">
        <v>101</v>
      </c>
      <c r="K60" s="2" t="str">
        <f t="shared" si="3"/>
        <v>Healthcare Medical Equipment &amp; medical supplies</v>
      </c>
      <c r="L60" s="2">
        <v>8.8000000000000007</v>
      </c>
      <c r="M60" s="2">
        <v>8.8000000000000007</v>
      </c>
      <c r="N60" s="2"/>
      <c r="O60" s="18" t="s">
        <v>1011</v>
      </c>
    </row>
    <row r="61" spans="8:15" ht="15" customHeight="1" x14ac:dyDescent="0.2">
      <c r="H61" s="2" t="str">
        <f t="shared" si="2"/>
        <v>Healthcare Providers Diagnostic centers</v>
      </c>
      <c r="I61" s="2" t="s">
        <v>102</v>
      </c>
      <c r="J61" s="2" t="s">
        <v>103</v>
      </c>
      <c r="K61" s="2" t="str">
        <f t="shared" si="3"/>
        <v>Healthcare Providers Diagnostic centers</v>
      </c>
      <c r="L61" s="2"/>
      <c r="M61" s="2"/>
      <c r="N61" s="2">
        <v>18.5</v>
      </c>
      <c r="O61" s="18" t="s">
        <v>1011</v>
      </c>
    </row>
    <row r="62" spans="8:15" ht="15" customHeight="1" x14ac:dyDescent="0.2">
      <c r="H62" s="2" t="str">
        <f t="shared" si="2"/>
        <v>Healthcare Providers Drugs&amp;Pharmaceuticals</v>
      </c>
      <c r="I62" s="2" t="s">
        <v>102</v>
      </c>
      <c r="J62" s="2" t="s">
        <v>104</v>
      </c>
      <c r="K62" s="2" t="str">
        <f t="shared" ref="K62:K125" si="4">I62&amp;" "&amp;J62</f>
        <v>Healthcare Providers Drugs&amp;Pharmaceuticals</v>
      </c>
      <c r="L62" s="2">
        <v>11.15</v>
      </c>
      <c r="M62" s="2">
        <v>5.65</v>
      </c>
      <c r="N62" s="2"/>
      <c r="O62" s="18" t="s">
        <v>1011</v>
      </c>
    </row>
    <row r="63" spans="8:15" ht="15" customHeight="1" x14ac:dyDescent="0.2">
      <c r="H63" s="2" t="str">
        <f t="shared" si="2"/>
        <v>Healthcare Providers Hospitals</v>
      </c>
      <c r="I63" s="2" t="s">
        <v>102</v>
      </c>
      <c r="J63" s="2" t="s">
        <v>105</v>
      </c>
      <c r="K63" s="2" t="str">
        <f t="shared" si="4"/>
        <v>Healthcare Providers Hospitals</v>
      </c>
      <c r="L63" s="2"/>
      <c r="M63" s="2"/>
      <c r="N63" s="2">
        <v>13.41</v>
      </c>
      <c r="O63" s="18" t="s">
        <v>1011</v>
      </c>
    </row>
    <row r="64" spans="8:15" ht="15" customHeight="1" x14ac:dyDescent="0.2">
      <c r="H64" s="2" t="str">
        <f t="shared" ref="H64:H127" si="5">I64&amp;" "&amp;J64</f>
        <v>Household Products Detergents &amp; intermediates</v>
      </c>
      <c r="I64" s="2" t="s">
        <v>106</v>
      </c>
      <c r="J64" s="2" t="s">
        <v>107</v>
      </c>
      <c r="K64" s="2" t="str">
        <f t="shared" si="4"/>
        <v>Household Products Detergents &amp; intermediates</v>
      </c>
      <c r="L64" s="2">
        <v>7.6</v>
      </c>
      <c r="M64" s="2">
        <v>5.04</v>
      </c>
      <c r="N64" s="2"/>
      <c r="O64" s="18" t="s">
        <v>1011</v>
      </c>
    </row>
    <row r="65" spans="8:15" ht="15" customHeight="1" x14ac:dyDescent="0.2">
      <c r="H65" s="2" t="str">
        <f t="shared" si="5"/>
        <v>Household Products Electronics Equipment</v>
      </c>
      <c r="I65" s="2" t="s">
        <v>106</v>
      </c>
      <c r="J65" s="2" t="s">
        <v>108</v>
      </c>
      <c r="K65" s="2" t="str">
        <f t="shared" si="4"/>
        <v>Household Products Electronics Equipment</v>
      </c>
      <c r="L65" s="2">
        <v>8.58</v>
      </c>
      <c r="M65" s="2">
        <v>8.58</v>
      </c>
      <c r="N65" s="2"/>
      <c r="O65" s="18" t="s">
        <v>1011</v>
      </c>
    </row>
    <row r="66" spans="8:15" ht="15" customHeight="1" x14ac:dyDescent="0.2">
      <c r="H66" s="2" t="str">
        <f t="shared" si="5"/>
        <v>Household Products non - electrical machinery</v>
      </c>
      <c r="I66" s="2" t="s">
        <v>106</v>
      </c>
      <c r="J66" s="2" t="s">
        <v>109</v>
      </c>
      <c r="K66" s="2" t="str">
        <f t="shared" si="4"/>
        <v>Household Products non - electrical machinery</v>
      </c>
      <c r="L66" s="2"/>
      <c r="M66" s="2"/>
      <c r="N66" s="2"/>
      <c r="O66" s="18" t="s">
        <v>1011</v>
      </c>
    </row>
    <row r="67" spans="8:15" ht="15" customHeight="1" x14ac:dyDescent="0.2">
      <c r="H67" s="2" t="str">
        <f t="shared" si="5"/>
        <v>Household Products Personal Care</v>
      </c>
      <c r="I67" s="2" t="s">
        <v>106</v>
      </c>
      <c r="J67" s="2" t="s">
        <v>110</v>
      </c>
      <c r="K67" s="2" t="str">
        <f t="shared" si="4"/>
        <v>Household Products Personal Care</v>
      </c>
      <c r="L67" s="2">
        <v>7.6</v>
      </c>
      <c r="M67" s="2">
        <v>5.04</v>
      </c>
      <c r="N67" s="2"/>
      <c r="O67" s="18" t="s">
        <v>1011</v>
      </c>
    </row>
    <row r="68" spans="8:15" ht="15" customHeight="1" x14ac:dyDescent="0.2">
      <c r="H68" s="2" t="str">
        <f t="shared" si="5"/>
        <v>Industrial Equipment Abrasives &amp; Grinding</v>
      </c>
      <c r="I68" s="2" t="s">
        <v>111</v>
      </c>
      <c r="J68" s="2" t="s">
        <v>112</v>
      </c>
      <c r="K68" s="2" t="str">
        <f t="shared" si="4"/>
        <v>Industrial Equipment Abrasives &amp; Grinding</v>
      </c>
      <c r="L68" s="2">
        <v>8.2200000000000006</v>
      </c>
      <c r="M68" s="2">
        <v>8.2200000000000006</v>
      </c>
      <c r="N68" s="2"/>
      <c r="O68" s="18" t="s">
        <v>927</v>
      </c>
    </row>
    <row r="69" spans="8:15" ht="15" customHeight="1" x14ac:dyDescent="0.2">
      <c r="H69" s="2" t="str">
        <f t="shared" si="5"/>
        <v>Industrial Equipment Bearings</v>
      </c>
      <c r="I69" s="2" t="s">
        <v>111</v>
      </c>
      <c r="J69" s="2" t="s">
        <v>113</v>
      </c>
      <c r="K69" s="2" t="str">
        <f t="shared" si="4"/>
        <v>Industrial Equipment Bearings</v>
      </c>
      <c r="L69" s="2">
        <v>11.78</v>
      </c>
      <c r="M69" s="2">
        <v>11.78</v>
      </c>
      <c r="N69" s="2"/>
      <c r="O69" s="18" t="s">
        <v>927</v>
      </c>
    </row>
    <row r="70" spans="8:15" ht="15" customHeight="1" x14ac:dyDescent="0.2">
      <c r="H70" s="2" t="str">
        <f t="shared" si="5"/>
        <v>Industrial Equipment Compressors</v>
      </c>
      <c r="I70" s="2" t="s">
        <v>111</v>
      </c>
      <c r="J70" s="2" t="s">
        <v>114</v>
      </c>
      <c r="K70" s="2" t="str">
        <f t="shared" si="4"/>
        <v>Industrial Equipment Compressors</v>
      </c>
      <c r="L70" s="2">
        <v>11.94</v>
      </c>
      <c r="M70" s="2">
        <v>11.94</v>
      </c>
      <c r="N70" s="2"/>
      <c r="O70" s="18" t="s">
        <v>927</v>
      </c>
    </row>
    <row r="71" spans="8:15" ht="15" customHeight="1" x14ac:dyDescent="0.2">
      <c r="H71" s="2" t="str">
        <f t="shared" si="5"/>
        <v>Industrial Equipment Electrical Equipment’s/Railway equipment</v>
      </c>
      <c r="I71" s="2" t="s">
        <v>111</v>
      </c>
      <c r="J71" s="2" t="s">
        <v>115</v>
      </c>
      <c r="K71" s="2" t="str">
        <f t="shared" si="4"/>
        <v>Industrial Equipment Electrical Equipment’s/Railway equipment</v>
      </c>
      <c r="L71" s="2">
        <v>10.36</v>
      </c>
      <c r="M71" s="2">
        <v>5.1100000000000003</v>
      </c>
      <c r="N71" s="2"/>
      <c r="O71" s="18" t="s">
        <v>927</v>
      </c>
    </row>
    <row r="72" spans="8:15" ht="15" customHeight="1" x14ac:dyDescent="0.2">
      <c r="H72" s="2" t="str">
        <f t="shared" si="5"/>
        <v>Industrial Equipment Welding electrodes / sticks / wires / fluxes welding related only</v>
      </c>
      <c r="I72" s="2" t="s">
        <v>111</v>
      </c>
      <c r="J72" s="2" t="s">
        <v>116</v>
      </c>
      <c r="K72" s="2" t="str">
        <f t="shared" si="4"/>
        <v>Industrial Equipment Welding electrodes / sticks / wires / fluxes welding related only</v>
      </c>
      <c r="L72" s="2">
        <v>10.62</v>
      </c>
      <c r="M72" s="2">
        <v>10.62</v>
      </c>
      <c r="N72" s="2"/>
      <c r="O72" s="18" t="s">
        <v>927</v>
      </c>
    </row>
    <row r="73" spans="8:15" ht="15" customHeight="1" x14ac:dyDescent="0.2">
      <c r="H73" s="2" t="str">
        <f t="shared" si="5"/>
        <v>Industrial Equipment Engines</v>
      </c>
      <c r="I73" s="2" t="s">
        <v>111</v>
      </c>
      <c r="J73" s="2" t="s">
        <v>117</v>
      </c>
      <c r="K73" s="2" t="str">
        <f t="shared" si="4"/>
        <v>Industrial Equipment Engines</v>
      </c>
      <c r="L73" s="2">
        <v>8.2799999999999994</v>
      </c>
      <c r="M73" s="2">
        <v>8.2799999999999994</v>
      </c>
      <c r="N73" s="2"/>
      <c r="O73" s="18" t="s">
        <v>927</v>
      </c>
    </row>
    <row r="74" spans="8:15" ht="15" customHeight="1" x14ac:dyDescent="0.2">
      <c r="H74" s="2" t="str">
        <f t="shared" si="5"/>
        <v>Industrial Equipment Fasteners</v>
      </c>
      <c r="I74" s="2" t="s">
        <v>111</v>
      </c>
      <c r="J74" s="2" t="s">
        <v>118</v>
      </c>
      <c r="K74" s="2" t="str">
        <f t="shared" si="4"/>
        <v>Industrial Equipment Fasteners</v>
      </c>
      <c r="L74" s="2">
        <v>11.57</v>
      </c>
      <c r="M74" s="2">
        <v>11.57</v>
      </c>
      <c r="N74" s="2"/>
      <c r="O74" s="18" t="s">
        <v>927</v>
      </c>
    </row>
    <row r="75" spans="8:15" ht="15" customHeight="1" x14ac:dyDescent="0.2">
      <c r="H75" s="2" t="str">
        <f t="shared" si="5"/>
        <v>Industrial Equipment Industrial furnaces</v>
      </c>
      <c r="I75" s="2" t="s">
        <v>111</v>
      </c>
      <c r="J75" s="2" t="s">
        <v>119</v>
      </c>
      <c r="K75" s="2" t="str">
        <f t="shared" si="4"/>
        <v>Industrial Equipment Industrial furnaces</v>
      </c>
      <c r="L75" s="2">
        <v>2.12</v>
      </c>
      <c r="M75" s="2">
        <v>2.12</v>
      </c>
      <c r="N75" s="2"/>
      <c r="O75" s="18" t="s">
        <v>927</v>
      </c>
    </row>
    <row r="76" spans="8:15" ht="15" customHeight="1" x14ac:dyDescent="0.2">
      <c r="H76" s="2" t="str">
        <f t="shared" si="5"/>
        <v>Industrial Equipment Industrial machinery (All Types)</v>
      </c>
      <c r="I76" s="2" t="s">
        <v>111</v>
      </c>
      <c r="J76" s="2" t="s">
        <v>120</v>
      </c>
      <c r="K76" s="2" t="str">
        <f t="shared" si="4"/>
        <v>Industrial Equipment Industrial machinery (All Types)</v>
      </c>
      <c r="L76" s="2">
        <v>10.36</v>
      </c>
      <c r="M76" s="2">
        <v>5.1100000000000003</v>
      </c>
      <c r="N76" s="2"/>
      <c r="O76" s="18" t="s">
        <v>927</v>
      </c>
    </row>
    <row r="77" spans="8:15" ht="15" customHeight="1" x14ac:dyDescent="0.2">
      <c r="H77" s="2" t="str">
        <f t="shared" si="5"/>
        <v>Industrial Equipment Machine Tools</v>
      </c>
      <c r="I77" s="2" t="s">
        <v>111</v>
      </c>
      <c r="J77" s="2" t="s">
        <v>121</v>
      </c>
      <c r="K77" s="2" t="str">
        <f t="shared" si="4"/>
        <v>Industrial Equipment Machine Tools</v>
      </c>
      <c r="L77" s="2">
        <v>9.2100000000000009</v>
      </c>
      <c r="M77" s="2">
        <v>9.2100000000000009</v>
      </c>
      <c r="N77" s="2"/>
      <c r="O77" s="18" t="s">
        <v>927</v>
      </c>
    </row>
    <row r="78" spans="8:15" ht="15" customHeight="1" x14ac:dyDescent="0.2">
      <c r="H78" s="2" t="str">
        <f t="shared" si="5"/>
        <v>Industrial Equipment Motors &amp; generators</v>
      </c>
      <c r="I78" s="2" t="s">
        <v>111</v>
      </c>
      <c r="J78" s="2" t="s">
        <v>122</v>
      </c>
      <c r="K78" s="2" t="str">
        <f t="shared" si="4"/>
        <v>Industrial Equipment Motors &amp; generators</v>
      </c>
      <c r="L78" s="2">
        <v>10.36</v>
      </c>
      <c r="M78" s="2">
        <v>5.1100000000000003</v>
      </c>
      <c r="N78" s="2"/>
      <c r="O78" s="18" t="s">
        <v>927</v>
      </c>
    </row>
    <row r="79" spans="8:15" ht="15" customHeight="1" x14ac:dyDescent="0.2">
      <c r="H79" s="2" t="str">
        <f t="shared" si="5"/>
        <v>Industrial Equipment Power transmission line services</v>
      </c>
      <c r="I79" s="2" t="s">
        <v>111</v>
      </c>
      <c r="J79" s="2" t="s">
        <v>123</v>
      </c>
      <c r="K79" s="2" t="str">
        <f t="shared" si="4"/>
        <v>Industrial Equipment Power transmission line services</v>
      </c>
      <c r="L79" s="2"/>
      <c r="M79" s="2"/>
      <c r="N79" s="2">
        <v>12.91</v>
      </c>
      <c r="O79" s="18" t="s">
        <v>927</v>
      </c>
    </row>
    <row r="80" spans="8:15" ht="15" customHeight="1" x14ac:dyDescent="0.2">
      <c r="H80" s="2" t="str">
        <f t="shared" si="5"/>
        <v>Industrial Equipment Pumps</v>
      </c>
      <c r="I80" s="2" t="s">
        <v>111</v>
      </c>
      <c r="J80" s="2" t="s">
        <v>124</v>
      </c>
      <c r="K80" s="2" t="str">
        <f t="shared" si="4"/>
        <v>Industrial Equipment Pumps</v>
      </c>
      <c r="L80" s="2">
        <v>12.81</v>
      </c>
      <c r="M80" s="2">
        <v>12.81</v>
      </c>
      <c r="N80" s="2"/>
      <c r="O80" s="18" t="s">
        <v>927</v>
      </c>
    </row>
    <row r="81" spans="8:15" ht="15" customHeight="1" x14ac:dyDescent="0.2">
      <c r="H81" s="2" t="str">
        <f t="shared" si="5"/>
        <v>Industrial Equipment Storage batteries</v>
      </c>
      <c r="I81" s="2" t="s">
        <v>111</v>
      </c>
      <c r="J81" s="2" t="s">
        <v>125</v>
      </c>
      <c r="K81" s="2" t="str">
        <f t="shared" si="4"/>
        <v>Industrial Equipment Storage batteries</v>
      </c>
      <c r="L81" s="2">
        <v>7.75</v>
      </c>
      <c r="M81" s="2">
        <v>7.75</v>
      </c>
      <c r="N81" s="2"/>
      <c r="O81" s="18" t="s">
        <v>927</v>
      </c>
    </row>
    <row r="82" spans="8:15" ht="15" customHeight="1" x14ac:dyDescent="0.2">
      <c r="H82" s="2" t="str">
        <f t="shared" si="5"/>
        <v>Industrial Equipment Structure’s</v>
      </c>
      <c r="I82" s="2" t="s">
        <v>111</v>
      </c>
      <c r="J82" s="2" t="s">
        <v>126</v>
      </c>
      <c r="K82" s="2" t="str">
        <f t="shared" si="4"/>
        <v>Industrial Equipment Structure’s</v>
      </c>
      <c r="L82" s="2">
        <v>6.6</v>
      </c>
      <c r="M82" s="2">
        <v>6.6</v>
      </c>
      <c r="N82" s="2"/>
      <c r="O82" s="18" t="s">
        <v>927</v>
      </c>
    </row>
    <row r="83" spans="8:15" ht="15" customHeight="1" x14ac:dyDescent="0.2">
      <c r="H83" s="2" t="str">
        <f t="shared" si="5"/>
        <v>Industrial Equipment Switching apparatus</v>
      </c>
      <c r="I83" s="2" t="s">
        <v>111</v>
      </c>
      <c r="J83" s="2" t="s">
        <v>127</v>
      </c>
      <c r="K83" s="2" t="str">
        <f t="shared" si="4"/>
        <v>Industrial Equipment Switching apparatus</v>
      </c>
      <c r="L83" s="2">
        <v>9.91</v>
      </c>
      <c r="M83" s="2">
        <v>9.91</v>
      </c>
      <c r="N83" s="2"/>
      <c r="O83" s="18" t="s">
        <v>927</v>
      </c>
    </row>
    <row r="84" spans="8:15" ht="15" customHeight="1" x14ac:dyDescent="0.2">
      <c r="H84" s="2" t="str">
        <f t="shared" si="5"/>
        <v>Industrial Equipment Transformers</v>
      </c>
      <c r="I84" s="2" t="s">
        <v>111</v>
      </c>
      <c r="J84" s="2" t="s">
        <v>128</v>
      </c>
      <c r="K84" s="2" t="str">
        <f t="shared" si="4"/>
        <v>Industrial Equipment Transformers</v>
      </c>
      <c r="L84" s="2">
        <v>7.13</v>
      </c>
      <c r="M84" s="2">
        <v>7.13</v>
      </c>
      <c r="N84" s="2"/>
      <c r="O84" s="18" t="s">
        <v>927</v>
      </c>
    </row>
    <row r="85" spans="8:15" ht="15" customHeight="1" x14ac:dyDescent="0.2">
      <c r="H85" s="2" t="str">
        <f t="shared" si="5"/>
        <v>Jewelry Gems &amp;Jewelry</v>
      </c>
      <c r="I85" s="2" t="s">
        <v>129</v>
      </c>
      <c r="J85" s="2" t="s">
        <v>130</v>
      </c>
      <c r="K85" s="2" t="str">
        <f t="shared" si="4"/>
        <v>Jewelry Gems &amp;Jewelry</v>
      </c>
      <c r="L85" s="2">
        <v>6.61</v>
      </c>
      <c r="M85" s="2">
        <v>6.61</v>
      </c>
      <c r="N85" s="2"/>
      <c r="O85" s="18" t="s">
        <v>1010</v>
      </c>
    </row>
    <row r="86" spans="8:15" ht="15" customHeight="1" x14ac:dyDescent="0.2">
      <c r="H86" s="2" t="str">
        <f t="shared" si="5"/>
        <v>Media Advertising</v>
      </c>
      <c r="I86" s="2" t="s">
        <v>131</v>
      </c>
      <c r="J86" s="2" t="s">
        <v>132</v>
      </c>
      <c r="K86" s="2" t="str">
        <f t="shared" si="4"/>
        <v>Media Advertising</v>
      </c>
      <c r="L86" s="2"/>
      <c r="M86" s="2"/>
      <c r="N86" s="2">
        <v>12.47</v>
      </c>
      <c r="O86" s="18" t="s">
        <v>1010</v>
      </c>
    </row>
    <row r="87" spans="8:15" ht="15" customHeight="1" x14ac:dyDescent="0.2">
      <c r="H87" s="2" t="str">
        <f t="shared" si="5"/>
        <v>Media Animation Content Provider</v>
      </c>
      <c r="I87" s="2" t="s">
        <v>131</v>
      </c>
      <c r="J87" s="2" t="s">
        <v>133</v>
      </c>
      <c r="K87" s="2" t="str">
        <f t="shared" si="4"/>
        <v>Media Animation Content Provider</v>
      </c>
      <c r="L87" s="2"/>
      <c r="M87" s="2"/>
      <c r="N87" s="2">
        <v>12.9</v>
      </c>
      <c r="O87" s="18" t="s">
        <v>1010</v>
      </c>
    </row>
    <row r="88" spans="8:15" ht="15" customHeight="1" x14ac:dyDescent="0.2">
      <c r="H88" s="2" t="str">
        <f t="shared" si="5"/>
        <v>Media Cable and other pay television services</v>
      </c>
      <c r="I88" s="2" t="s">
        <v>131</v>
      </c>
      <c r="J88" s="2" t="s">
        <v>134</v>
      </c>
      <c r="K88" s="2" t="str">
        <f t="shared" si="4"/>
        <v>Media Cable and other pay television services</v>
      </c>
      <c r="L88" s="2"/>
      <c r="M88" s="2"/>
      <c r="N88" s="2">
        <v>9.06</v>
      </c>
      <c r="O88" s="18" t="s">
        <v>1010</v>
      </c>
    </row>
    <row r="89" spans="8:15" ht="15" customHeight="1" x14ac:dyDescent="0.2">
      <c r="H89" s="2" t="str">
        <f t="shared" si="5"/>
        <v>Media Printing</v>
      </c>
      <c r="I89" s="2" t="s">
        <v>131</v>
      </c>
      <c r="J89" s="2" t="s">
        <v>135</v>
      </c>
      <c r="K89" s="2" t="str">
        <f t="shared" si="4"/>
        <v>Media Printing</v>
      </c>
      <c r="L89" s="2"/>
      <c r="M89" s="2"/>
      <c r="N89" s="2">
        <v>11.95</v>
      </c>
      <c r="O89" s="18" t="s">
        <v>1010</v>
      </c>
    </row>
    <row r="90" spans="8:15" ht="15" customHeight="1" x14ac:dyDescent="0.2">
      <c r="H90" s="2" t="str">
        <f t="shared" si="5"/>
        <v>Media Publishing</v>
      </c>
      <c r="I90" s="2" t="s">
        <v>131</v>
      </c>
      <c r="J90" s="2" t="s">
        <v>136</v>
      </c>
      <c r="K90" s="2" t="str">
        <f t="shared" si="4"/>
        <v>Media Publishing</v>
      </c>
      <c r="L90" s="2"/>
      <c r="M90" s="2"/>
      <c r="N90" s="2">
        <v>11.95</v>
      </c>
      <c r="O90" s="18" t="s">
        <v>1010</v>
      </c>
    </row>
    <row r="91" spans="8:15" ht="15" customHeight="1" x14ac:dyDescent="0.2">
      <c r="H91" s="2" t="str">
        <f t="shared" si="5"/>
        <v>Metals Aluminum&amp;Aluminum Products (Manufacturer)</v>
      </c>
      <c r="I91" s="2" t="s">
        <v>137</v>
      </c>
      <c r="J91" s="2" t="s">
        <v>138</v>
      </c>
      <c r="K91" s="2" t="str">
        <f t="shared" si="4"/>
        <v>Metals Aluminum&amp;Aluminum Products (Manufacturer)</v>
      </c>
      <c r="L91" s="2">
        <v>7.6</v>
      </c>
      <c r="M91" s="2">
        <v>3</v>
      </c>
      <c r="N91" s="2"/>
      <c r="O91" s="18" t="s">
        <v>1010</v>
      </c>
    </row>
    <row r="92" spans="8:15" ht="15" customHeight="1" x14ac:dyDescent="0.2">
      <c r="H92" s="2" t="str">
        <f t="shared" si="5"/>
        <v>Metals Castings &amp; forgings</v>
      </c>
      <c r="I92" s="2" t="s">
        <v>137</v>
      </c>
      <c r="J92" s="2" t="s">
        <v>139</v>
      </c>
      <c r="K92" s="2" t="str">
        <f t="shared" si="4"/>
        <v>Metals Castings &amp; forgings</v>
      </c>
      <c r="L92" s="2">
        <v>10.64</v>
      </c>
      <c r="M92" s="2">
        <v>3</v>
      </c>
      <c r="N92" s="2"/>
      <c r="O92" s="18" t="s">
        <v>1010</v>
      </c>
    </row>
    <row r="93" spans="8:15" ht="15" customHeight="1" x14ac:dyDescent="0.2">
      <c r="H93" s="2" t="str">
        <f t="shared" si="5"/>
        <v>Metals Copper &amp; copper products (other than wire)</v>
      </c>
      <c r="I93" s="2" t="s">
        <v>137</v>
      </c>
      <c r="J93" s="2" t="s">
        <v>140</v>
      </c>
      <c r="K93" s="2" t="str">
        <f t="shared" si="4"/>
        <v>Metals Copper &amp; copper products (other than wire)</v>
      </c>
      <c r="L93" s="2">
        <v>7.13</v>
      </c>
      <c r="M93" s="2">
        <v>3</v>
      </c>
      <c r="N93" s="2"/>
      <c r="O93" s="18" t="s">
        <v>1010</v>
      </c>
    </row>
    <row r="94" spans="8:15" ht="15" customHeight="1" x14ac:dyDescent="0.2">
      <c r="H94" s="2" t="str">
        <f t="shared" si="5"/>
        <v>Metals Ferro alloys, ferrous metals &amp; Pig iron</v>
      </c>
      <c r="I94" s="2" t="s">
        <v>137</v>
      </c>
      <c r="J94" s="2" t="s">
        <v>141</v>
      </c>
      <c r="K94" s="2" t="str">
        <f t="shared" si="4"/>
        <v>Metals Ferro alloys, ferrous metals &amp; Pig iron</v>
      </c>
      <c r="L94" s="2">
        <v>7.51</v>
      </c>
      <c r="M94" s="2">
        <v>3</v>
      </c>
      <c r="N94" s="2"/>
      <c r="O94" s="18" t="s">
        <v>1010</v>
      </c>
    </row>
    <row r="95" spans="8:15" ht="15" customHeight="1" x14ac:dyDescent="0.2">
      <c r="H95" s="2" t="str">
        <f t="shared" si="5"/>
        <v>Metals Other non-metallic mineral products</v>
      </c>
      <c r="I95" s="2" t="s">
        <v>137</v>
      </c>
      <c r="J95" s="2" t="s">
        <v>142</v>
      </c>
      <c r="K95" s="2" t="str">
        <f t="shared" si="4"/>
        <v>Metals Other non-metallic mineral products</v>
      </c>
      <c r="L95" s="2">
        <v>7.57</v>
      </c>
      <c r="M95" s="2">
        <v>3</v>
      </c>
      <c r="N95" s="2"/>
      <c r="O95" s="18" t="s">
        <v>1010</v>
      </c>
    </row>
    <row r="96" spans="8:15" ht="15" customHeight="1" x14ac:dyDescent="0.2">
      <c r="H96" s="2" t="str">
        <f t="shared" si="5"/>
        <v>Metals Metal Products (other than Steel, Aluminum and Copper) finished metal product only</v>
      </c>
      <c r="I96" s="2" t="s">
        <v>137</v>
      </c>
      <c r="J96" s="2" t="s">
        <v>143</v>
      </c>
      <c r="K96" s="2" t="str">
        <f t="shared" si="4"/>
        <v>Metals Metal Products (other than Steel, Aluminum and Copper) finished metal product only</v>
      </c>
      <c r="L96" s="2">
        <v>9.17</v>
      </c>
      <c r="M96" s="2">
        <v>3</v>
      </c>
      <c r="N96" s="2"/>
      <c r="O96" s="18" t="s">
        <v>927</v>
      </c>
    </row>
    <row r="97" spans="8:15" ht="15" customHeight="1" x14ac:dyDescent="0.2">
      <c r="H97" s="2" t="str">
        <f t="shared" si="5"/>
        <v>Metals Metallic ores</v>
      </c>
      <c r="I97" s="2" t="s">
        <v>137</v>
      </c>
      <c r="J97" s="2" t="s">
        <v>144</v>
      </c>
      <c r="K97" s="2" t="str">
        <f t="shared" si="4"/>
        <v>Metals Metallic ores</v>
      </c>
      <c r="L97" s="2">
        <v>9.25</v>
      </c>
      <c r="M97" s="2">
        <v>3</v>
      </c>
      <c r="N97" s="2"/>
      <c r="O97" s="18" t="s">
        <v>1010</v>
      </c>
    </row>
    <row r="98" spans="8:15" ht="15" customHeight="1" x14ac:dyDescent="0.2">
      <c r="H98" s="2" t="str">
        <f t="shared" si="5"/>
        <v>Metals Other non-ferrous metals/Other non-metallic</v>
      </c>
      <c r="I98" s="2" t="s">
        <v>137</v>
      </c>
      <c r="J98" s="2" t="s">
        <v>145</v>
      </c>
      <c r="K98" s="2" t="str">
        <f t="shared" si="4"/>
        <v>Metals Other non-ferrous metals/Other non-metallic</v>
      </c>
      <c r="L98" s="2"/>
      <c r="M98" s="2">
        <v>3</v>
      </c>
      <c r="N98" s="2"/>
      <c r="O98" s="18" t="s">
        <v>1010</v>
      </c>
    </row>
    <row r="99" spans="8:15" ht="15" customHeight="1" x14ac:dyDescent="0.2">
      <c r="H99" s="2" t="str">
        <f t="shared" si="5"/>
        <v>Metals Rolled coils and rolled products</v>
      </c>
      <c r="I99" s="2" t="s">
        <v>137</v>
      </c>
      <c r="J99" s="2" t="s">
        <v>146</v>
      </c>
      <c r="K99" s="2" t="str">
        <f t="shared" si="4"/>
        <v>Metals Rolled coils and rolled products</v>
      </c>
      <c r="L99" s="2">
        <v>6.67</v>
      </c>
      <c r="M99" s="2">
        <v>3</v>
      </c>
      <c r="N99" s="2"/>
      <c r="O99" s="18" t="s">
        <v>1010</v>
      </c>
    </row>
    <row r="100" spans="8:15" ht="15" customHeight="1" x14ac:dyDescent="0.2">
      <c r="H100" s="2" t="str">
        <f t="shared" si="5"/>
        <v>Metals Tubes and pipes</v>
      </c>
      <c r="I100" s="2" t="s">
        <v>137</v>
      </c>
      <c r="J100" s="2" t="s">
        <v>147</v>
      </c>
      <c r="K100" s="2" t="str">
        <f t="shared" si="4"/>
        <v>Metals Tubes and pipes</v>
      </c>
      <c r="L100" s="2">
        <v>6.67</v>
      </c>
      <c r="M100" s="2">
        <v>3</v>
      </c>
      <c r="N100" s="2"/>
      <c r="O100" s="18" t="s">
        <v>927</v>
      </c>
    </row>
    <row r="101" spans="8:15" ht="15" customHeight="1" x14ac:dyDescent="0.2">
      <c r="H101" s="2" t="str">
        <f t="shared" si="5"/>
        <v>Metals Wires and cables</v>
      </c>
      <c r="I101" s="2" t="s">
        <v>137</v>
      </c>
      <c r="J101" s="2" t="s">
        <v>148</v>
      </c>
      <c r="K101" s="2" t="str">
        <f t="shared" si="4"/>
        <v>Metals Wires and cables</v>
      </c>
      <c r="L101" s="2">
        <v>5</v>
      </c>
      <c r="M101" s="2">
        <v>3</v>
      </c>
      <c r="N101" s="2"/>
      <c r="O101" s="18" t="s">
        <v>1010</v>
      </c>
    </row>
    <row r="102" spans="8:15" ht="15" customHeight="1" x14ac:dyDescent="0.2">
      <c r="H102" s="2" t="str">
        <f t="shared" si="5"/>
        <v>Mining Coal and Lignite</v>
      </c>
      <c r="I102" s="2" t="s">
        <v>149</v>
      </c>
      <c r="J102" s="2" t="s">
        <v>150</v>
      </c>
      <c r="K102" s="2" t="str">
        <f t="shared" si="4"/>
        <v>Mining Coal and Lignite</v>
      </c>
      <c r="L102" s="2">
        <v>8.06</v>
      </c>
      <c r="M102" s="2">
        <v>3.84</v>
      </c>
      <c r="N102" s="2"/>
      <c r="O102" s="18" t="s">
        <v>1010</v>
      </c>
    </row>
    <row r="103" spans="8:15" ht="15" customHeight="1" x14ac:dyDescent="0.2">
      <c r="H103" s="2" t="str">
        <f t="shared" si="5"/>
        <v>Mining Minerals</v>
      </c>
      <c r="I103" s="2" t="s">
        <v>149</v>
      </c>
      <c r="J103" s="2" t="s">
        <v>151</v>
      </c>
      <c r="K103" s="2" t="str">
        <f t="shared" si="4"/>
        <v>Mining Minerals</v>
      </c>
      <c r="L103" s="2">
        <v>11.25</v>
      </c>
      <c r="M103" s="2">
        <v>3.84</v>
      </c>
      <c r="N103" s="2"/>
      <c r="O103" s="18" t="s">
        <v>1010</v>
      </c>
    </row>
    <row r="104" spans="8:15" ht="15" customHeight="1" x14ac:dyDescent="0.2">
      <c r="H104" s="2" t="str">
        <f t="shared" si="5"/>
        <v>Mining Minerals &amp; energy Sources</v>
      </c>
      <c r="I104" s="2" t="s">
        <v>149</v>
      </c>
      <c r="J104" s="2" t="s">
        <v>152</v>
      </c>
      <c r="K104" s="2" t="str">
        <f t="shared" si="4"/>
        <v>Mining Minerals &amp; energy Sources</v>
      </c>
      <c r="L104" s="2">
        <v>11.25</v>
      </c>
      <c r="M104" s="2">
        <v>3.84</v>
      </c>
      <c r="N104" s="2"/>
      <c r="O104" s="18" t="s">
        <v>1010</v>
      </c>
    </row>
    <row r="105" spans="8:15" ht="15" customHeight="1" x14ac:dyDescent="0.2">
      <c r="H105" s="2" t="str">
        <f t="shared" si="5"/>
        <v>Other Construction &amp; allied activities Maintenance of buildings (Facility Management)</v>
      </c>
      <c r="I105" s="2" t="s">
        <v>153</v>
      </c>
      <c r="J105" s="2" t="s">
        <v>154</v>
      </c>
      <c r="K105" s="2" t="str">
        <f t="shared" si="4"/>
        <v>Other Construction &amp; allied activities Maintenance of buildings (Facility Management)</v>
      </c>
      <c r="L105" s="2"/>
      <c r="M105" s="2"/>
      <c r="N105" s="2">
        <v>12.45</v>
      </c>
      <c r="O105" s="18" t="s">
        <v>927</v>
      </c>
    </row>
    <row r="106" spans="8:15" ht="15" customHeight="1" x14ac:dyDescent="0.2">
      <c r="H106" s="2" t="str">
        <f t="shared" si="5"/>
        <v>Other Fund based Financial Services Commission agents services (Only those booking commission income)</v>
      </c>
      <c r="I106" s="2" t="s">
        <v>155</v>
      </c>
      <c r="J106" s="2" t="s">
        <v>156</v>
      </c>
      <c r="K106" s="2" t="str">
        <f t="shared" si="4"/>
        <v>Other Fund based Financial Services Commission agents services (Only those booking commission income)</v>
      </c>
      <c r="L106" s="2"/>
      <c r="M106" s="2"/>
      <c r="N106" s="2">
        <v>15.8</v>
      </c>
      <c r="O106" s="18" t="s">
        <v>1010</v>
      </c>
    </row>
    <row r="107" spans="8:15" ht="15" customHeight="1" x14ac:dyDescent="0.2">
      <c r="H107" s="2" t="str">
        <f t="shared" si="5"/>
        <v>Others R &amp; D</v>
      </c>
      <c r="I107" s="2" t="s">
        <v>157</v>
      </c>
      <c r="J107" s="2" t="s">
        <v>158</v>
      </c>
      <c r="K107" s="2" t="str">
        <f t="shared" si="4"/>
        <v>Others R &amp; D</v>
      </c>
      <c r="L107" s="2"/>
      <c r="M107" s="2"/>
      <c r="N107" s="2">
        <v>11</v>
      </c>
      <c r="O107" s="18" t="s">
        <v>1011</v>
      </c>
    </row>
    <row r="108" spans="8:15" ht="15" customHeight="1" x14ac:dyDescent="0.2">
      <c r="H108" s="2" t="str">
        <f t="shared" si="5"/>
        <v>Others Glass &amp; Glass Products</v>
      </c>
      <c r="I108" s="2" t="s">
        <v>157</v>
      </c>
      <c r="J108" s="2" t="s">
        <v>159</v>
      </c>
      <c r="K108" s="2" t="str">
        <f t="shared" si="4"/>
        <v>Others Glass &amp; Glass Products</v>
      </c>
      <c r="L108" s="2">
        <v>11.58</v>
      </c>
      <c r="M108" s="2">
        <v>11.58</v>
      </c>
      <c r="N108" s="2"/>
      <c r="O108" s="18" t="s">
        <v>927</v>
      </c>
    </row>
    <row r="109" spans="8:15" ht="15" customHeight="1" x14ac:dyDescent="0.2">
      <c r="H109" s="2" t="str">
        <f t="shared" si="5"/>
        <v>Others Industries not classified elsewhere (Manufacturing)</v>
      </c>
      <c r="I109" s="2" t="s">
        <v>157</v>
      </c>
      <c r="J109" s="2" t="s">
        <v>160</v>
      </c>
      <c r="K109" s="2" t="str">
        <f t="shared" si="4"/>
        <v>Others Industries not classified elsewhere (Manufacturing)</v>
      </c>
      <c r="L109" s="2">
        <v>7.74</v>
      </c>
      <c r="M109" s="2"/>
      <c r="N109" s="2"/>
      <c r="O109" s="18" t="s">
        <v>1011</v>
      </c>
    </row>
    <row r="110" spans="8:15" ht="15" customHeight="1" x14ac:dyDescent="0.2">
      <c r="H110" s="2" t="str">
        <f t="shared" si="5"/>
        <v>Others Industries not classified elsewhere (Services)</v>
      </c>
      <c r="I110" s="2" t="s">
        <v>157</v>
      </c>
      <c r="J110" s="2" t="s">
        <v>161</v>
      </c>
      <c r="K110" s="2" t="str">
        <f t="shared" si="4"/>
        <v>Others Industries not classified elsewhere (Services)</v>
      </c>
      <c r="L110" s="2"/>
      <c r="M110" s="2"/>
      <c r="N110" s="2">
        <v>6.5</v>
      </c>
      <c r="O110" s="18" t="s">
        <v>1011</v>
      </c>
    </row>
    <row r="111" spans="8:15" ht="15" customHeight="1" x14ac:dyDescent="0.2">
      <c r="H111" s="2" t="str">
        <f t="shared" si="5"/>
        <v>Others Industries not classified elsewhere (Trading)</v>
      </c>
      <c r="I111" s="2" t="s">
        <v>157</v>
      </c>
      <c r="J111" s="2" t="s">
        <v>162</v>
      </c>
      <c r="K111" s="2" t="str">
        <f t="shared" si="4"/>
        <v>Others Industries not classified elsewhere (Trading)</v>
      </c>
      <c r="L111" s="2"/>
      <c r="M111" s="2">
        <v>5.04</v>
      </c>
      <c r="N111" s="2"/>
      <c r="O111" s="18" t="s">
        <v>1011</v>
      </c>
    </row>
    <row r="112" spans="8:15" ht="15" customHeight="1" x14ac:dyDescent="0.2">
      <c r="H112" s="2" t="str">
        <f t="shared" si="5"/>
        <v>Paints Paints &amp; Varnishes</v>
      </c>
      <c r="I112" s="2" t="s">
        <v>163</v>
      </c>
      <c r="J112" s="2" t="s">
        <v>164</v>
      </c>
      <c r="K112" s="2" t="str">
        <f t="shared" si="4"/>
        <v>Paints Paints &amp; Varnishes</v>
      </c>
      <c r="L112" s="2">
        <v>6.7</v>
      </c>
      <c r="M112" s="2">
        <v>6.7</v>
      </c>
      <c r="N112" s="2"/>
      <c r="O112" s="18" t="s">
        <v>927</v>
      </c>
    </row>
    <row r="113" spans="8:15" ht="15" customHeight="1" x14ac:dyDescent="0.2">
      <c r="H113" s="2" t="str">
        <f t="shared" si="5"/>
        <v>Paper Paper &amp; Paper Products</v>
      </c>
      <c r="I113" s="2" t="s">
        <v>165</v>
      </c>
      <c r="J113" s="2" t="s">
        <v>166</v>
      </c>
      <c r="K113" s="2" t="str">
        <f t="shared" si="4"/>
        <v>Paper Paper &amp; Paper Products</v>
      </c>
      <c r="L113" s="2">
        <v>7.61</v>
      </c>
      <c r="M113" s="2">
        <v>7.61</v>
      </c>
      <c r="N113" s="2"/>
      <c r="O113" s="18" t="s">
        <v>927</v>
      </c>
    </row>
    <row r="114" spans="8:15" ht="15" customHeight="1" x14ac:dyDescent="0.2">
      <c r="H114" s="2" t="str">
        <f t="shared" si="5"/>
        <v>Petroleum Products LRG Cylinders</v>
      </c>
      <c r="I114" s="2" t="s">
        <v>167</v>
      </c>
      <c r="J114" s="2" t="s">
        <v>168</v>
      </c>
      <c r="K114" s="2" t="str">
        <f t="shared" si="4"/>
        <v>Petroleum Products LRG Cylinders</v>
      </c>
      <c r="L114" s="2">
        <v>12.07</v>
      </c>
      <c r="M114" s="2"/>
      <c r="N114" s="2"/>
      <c r="O114" s="18" t="s">
        <v>927</v>
      </c>
    </row>
    <row r="115" spans="8:15" ht="15" customHeight="1" x14ac:dyDescent="0.2">
      <c r="H115" s="2" t="str">
        <f t="shared" si="5"/>
        <v>Petroleum Products Lubricants</v>
      </c>
      <c r="I115" s="2" t="s">
        <v>167</v>
      </c>
      <c r="J115" s="2" t="s">
        <v>169</v>
      </c>
      <c r="K115" s="2" t="str">
        <f t="shared" si="4"/>
        <v>Petroleum Products Lubricants</v>
      </c>
      <c r="L115" s="2">
        <v>7.1</v>
      </c>
      <c r="M115" s="2">
        <v>7.1</v>
      </c>
      <c r="N115" s="2"/>
      <c r="O115" s="18" t="s">
        <v>927</v>
      </c>
    </row>
    <row r="116" spans="8:15" ht="15" customHeight="1" x14ac:dyDescent="0.2">
      <c r="H116" s="2" t="str">
        <f t="shared" si="5"/>
        <v>Petroleum Products Petroleum Products</v>
      </c>
      <c r="I116" s="2" t="s">
        <v>167</v>
      </c>
      <c r="J116" s="2" t="s">
        <v>167</v>
      </c>
      <c r="K116" s="2" t="str">
        <f t="shared" si="4"/>
        <v>Petroleum Products Petroleum Products</v>
      </c>
      <c r="L116" s="2">
        <v>5.0599999999999996</v>
      </c>
      <c r="M116" s="2">
        <v>5.0599999999999996</v>
      </c>
      <c r="N116" s="2"/>
      <c r="O116" s="18" t="s">
        <v>927</v>
      </c>
    </row>
    <row r="117" spans="8:15" ht="15" customHeight="1" x14ac:dyDescent="0.2">
      <c r="H117" s="2" t="str">
        <f t="shared" si="5"/>
        <v>Photographic &amp; Allied Products Photographic &amp; Allied Products</v>
      </c>
      <c r="I117" s="2" t="s">
        <v>170</v>
      </c>
      <c r="J117" s="2" t="s">
        <v>170</v>
      </c>
      <c r="K117" s="2" t="str">
        <f t="shared" si="4"/>
        <v>Photographic &amp; Allied Products Photographic &amp; Allied Products</v>
      </c>
      <c r="L117" s="2">
        <v>5.98</v>
      </c>
      <c r="M117" s="2">
        <v>5.98</v>
      </c>
      <c r="N117" s="2"/>
      <c r="O117" s="18" t="s">
        <v>1010</v>
      </c>
    </row>
    <row r="118" spans="8:15" ht="15" customHeight="1" x14ac:dyDescent="0.2">
      <c r="H118" s="2" t="str">
        <f t="shared" si="5"/>
        <v>Plastics Plastics Films</v>
      </c>
      <c r="I118" s="2" t="s">
        <v>171</v>
      </c>
      <c r="J118" s="2" t="s">
        <v>172</v>
      </c>
      <c r="K118" s="2" t="str">
        <f t="shared" si="4"/>
        <v>Plastics Plastics Films</v>
      </c>
      <c r="L118" s="2">
        <v>8.24</v>
      </c>
      <c r="M118" s="2">
        <v>8.24</v>
      </c>
      <c r="N118" s="2"/>
      <c r="O118" s="18" t="s">
        <v>1010</v>
      </c>
    </row>
    <row r="119" spans="8:15" ht="15" customHeight="1" x14ac:dyDescent="0.2">
      <c r="H119" s="2" t="str">
        <f t="shared" si="5"/>
        <v>Plastics Plastics packaging goods</v>
      </c>
      <c r="I119" s="2" t="s">
        <v>171</v>
      </c>
      <c r="J119" s="2" t="s">
        <v>173</v>
      </c>
      <c r="K119" s="2" t="str">
        <f t="shared" si="4"/>
        <v>Plastics Plastics packaging goods</v>
      </c>
      <c r="L119" s="2">
        <v>9.4499999999999993</v>
      </c>
      <c r="M119" s="2">
        <v>9.4499999999999993</v>
      </c>
      <c r="N119" s="2"/>
      <c r="O119" s="18" t="s">
        <v>1010</v>
      </c>
    </row>
    <row r="120" spans="8:15" ht="15" customHeight="1" x14ac:dyDescent="0.2">
      <c r="H120" s="2" t="str">
        <f t="shared" si="5"/>
        <v>Plastics Plastics tubes, Pipes, fittings &amp; sheets</v>
      </c>
      <c r="I120" s="2" t="s">
        <v>171</v>
      </c>
      <c r="J120" s="2" t="s">
        <v>174</v>
      </c>
      <c r="K120" s="2" t="str">
        <f t="shared" si="4"/>
        <v>Plastics Plastics tubes, Pipes, fittings &amp; sheets</v>
      </c>
      <c r="L120" s="2">
        <v>9.01</v>
      </c>
      <c r="M120" s="2">
        <v>9.01</v>
      </c>
      <c r="N120" s="2"/>
      <c r="O120" s="18" t="s">
        <v>1010</v>
      </c>
    </row>
    <row r="121" spans="8:15" ht="15" customHeight="1" x14ac:dyDescent="0.2">
      <c r="H121" s="2" t="str">
        <f t="shared" si="5"/>
        <v>Professional Services Consultants/Business Consultancy</v>
      </c>
      <c r="I121" s="2" t="s">
        <v>43</v>
      </c>
      <c r="J121" s="2" t="s">
        <v>175</v>
      </c>
      <c r="K121" s="2" t="str">
        <f t="shared" si="4"/>
        <v>Professional Services Consultants/Business Consultancy</v>
      </c>
      <c r="L121" s="2"/>
      <c r="M121" s="2"/>
      <c r="N121" s="2">
        <v>8.0399999999999991</v>
      </c>
      <c r="O121" s="18" t="s">
        <v>1011</v>
      </c>
    </row>
    <row r="122" spans="8:15" ht="15" customHeight="1" x14ac:dyDescent="0.2">
      <c r="H122" s="2" t="str">
        <f t="shared" si="5"/>
        <v>Professional Services Education Consultancy</v>
      </c>
      <c r="I122" s="2" t="s">
        <v>43</v>
      </c>
      <c r="J122" s="2" t="s">
        <v>176</v>
      </c>
      <c r="K122" s="2" t="str">
        <f t="shared" si="4"/>
        <v>Professional Services Education Consultancy</v>
      </c>
      <c r="L122" s="2"/>
      <c r="M122" s="2"/>
      <c r="N122" s="2">
        <v>8.75</v>
      </c>
      <c r="O122" s="18" t="s">
        <v>1011</v>
      </c>
    </row>
    <row r="123" spans="8:15" ht="15" customHeight="1" x14ac:dyDescent="0.2">
      <c r="H123" s="2" t="str">
        <f t="shared" si="5"/>
        <v>Professional Services Entertainment and media content provider</v>
      </c>
      <c r="I123" s="2" t="s">
        <v>43</v>
      </c>
      <c r="J123" s="2" t="s">
        <v>177</v>
      </c>
      <c r="K123" s="2" t="str">
        <f t="shared" si="4"/>
        <v>Professional Services Entertainment and media content provider</v>
      </c>
      <c r="L123" s="2"/>
      <c r="M123" s="2"/>
      <c r="N123" s="2">
        <v>4.66</v>
      </c>
      <c r="O123" s="18" t="s">
        <v>1011</v>
      </c>
    </row>
    <row r="124" spans="8:15" ht="15" customHeight="1" x14ac:dyDescent="0.2">
      <c r="H124" s="2" t="str">
        <f t="shared" si="5"/>
        <v>Professional Services Event management services</v>
      </c>
      <c r="I124" s="2" t="s">
        <v>43</v>
      </c>
      <c r="J124" s="2" t="s">
        <v>178</v>
      </c>
      <c r="K124" s="2" t="str">
        <f t="shared" si="4"/>
        <v>Professional Services Event management services</v>
      </c>
      <c r="L124" s="2"/>
      <c r="M124" s="2"/>
      <c r="N124" s="2">
        <v>15.78</v>
      </c>
      <c r="O124" s="18" t="s">
        <v>1011</v>
      </c>
    </row>
    <row r="125" spans="8:15" ht="15" customHeight="1" x14ac:dyDescent="0.2">
      <c r="H125" s="2" t="str">
        <f t="shared" si="5"/>
        <v>Professional Services Motion Picture production, distribution and exhibition</v>
      </c>
      <c r="I125" s="2" t="s">
        <v>43</v>
      </c>
      <c r="J125" s="2" t="s">
        <v>179</v>
      </c>
      <c r="K125" s="2" t="str">
        <f t="shared" si="4"/>
        <v>Professional Services Motion Picture production, distribution and exhibition</v>
      </c>
      <c r="L125" s="2"/>
      <c r="M125" s="2"/>
      <c r="N125" s="2">
        <v>9.4600000000000009</v>
      </c>
      <c r="O125" s="18" t="s">
        <v>1011</v>
      </c>
    </row>
    <row r="126" spans="8:15" ht="15" customHeight="1" x14ac:dyDescent="0.2">
      <c r="H126" s="2" t="str">
        <f t="shared" si="5"/>
        <v>Professional Services Public Relations</v>
      </c>
      <c r="I126" s="2" t="s">
        <v>43</v>
      </c>
      <c r="J126" s="2" t="s">
        <v>180</v>
      </c>
      <c r="K126" s="2" t="str">
        <f t="shared" ref="K126:K166" si="6">I126&amp;" "&amp;J126</f>
        <v>Professional Services Public Relations</v>
      </c>
      <c r="L126" s="2"/>
      <c r="M126" s="2"/>
      <c r="N126" s="2">
        <v>4.7699999999999996</v>
      </c>
      <c r="O126" s="18" t="s">
        <v>1011</v>
      </c>
    </row>
    <row r="127" spans="8:15" ht="15" customHeight="1" x14ac:dyDescent="0.2">
      <c r="H127" s="2" t="str">
        <f t="shared" si="5"/>
        <v>Professional Services Real estate infrastructure services</v>
      </c>
      <c r="I127" s="2" t="s">
        <v>43</v>
      </c>
      <c r="J127" s="2" t="s">
        <v>181</v>
      </c>
      <c r="K127" s="2" t="str">
        <f t="shared" si="6"/>
        <v>Professional Services Real estate infrastructure services</v>
      </c>
      <c r="L127" s="2"/>
      <c r="M127" s="2"/>
      <c r="N127" s="2">
        <v>11.22</v>
      </c>
      <c r="O127" s="18" t="s">
        <v>1011</v>
      </c>
    </row>
    <row r="128" spans="8:15" ht="15" customHeight="1" x14ac:dyDescent="0.2">
      <c r="H128" s="2" t="str">
        <f t="shared" ref="H128:H166" si="7">I128&amp;" "&amp;J128</f>
        <v>Professional Services Technical consultancy and engineering services</v>
      </c>
      <c r="I128" s="2" t="s">
        <v>43</v>
      </c>
      <c r="J128" s="2" t="s">
        <v>182</v>
      </c>
      <c r="K128" s="2" t="str">
        <f t="shared" si="6"/>
        <v>Professional Services Technical consultancy and engineering services</v>
      </c>
      <c r="L128" s="2"/>
      <c r="M128" s="2"/>
      <c r="N128" s="2">
        <v>10.36</v>
      </c>
      <c r="O128" s="18" t="s">
        <v>1011</v>
      </c>
    </row>
    <row r="129" spans="8:15" ht="15" customHeight="1" x14ac:dyDescent="0.2">
      <c r="H129" s="2" t="str">
        <f t="shared" si="7"/>
        <v>Professional Services Placement &amp; HR consultancy services</v>
      </c>
      <c r="I129" s="2" t="s">
        <v>43</v>
      </c>
      <c r="J129" s="2" t="s">
        <v>183</v>
      </c>
      <c r="K129" s="2" t="str">
        <f t="shared" si="6"/>
        <v>Professional Services Placement &amp; HR consultancy services</v>
      </c>
      <c r="L129" s="2"/>
      <c r="M129" s="2"/>
      <c r="N129" s="2">
        <v>1.95</v>
      </c>
      <c r="O129" s="18" t="s">
        <v>1011</v>
      </c>
    </row>
    <row r="130" spans="8:15" ht="15" customHeight="1" x14ac:dyDescent="0.2">
      <c r="H130" s="2" t="str">
        <f t="shared" si="7"/>
        <v>Radiobroadcasting media Radiobroadcasting media</v>
      </c>
      <c r="I130" s="2" t="s">
        <v>184</v>
      </c>
      <c r="J130" s="2" t="s">
        <v>184</v>
      </c>
      <c r="K130" s="2" t="str">
        <f t="shared" si="6"/>
        <v>Radiobroadcasting media Radiobroadcasting media</v>
      </c>
      <c r="L130" s="2"/>
      <c r="M130" s="2"/>
      <c r="N130" s="2">
        <v>15.93</v>
      </c>
      <c r="O130" s="18" t="s">
        <v>1011</v>
      </c>
    </row>
    <row r="131" spans="8:15" ht="15" customHeight="1" x14ac:dyDescent="0.2">
      <c r="H131" s="2" t="str">
        <f t="shared" si="7"/>
        <v>Retail trading Departmental stores</v>
      </c>
      <c r="I131" s="2" t="s">
        <v>185</v>
      </c>
      <c r="J131" s="2" t="s">
        <v>186</v>
      </c>
      <c r="K131" s="2" t="str">
        <f t="shared" si="6"/>
        <v>Retail trading Departmental stores</v>
      </c>
      <c r="L131" s="2"/>
      <c r="M131" s="2">
        <v>2.2599999999999998</v>
      </c>
      <c r="N131" s="2"/>
      <c r="O131" s="18" t="s">
        <v>1011</v>
      </c>
    </row>
    <row r="132" spans="8:15" ht="15" customHeight="1" x14ac:dyDescent="0.2">
      <c r="H132" s="2" t="str">
        <f t="shared" si="7"/>
        <v>Road Transport Infrastructure services Toll revenue</v>
      </c>
      <c r="I132" s="2" t="s">
        <v>187</v>
      </c>
      <c r="J132" s="2" t="s">
        <v>188</v>
      </c>
      <c r="K132" s="2" t="str">
        <f t="shared" si="6"/>
        <v>Road Transport Infrastructure services Toll revenue</v>
      </c>
      <c r="L132" s="2"/>
      <c r="M132" s="2"/>
      <c r="N132" s="2"/>
      <c r="O132" s="18" t="s">
        <v>1010</v>
      </c>
    </row>
    <row r="133" spans="8:15" ht="15" customHeight="1" x14ac:dyDescent="0.2">
      <c r="H133" s="2" t="str">
        <f t="shared" si="7"/>
        <v>Road Transport Infrastructure services Other motor transport services</v>
      </c>
      <c r="I133" s="2" t="s">
        <v>187</v>
      </c>
      <c r="J133" s="2" t="s">
        <v>189</v>
      </c>
      <c r="K133" s="2" t="str">
        <f t="shared" si="6"/>
        <v>Road Transport Infrastructure services Other motor transport services</v>
      </c>
      <c r="L133" s="2"/>
      <c r="M133" s="2"/>
      <c r="N133" s="2">
        <v>6.5</v>
      </c>
      <c r="O133" s="18" t="s">
        <v>1010</v>
      </c>
    </row>
    <row r="134" spans="8:15" ht="15" customHeight="1" x14ac:dyDescent="0.2">
      <c r="H134" s="2" t="str">
        <f t="shared" si="7"/>
        <v>Rubber Rubber &amp; rubber products</v>
      </c>
      <c r="I134" s="2" t="s">
        <v>190</v>
      </c>
      <c r="J134" s="2" t="s">
        <v>191</v>
      </c>
      <c r="K134" s="2" t="str">
        <f t="shared" si="6"/>
        <v>Rubber Rubber &amp; rubber products</v>
      </c>
      <c r="L134" s="2">
        <v>12.03</v>
      </c>
      <c r="M134" s="2">
        <v>12.03</v>
      </c>
      <c r="N134" s="2"/>
      <c r="O134" s="18" t="s">
        <v>927</v>
      </c>
    </row>
    <row r="135" spans="8:15" ht="15" customHeight="1" x14ac:dyDescent="0.2">
      <c r="H135" s="2" t="str">
        <f t="shared" si="7"/>
        <v>Services Renting Services</v>
      </c>
      <c r="I135" s="2" t="s">
        <v>192</v>
      </c>
      <c r="J135" s="2" t="s">
        <v>193</v>
      </c>
      <c r="K135" s="2" t="str">
        <f t="shared" si="6"/>
        <v>Services Renting Services</v>
      </c>
      <c r="L135" s="2"/>
      <c r="M135" s="2"/>
      <c r="N135" s="2">
        <v>12.7</v>
      </c>
      <c r="O135" s="18" t="s">
        <v>1011</v>
      </c>
    </row>
    <row r="136" spans="8:15" ht="15" customHeight="1" x14ac:dyDescent="0.2">
      <c r="H136" s="2" t="str">
        <f t="shared" si="7"/>
        <v>Services - Communication Communication equipment (other than mobile phone wholesaler, retailer)</v>
      </c>
      <c r="I136" s="2" t="s">
        <v>194</v>
      </c>
      <c r="J136" s="2" t="s">
        <v>195</v>
      </c>
      <c r="K136" s="2" t="str">
        <f t="shared" si="6"/>
        <v>Services - Communication Communication equipment (other than mobile phone wholesaler, retailer)</v>
      </c>
      <c r="L136" s="2">
        <v>12.8</v>
      </c>
      <c r="M136" s="2"/>
      <c r="N136" s="2">
        <v>12.8</v>
      </c>
      <c r="O136" s="18" t="s">
        <v>1011</v>
      </c>
    </row>
    <row r="137" spans="8:15" ht="15" customHeight="1" x14ac:dyDescent="0.2">
      <c r="H137" s="2" t="str">
        <f t="shared" si="7"/>
        <v>Services - Communication Internet Services</v>
      </c>
      <c r="I137" s="2" t="s">
        <v>194</v>
      </c>
      <c r="J137" s="2" t="s">
        <v>196</v>
      </c>
      <c r="K137" s="2" t="str">
        <f t="shared" si="6"/>
        <v>Services - Communication Internet Services</v>
      </c>
      <c r="L137" s="2"/>
      <c r="M137" s="2"/>
      <c r="N137" s="2">
        <v>10.88</v>
      </c>
      <c r="O137" s="18" t="s">
        <v>1011</v>
      </c>
    </row>
    <row r="138" spans="8:15" ht="15" customHeight="1" x14ac:dyDescent="0.2">
      <c r="H138" s="2" t="str">
        <f t="shared" si="7"/>
        <v>Services - Communication Other communication services (wireless services, fax services, paper services, other telephone services, other communication services)</v>
      </c>
      <c r="I138" s="2" t="s">
        <v>194</v>
      </c>
      <c r="J138" s="2" t="s">
        <v>197</v>
      </c>
      <c r="K138" s="2" t="str">
        <f t="shared" si="6"/>
        <v>Services - Communication Other communication services (wireless services, fax services, paper services, other telephone services, other communication services)</v>
      </c>
      <c r="L138" s="2"/>
      <c r="M138" s="2"/>
      <c r="N138" s="2">
        <v>6.5</v>
      </c>
      <c r="O138" s="18" t="s">
        <v>1011</v>
      </c>
    </row>
    <row r="139" spans="8:15" ht="15" customHeight="1" x14ac:dyDescent="0.2">
      <c r="H139" s="2" t="str">
        <f t="shared" si="7"/>
        <v>Software ITES/ Call Centers</v>
      </c>
      <c r="I139" s="2" t="s">
        <v>198</v>
      </c>
      <c r="J139" s="2" t="s">
        <v>199</v>
      </c>
      <c r="K139" s="2" t="str">
        <f t="shared" si="6"/>
        <v>Software ITES/ Call Centers</v>
      </c>
      <c r="L139" s="2"/>
      <c r="M139" s="2"/>
      <c r="N139" s="2">
        <v>7.36</v>
      </c>
      <c r="O139" s="18" t="s">
        <v>1011</v>
      </c>
    </row>
    <row r="140" spans="8:15" ht="15" customHeight="1" x14ac:dyDescent="0.2">
      <c r="H140" s="2" t="str">
        <f t="shared" si="7"/>
        <v>Specially Footwear</v>
      </c>
      <c r="I140" s="2" t="s">
        <v>200</v>
      </c>
      <c r="J140" s="2" t="s">
        <v>201</v>
      </c>
      <c r="K140" s="2" t="str">
        <f t="shared" si="6"/>
        <v>Specially Footwear</v>
      </c>
      <c r="L140" s="2">
        <v>8.6999999999999993</v>
      </c>
      <c r="M140" s="2">
        <v>8.6999999999999993</v>
      </c>
      <c r="N140" s="2"/>
      <c r="O140" s="18" t="s">
        <v>927</v>
      </c>
    </row>
    <row r="141" spans="8:15" ht="15" customHeight="1" x14ac:dyDescent="0.2">
      <c r="H141" s="2" t="str">
        <f t="shared" si="7"/>
        <v>Specially Books, Office Suppliers &amp; Stationery</v>
      </c>
      <c r="I141" s="2" t="s">
        <v>200</v>
      </c>
      <c r="J141" s="2" t="s">
        <v>202</v>
      </c>
      <c r="K141" s="2" t="str">
        <f t="shared" si="6"/>
        <v>Specially Books, Office Suppliers &amp; Stationery</v>
      </c>
      <c r="L141" s="2">
        <v>5.26</v>
      </c>
      <c r="M141" s="2">
        <v>5.26</v>
      </c>
      <c r="N141" s="2"/>
      <c r="O141" s="18" t="s">
        <v>927</v>
      </c>
    </row>
    <row r="142" spans="8:15" ht="15" customHeight="1" x14ac:dyDescent="0.2">
      <c r="H142" s="2" t="str">
        <f t="shared" si="7"/>
        <v>Specially Clock &amp; watches</v>
      </c>
      <c r="I142" s="2" t="s">
        <v>200</v>
      </c>
      <c r="J142" s="2" t="s">
        <v>203</v>
      </c>
      <c r="K142" s="2" t="str">
        <f t="shared" si="6"/>
        <v>Specially Clock &amp; watches</v>
      </c>
      <c r="L142" s="2">
        <v>12.67</v>
      </c>
      <c r="M142" s="2">
        <v>12.67</v>
      </c>
      <c r="N142" s="2"/>
      <c r="O142" s="18" t="s">
        <v>927</v>
      </c>
    </row>
    <row r="143" spans="8:15" ht="15" customHeight="1" x14ac:dyDescent="0.2">
      <c r="H143" s="2" t="str">
        <f t="shared" si="7"/>
        <v>Specially Hobby, Toys &amp; Games</v>
      </c>
      <c r="I143" s="2" t="s">
        <v>200</v>
      </c>
      <c r="J143" s="2" t="s">
        <v>204</v>
      </c>
      <c r="K143" s="2" t="str">
        <f t="shared" si="6"/>
        <v>Specially Hobby, Toys &amp; Games</v>
      </c>
      <c r="L143" s="2">
        <v>15.87</v>
      </c>
      <c r="M143" s="2">
        <v>15.87</v>
      </c>
      <c r="N143" s="2"/>
      <c r="O143" s="18" t="s">
        <v>1011</v>
      </c>
    </row>
    <row r="144" spans="8:15" ht="15" customHeight="1" x14ac:dyDescent="0.2">
      <c r="H144" s="2" t="str">
        <f t="shared" si="7"/>
        <v>Specially Home Furniture &amp; Finishing</v>
      </c>
      <c r="I144" s="2" t="s">
        <v>200</v>
      </c>
      <c r="J144" s="2" t="s">
        <v>205</v>
      </c>
      <c r="K144" s="2" t="str">
        <f t="shared" si="6"/>
        <v>Specially Home Furniture &amp; Finishing</v>
      </c>
      <c r="L144" s="2">
        <v>4.63</v>
      </c>
      <c r="M144" s="2">
        <v>4.63</v>
      </c>
      <c r="N144" s="2"/>
      <c r="O144" s="18" t="s">
        <v>927</v>
      </c>
    </row>
    <row r="145" spans="8:15" ht="15" customHeight="1" x14ac:dyDescent="0.2">
      <c r="H145" s="2" t="str">
        <f t="shared" si="7"/>
        <v>Specially Luggage &amp; Leather Goods</v>
      </c>
      <c r="I145" s="2" t="s">
        <v>200</v>
      </c>
      <c r="J145" s="2" t="s">
        <v>206</v>
      </c>
      <c r="K145" s="2" t="str">
        <f t="shared" si="6"/>
        <v>Specially Luggage &amp; Leather Goods</v>
      </c>
      <c r="L145" s="2">
        <v>8.6999999999999993</v>
      </c>
      <c r="M145" s="2">
        <v>8.6999999999999993</v>
      </c>
      <c r="N145" s="2"/>
      <c r="O145" s="18" t="s">
        <v>927</v>
      </c>
    </row>
    <row r="146" spans="8:15" ht="15" customHeight="1" x14ac:dyDescent="0.2">
      <c r="H146" s="2" t="str">
        <f t="shared" si="7"/>
        <v>Specially Opticians &amp; Optical instruments</v>
      </c>
      <c r="I146" s="2" t="s">
        <v>200</v>
      </c>
      <c r="J146" s="2" t="s">
        <v>207</v>
      </c>
      <c r="K146" s="2" t="str">
        <f t="shared" si="6"/>
        <v>Specially Opticians &amp; Optical instruments</v>
      </c>
      <c r="L146" s="2">
        <v>9.26</v>
      </c>
      <c r="M146" s="2">
        <v>9.26</v>
      </c>
      <c r="N146" s="2"/>
      <c r="O146" s="18" t="s">
        <v>927</v>
      </c>
    </row>
    <row r="147" spans="8:15" ht="15" customHeight="1" x14ac:dyDescent="0.2">
      <c r="H147" s="2" t="str">
        <f t="shared" si="7"/>
        <v>Specially Pens and Pencils</v>
      </c>
      <c r="I147" s="2" t="s">
        <v>200</v>
      </c>
      <c r="J147" s="2" t="s">
        <v>208</v>
      </c>
      <c r="K147" s="2" t="str">
        <f t="shared" si="6"/>
        <v>Specially Pens and Pencils</v>
      </c>
      <c r="L147" s="2">
        <v>5.72</v>
      </c>
      <c r="M147" s="2">
        <v>5.72</v>
      </c>
      <c r="N147" s="2"/>
      <c r="O147" s="18" t="s">
        <v>927</v>
      </c>
    </row>
    <row r="148" spans="8:15" ht="15" customHeight="1" x14ac:dyDescent="0.2">
      <c r="H148" s="2" t="str">
        <f t="shared" si="7"/>
        <v>Specially Sports Goods</v>
      </c>
      <c r="I148" s="2" t="s">
        <v>200</v>
      </c>
      <c r="J148" s="2" t="s">
        <v>209</v>
      </c>
      <c r="K148" s="2" t="str">
        <f t="shared" si="6"/>
        <v>Specially Sports Goods</v>
      </c>
      <c r="L148" s="2">
        <v>6.54</v>
      </c>
      <c r="M148" s="2">
        <v>6.54</v>
      </c>
      <c r="N148" s="2"/>
      <c r="O148" s="18" t="s">
        <v>927</v>
      </c>
    </row>
    <row r="149" spans="8:15" ht="15" customHeight="1" x14ac:dyDescent="0.2">
      <c r="H149" s="2" t="str">
        <f t="shared" si="7"/>
        <v>Specially Wood and wood products / Sports goods</v>
      </c>
      <c r="I149" s="2" t="s">
        <v>200</v>
      </c>
      <c r="J149" s="2" t="s">
        <v>210</v>
      </c>
      <c r="K149" s="2" t="str">
        <f t="shared" si="6"/>
        <v>Specially Wood and wood products / Sports goods</v>
      </c>
      <c r="L149" s="2">
        <v>6.54</v>
      </c>
      <c r="M149" s="2">
        <v>6.54</v>
      </c>
      <c r="N149" s="2"/>
      <c r="O149" s="18" t="s">
        <v>927</v>
      </c>
    </row>
    <row r="150" spans="8:15" ht="15" customHeight="1" x14ac:dyDescent="0.2">
      <c r="H150" s="2" t="str">
        <f t="shared" si="7"/>
        <v>Telecommunication services Cellular phone infrastructure</v>
      </c>
      <c r="I150" s="2" t="s">
        <v>211</v>
      </c>
      <c r="J150" s="2" t="s">
        <v>212</v>
      </c>
      <c r="K150" s="2" t="str">
        <f t="shared" si="6"/>
        <v>Telecommunication services Cellular phone infrastructure</v>
      </c>
      <c r="L150" s="2"/>
      <c r="M150" s="2"/>
      <c r="N150" s="2">
        <v>12.96</v>
      </c>
      <c r="O150" s="18" t="s">
        <v>1011</v>
      </c>
    </row>
    <row r="151" spans="8:15" ht="15" customHeight="1" x14ac:dyDescent="0.2">
      <c r="H151" s="2" t="str">
        <f t="shared" si="7"/>
        <v>Television broadcasting media Television broadcasting media</v>
      </c>
      <c r="I151" s="2" t="s">
        <v>213</v>
      </c>
      <c r="J151" s="2" t="s">
        <v>213</v>
      </c>
      <c r="K151" s="2" t="str">
        <f t="shared" si="6"/>
        <v>Television broadcasting media Television broadcasting media</v>
      </c>
      <c r="L151" s="2"/>
      <c r="M151" s="2"/>
      <c r="N151" s="2">
        <v>11.09</v>
      </c>
      <c r="O151" s="18" t="s">
        <v>1010</v>
      </c>
    </row>
    <row r="152" spans="8:15" ht="15" customHeight="1" x14ac:dyDescent="0.2">
      <c r="H152" s="2" t="str">
        <f t="shared" si="7"/>
        <v>Textiles Blankets &amp; Carpets</v>
      </c>
      <c r="I152" s="2" t="s">
        <v>214</v>
      </c>
      <c r="J152" s="2" t="s">
        <v>215</v>
      </c>
      <c r="K152" s="2" t="str">
        <f t="shared" si="6"/>
        <v>Textiles Blankets &amp; Carpets</v>
      </c>
      <c r="L152" s="2">
        <v>9.51</v>
      </c>
      <c r="M152" s="2">
        <v>4.9000000000000004</v>
      </c>
      <c r="N152" s="2"/>
      <c r="O152" s="18" t="s">
        <v>1010</v>
      </c>
    </row>
    <row r="153" spans="8:15" ht="15" customHeight="1" x14ac:dyDescent="0.2">
      <c r="H153" s="2" t="str">
        <f t="shared" si="7"/>
        <v>Textiles Blended yarn</v>
      </c>
      <c r="I153" s="2" t="s">
        <v>214</v>
      </c>
      <c r="J153" s="2" t="s">
        <v>216</v>
      </c>
      <c r="K153" s="2" t="str">
        <f t="shared" si="6"/>
        <v>Textiles Blended yarn</v>
      </c>
      <c r="L153" s="2">
        <v>8.99</v>
      </c>
      <c r="M153" s="2">
        <v>4.9000000000000004</v>
      </c>
      <c r="N153" s="2"/>
      <c r="O153" s="18" t="s">
        <v>1010</v>
      </c>
    </row>
    <row r="154" spans="8:15" ht="15" customHeight="1" x14ac:dyDescent="0.2">
      <c r="H154" s="2" t="str">
        <f t="shared" si="7"/>
        <v>Textiles Jute</v>
      </c>
      <c r="I154" s="2" t="s">
        <v>214</v>
      </c>
      <c r="J154" s="2" t="s">
        <v>217</v>
      </c>
      <c r="K154" s="2" t="str">
        <f t="shared" si="6"/>
        <v>Textiles Jute</v>
      </c>
      <c r="L154" s="2">
        <v>4.2300000000000004</v>
      </c>
      <c r="M154" s="2">
        <v>4.9000000000000004</v>
      </c>
      <c r="N154" s="2"/>
      <c r="O154" s="18" t="s">
        <v>927</v>
      </c>
    </row>
    <row r="155" spans="8:15" ht="15" customHeight="1" x14ac:dyDescent="0.2">
      <c r="H155" s="2" t="str">
        <f t="shared" si="7"/>
        <v>Textiles Readymade Garments</v>
      </c>
      <c r="I155" s="2" t="s">
        <v>214</v>
      </c>
      <c r="J155" s="2" t="s">
        <v>218</v>
      </c>
      <c r="K155" s="2" t="str">
        <f t="shared" si="6"/>
        <v>Textiles Readymade Garments</v>
      </c>
      <c r="L155" s="2">
        <v>8.43</v>
      </c>
      <c r="M155" s="2">
        <v>4.9000000000000004</v>
      </c>
      <c r="N155" s="2"/>
      <c r="O155" s="18" t="s">
        <v>1010</v>
      </c>
    </row>
    <row r="156" spans="8:15" ht="15" customHeight="1" x14ac:dyDescent="0.2">
      <c r="H156" s="2" t="str">
        <f t="shared" si="7"/>
        <v>Textiles Textiles - Cotton</v>
      </c>
      <c r="I156" s="2" t="s">
        <v>214</v>
      </c>
      <c r="J156" s="2" t="s">
        <v>219</v>
      </c>
      <c r="K156" s="2" t="str">
        <f t="shared" si="6"/>
        <v>Textiles Textiles - Cotton</v>
      </c>
      <c r="L156" s="2">
        <v>9.66</v>
      </c>
      <c r="M156" s="2">
        <v>4.9000000000000004</v>
      </c>
      <c r="N156" s="2"/>
      <c r="O156" s="18" t="s">
        <v>927</v>
      </c>
    </row>
    <row r="157" spans="8:15" ht="15" customHeight="1" x14ac:dyDescent="0.2">
      <c r="H157" s="2" t="str">
        <f t="shared" si="7"/>
        <v>Textiles Textiles - Silk</v>
      </c>
      <c r="I157" s="2" t="s">
        <v>214</v>
      </c>
      <c r="J157" s="2" t="s">
        <v>220</v>
      </c>
      <c r="K157" s="2" t="str">
        <f t="shared" si="6"/>
        <v>Textiles Textiles - Silk</v>
      </c>
      <c r="L157" s="2">
        <v>7</v>
      </c>
      <c r="M157" s="2">
        <v>4.9000000000000004</v>
      </c>
      <c r="N157" s="2"/>
      <c r="O157" s="18" t="s">
        <v>1010</v>
      </c>
    </row>
    <row r="158" spans="8:15" ht="15" customHeight="1" x14ac:dyDescent="0.2">
      <c r="H158" s="2" t="str">
        <f t="shared" si="7"/>
        <v>Textiles Textiles - Synthetic</v>
      </c>
      <c r="I158" s="2" t="s">
        <v>214</v>
      </c>
      <c r="J158" s="2" t="s">
        <v>221</v>
      </c>
      <c r="K158" s="2" t="str">
        <f t="shared" si="6"/>
        <v>Textiles Textiles - Synthetic</v>
      </c>
      <c r="L158" s="2">
        <v>8.0399999999999991</v>
      </c>
      <c r="M158" s="2">
        <v>4.9000000000000004</v>
      </c>
      <c r="N158" s="2"/>
      <c r="O158" s="18" t="s">
        <v>1010</v>
      </c>
    </row>
    <row r="159" spans="8:15" ht="15" customHeight="1" x14ac:dyDescent="0.2">
      <c r="H159" s="2" t="str">
        <f t="shared" si="7"/>
        <v>Textiles Textiles - Specialized (Other than Cotton, Jute &amp; Yarn, Silk and Synthetic)</v>
      </c>
      <c r="I159" s="2" t="s">
        <v>214</v>
      </c>
      <c r="J159" s="2" t="s">
        <v>222</v>
      </c>
      <c r="K159" s="2" t="str">
        <f t="shared" si="6"/>
        <v>Textiles Textiles - Specialized (Other than Cotton, Jute &amp; Yarn, Silk and Synthetic)</v>
      </c>
      <c r="L159" s="2">
        <v>12.36</v>
      </c>
      <c r="M159" s="2">
        <v>4.9000000000000004</v>
      </c>
      <c r="N159" s="2"/>
      <c r="O159" s="18" t="s">
        <v>927</v>
      </c>
    </row>
    <row r="160" spans="8:15" ht="15" customHeight="1" x14ac:dyDescent="0.2">
      <c r="H160" s="2" t="str">
        <f t="shared" si="7"/>
        <v>Textiles Woolen Textiles</v>
      </c>
      <c r="I160" s="2" t="s">
        <v>214</v>
      </c>
      <c r="J160" s="2" t="s">
        <v>223</v>
      </c>
      <c r="K160" s="2" t="str">
        <f t="shared" si="6"/>
        <v>Textiles Woolen Textiles</v>
      </c>
      <c r="L160" s="2">
        <v>9.51</v>
      </c>
      <c r="M160" s="2">
        <v>4.9000000000000004</v>
      </c>
      <c r="N160" s="2"/>
      <c r="O160" s="18" t="s">
        <v>1010</v>
      </c>
    </row>
    <row r="161" spans="8:15" ht="15" customHeight="1" x14ac:dyDescent="0.2">
      <c r="H161" s="2" t="str">
        <f t="shared" si="7"/>
        <v>Transportation Logistics Cargo (Cargo Handling air &amp; water)</v>
      </c>
      <c r="I161" s="2" t="s">
        <v>224</v>
      </c>
      <c r="J161" s="2" t="s">
        <v>225</v>
      </c>
      <c r="K161" s="2" t="str">
        <f t="shared" si="6"/>
        <v>Transportation Logistics Cargo (Cargo Handling air &amp; water)</v>
      </c>
      <c r="L161" s="2"/>
      <c r="M161" s="2"/>
      <c r="N161" s="2">
        <v>9.64</v>
      </c>
      <c r="O161" s="18" t="s">
        <v>1010</v>
      </c>
    </row>
    <row r="162" spans="8:15" ht="15" customHeight="1" x14ac:dyDescent="0.2">
      <c r="H162" s="2" t="str">
        <f t="shared" si="7"/>
        <v>Transportation Logistics Courier</v>
      </c>
      <c r="I162" s="2" t="s">
        <v>224</v>
      </c>
      <c r="J162" s="2" t="s">
        <v>226</v>
      </c>
      <c r="K162" s="2" t="str">
        <f t="shared" si="6"/>
        <v>Transportation Logistics Courier</v>
      </c>
      <c r="L162" s="2"/>
      <c r="M162" s="2"/>
      <c r="N162" s="2">
        <v>6.48</v>
      </c>
      <c r="O162" s="18" t="s">
        <v>1010</v>
      </c>
    </row>
    <row r="163" spans="8:15" ht="15" customHeight="1" x14ac:dyDescent="0.2">
      <c r="H163" s="2" t="str">
        <f t="shared" si="7"/>
        <v>Transportation Logistics Goods Transport Services (Road)</v>
      </c>
      <c r="I163" s="2" t="s">
        <v>224</v>
      </c>
      <c r="J163" s="2" t="s">
        <v>227</v>
      </c>
      <c r="K163" s="2" t="str">
        <f t="shared" si="6"/>
        <v>Transportation Logistics Goods Transport Services (Road)</v>
      </c>
      <c r="L163" s="2"/>
      <c r="M163" s="2"/>
      <c r="N163" s="2">
        <v>8.3800000000000008</v>
      </c>
      <c r="O163" s="18" t="s">
        <v>1010</v>
      </c>
    </row>
    <row r="164" spans="8:15" ht="15" customHeight="1" x14ac:dyDescent="0.2">
      <c r="H164" s="2" t="str">
        <f t="shared" si="7"/>
        <v>Transportation Logistics Passenger Transport Services (Road)</v>
      </c>
      <c r="I164" s="2" t="s">
        <v>224</v>
      </c>
      <c r="J164" s="2" t="s">
        <v>228</v>
      </c>
      <c r="K164" s="2" t="str">
        <f t="shared" si="6"/>
        <v>Transportation Logistics Passenger Transport Services (Road)</v>
      </c>
      <c r="L164" s="2"/>
      <c r="M164" s="2"/>
      <c r="N164" s="2">
        <v>8.3800000000000008</v>
      </c>
      <c r="O164" s="18" t="s">
        <v>1010</v>
      </c>
    </row>
    <row r="165" spans="8:15" ht="15" customHeight="1" x14ac:dyDescent="0.2">
      <c r="H165" s="2" t="str">
        <f t="shared" si="7"/>
        <v>Transportation Logistics Storage &amp; Warehousing</v>
      </c>
      <c r="I165" s="2" t="s">
        <v>224</v>
      </c>
      <c r="J165" s="2" t="s">
        <v>229</v>
      </c>
      <c r="K165" s="2" t="str">
        <f t="shared" si="6"/>
        <v>Transportation Logistics Storage &amp; Warehousing</v>
      </c>
      <c r="L165" s="2"/>
      <c r="M165" s="2"/>
      <c r="N165" s="2">
        <v>13.17</v>
      </c>
      <c r="O165" s="18" t="s">
        <v>1010</v>
      </c>
    </row>
    <row r="166" spans="8:15" ht="15" customHeight="1" x14ac:dyDescent="0.2">
      <c r="H166" s="2" t="str">
        <f t="shared" si="7"/>
        <v>Transportation Logistics Portal</v>
      </c>
      <c r="I166" s="2" t="s">
        <v>224</v>
      </c>
      <c r="J166" s="2" t="s">
        <v>230</v>
      </c>
      <c r="K166" s="2" t="str">
        <f t="shared" si="6"/>
        <v>Transportation Logistics Portal</v>
      </c>
      <c r="L166" s="2"/>
      <c r="M166" s="2"/>
      <c r="N166" s="2">
        <v>18.86</v>
      </c>
      <c r="O166" s="18" t="s">
        <v>1010</v>
      </c>
    </row>
    <row r="167" spans="8:15" ht="15" customHeight="1" x14ac:dyDescent="0.2"/>
    <row r="168" spans="8:15" ht="15" customHeight="1" x14ac:dyDescent="0.2"/>
    <row r="169" spans="8:15" ht="15" customHeight="1" x14ac:dyDescent="0.2"/>
    <row r="170" spans="8:15" ht="15" customHeight="1" x14ac:dyDescent="0.2"/>
    <row r="171" spans="8:15" ht="15" customHeight="1" x14ac:dyDescent="0.2"/>
    <row r="172" spans="8:15" ht="15" customHeight="1" x14ac:dyDescent="0.2"/>
    <row r="173" spans="8:15" ht="15" customHeight="1" x14ac:dyDescent="0.2"/>
    <row r="174" spans="8:15" ht="15" customHeight="1" x14ac:dyDescent="0.2"/>
  </sheetData>
  <sheetProtection algorithmName="SHA-512" hashValue="DiS6d++evgEt20Um9t8hzqTlKobR7Vdfz9iNORHR3y1KOzrAOmPIPyOKc4zvTZTmiW1TP/30In1UCypxsNJiqQ==" saltValue="YcjR8A2prpqFRWc7YZR5EQ==" spinCount="100000" sheet="1" objects="1" scenarios="1"/>
  <mergeCells count="31">
    <mergeCell ref="F15:F19"/>
    <mergeCell ref="B18:C18"/>
    <mergeCell ref="B15:C15"/>
    <mergeCell ref="B17:C17"/>
    <mergeCell ref="B16:C16"/>
    <mergeCell ref="A1:F1"/>
    <mergeCell ref="B2:F2"/>
    <mergeCell ref="B3:F3"/>
    <mergeCell ref="A8:F8"/>
    <mergeCell ref="B9:F9"/>
    <mergeCell ref="B27:F27"/>
    <mergeCell ref="C22:C24"/>
    <mergeCell ref="B19:C19"/>
    <mergeCell ref="A20:F20"/>
    <mergeCell ref="B4:F4"/>
    <mergeCell ref="B11:C11"/>
    <mergeCell ref="B12:C12"/>
    <mergeCell ref="B14:C14"/>
    <mergeCell ref="A11:A12"/>
    <mergeCell ref="A13:F13"/>
    <mergeCell ref="B25:F25"/>
    <mergeCell ref="A26:F26"/>
    <mergeCell ref="B5:F5"/>
    <mergeCell ref="B6:F6"/>
    <mergeCell ref="B7:F7"/>
    <mergeCell ref="A10:F10"/>
    <mergeCell ref="B31:F31"/>
    <mergeCell ref="B32:F32"/>
    <mergeCell ref="B28:F28"/>
    <mergeCell ref="B29:F29"/>
    <mergeCell ref="B30:F30"/>
  </mergeCells>
  <dataValidations count="4">
    <dataValidation type="whole" allowBlank="1" showInputMessage="1" showErrorMessage="1" sqref="B4" xr:uid="{00000000-0002-0000-0500-000000000000}">
      <formula1>12</formula1>
      <formula2>60</formula2>
    </dataValidation>
    <dataValidation operator="greaterThanOrEqual" showInputMessage="1" showErrorMessage="1" sqref="B29 B3:F3" xr:uid="{00000000-0002-0000-0500-000001000000}"/>
    <dataValidation type="list" allowBlank="1" showInputMessage="1" showErrorMessage="1" sqref="C22" xr:uid="{00000000-0002-0000-0500-000002000000}">
      <formula1>"Monthly,Annualy"</formula1>
    </dataValidation>
    <dataValidation type="list" allowBlank="1" showInputMessage="1" showErrorMessage="1" sqref="B6:F6" xr:uid="{00000000-0002-0000-0500-000003000000}">
      <formula1>$H$2:$H$166</formula1>
    </dataValidation>
  </dataValidations>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tabColor rgb="FFFFC000"/>
  </sheetPr>
  <dimension ref="A1:P17"/>
  <sheetViews>
    <sheetView workbookViewId="0">
      <selection activeCell="B14" sqref="B14"/>
    </sheetView>
  </sheetViews>
  <sheetFormatPr defaultColWidth="0" defaultRowHeight="15" zeroHeight="1" x14ac:dyDescent="0.25"/>
  <cols>
    <col min="1" max="1" width="39.42578125" style="13" customWidth="1"/>
    <col min="2" max="2" width="35.28515625" style="13" customWidth="1"/>
    <col min="3" max="3" width="0.85546875" style="13" customWidth="1"/>
    <col min="4" max="16" width="0" style="13" hidden="1" customWidth="1"/>
    <col min="17" max="16384" width="9.140625" style="13" hidden="1"/>
  </cols>
  <sheetData>
    <row r="1" spans="1:2" ht="20.25" x14ac:dyDescent="0.3">
      <c r="A1" s="439" t="s">
        <v>829</v>
      </c>
      <c r="B1" s="439"/>
    </row>
    <row r="2" spans="1:2" ht="15" customHeight="1" x14ac:dyDescent="0.25">
      <c r="A2" s="129" t="s">
        <v>0</v>
      </c>
      <c r="B2" s="113">
        <f>'Loan Details'!B3</f>
        <v>0</v>
      </c>
    </row>
    <row r="3" spans="1:2" x14ac:dyDescent="0.25">
      <c r="A3" s="129" t="s">
        <v>2</v>
      </c>
      <c r="B3" s="109">
        <f>'Loan Details'!B4</f>
        <v>0.18</v>
      </c>
    </row>
    <row r="4" spans="1:2" ht="15" customHeight="1" x14ac:dyDescent="0.25">
      <c r="A4" s="129" t="s">
        <v>3</v>
      </c>
      <c r="B4" s="110">
        <f>'Loan Details'!B5</f>
        <v>48</v>
      </c>
    </row>
    <row r="5" spans="1:2" ht="18.75" x14ac:dyDescent="0.3">
      <c r="A5" s="517" t="s">
        <v>830</v>
      </c>
      <c r="B5" s="517"/>
    </row>
    <row r="6" spans="1:2" ht="15" customHeight="1" x14ac:dyDescent="0.25">
      <c r="A6" s="123" t="s">
        <v>13</v>
      </c>
      <c r="B6" s="108"/>
    </row>
    <row r="7" spans="1:2" ht="15" customHeight="1" x14ac:dyDescent="0.25">
      <c r="A7" s="123" t="s">
        <v>833</v>
      </c>
      <c r="B7" s="110"/>
    </row>
    <row r="8" spans="1:2" ht="15" customHeight="1" x14ac:dyDescent="0.25">
      <c r="A8" s="123" t="s">
        <v>831</v>
      </c>
      <c r="B8" s="108"/>
    </row>
    <row r="9" spans="1:2" ht="15" customHeight="1" x14ac:dyDescent="0.25">
      <c r="A9" s="123" t="s">
        <v>832</v>
      </c>
      <c r="B9" s="108">
        <f>B8*B7</f>
        <v>0</v>
      </c>
    </row>
    <row r="10" spans="1:2" ht="15" customHeight="1" x14ac:dyDescent="0.25">
      <c r="A10" s="123" t="s">
        <v>834</v>
      </c>
      <c r="B10" s="130">
        <f>IF(B7&lt;=18,1.2,1.3)</f>
        <v>1.2</v>
      </c>
    </row>
    <row r="11" spans="1:2" ht="18.75" x14ac:dyDescent="0.3">
      <c r="A11" s="517" t="s">
        <v>835</v>
      </c>
      <c r="B11" s="517"/>
    </row>
    <row r="12" spans="1:2" ht="15" customHeight="1" x14ac:dyDescent="0.25">
      <c r="A12" s="129" t="s">
        <v>836</v>
      </c>
      <c r="B12" s="134">
        <f>B10*B8</f>
        <v>0</v>
      </c>
    </row>
    <row r="13" spans="1:2" ht="15" customHeight="1" x14ac:dyDescent="0.25">
      <c r="A13" s="129" t="s">
        <v>837</v>
      </c>
      <c r="B13" s="108">
        <f>PV(B3/12,B4,-B12)</f>
        <v>0</v>
      </c>
    </row>
    <row r="14" spans="1:2" ht="15" customHeight="1" x14ac:dyDescent="0.25">
      <c r="A14" s="129" t="s">
        <v>522</v>
      </c>
      <c r="B14" s="115">
        <f>MIN(B13,B2)</f>
        <v>0</v>
      </c>
    </row>
    <row r="15" spans="1:2" x14ac:dyDescent="0.25">
      <c r="A15" s="129" t="s">
        <v>12</v>
      </c>
      <c r="B15" s="115">
        <f>PMT(B3/12,B4,-B14)</f>
        <v>0</v>
      </c>
    </row>
    <row r="16" spans="1:2" ht="6" customHeight="1" x14ac:dyDescent="0.25"/>
    <row r="17" ht="5.25" hidden="1" customHeight="1" x14ac:dyDescent="0.25"/>
  </sheetData>
  <sheetProtection algorithmName="SHA-512" hashValue="du1u1dhvnpoo0zHcPEKlsh2y9Zk6Y5pa7y+wIxBbMCwenQ7S9uI3vbE37Tzqwc3CRKAceetq1ZBdj6emyrk0TQ==" saltValue="WlQKs/vbrGcrAmsYNllm8Q==" spinCount="100000" sheet="1" objects="1" scenarios="1"/>
  <mergeCells count="3">
    <mergeCell ref="A1:B1"/>
    <mergeCell ref="A11:B11"/>
    <mergeCell ref="A5:B5"/>
  </mergeCells>
  <dataValidations count="2">
    <dataValidation operator="greaterThanOrEqual" showInputMessage="1" showErrorMessage="1" sqref="B3" xr:uid="{00000000-0002-0000-0600-000000000000}"/>
    <dataValidation type="whole" allowBlank="1" showInputMessage="1" showErrorMessage="1" sqref="B4" xr:uid="{00000000-0002-0000-0600-000001000000}">
      <formula1>12</formula1>
      <formula2>60</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1">
    <tabColor rgb="FFC00000"/>
  </sheetPr>
  <dimension ref="A1:XFC16"/>
  <sheetViews>
    <sheetView showGridLines="0" workbookViewId="0">
      <selection activeCell="B9" sqref="B9"/>
    </sheetView>
  </sheetViews>
  <sheetFormatPr defaultColWidth="0" defaultRowHeight="7.5" customHeight="1" zeroHeight="1" x14ac:dyDescent="0.2"/>
  <cols>
    <col min="1" max="1" width="49" style="18" bestFit="1" customWidth="1"/>
    <col min="2" max="2" width="40.5703125" style="18" customWidth="1"/>
    <col min="3" max="3" width="10.42578125" style="18" hidden="1"/>
    <col min="4" max="4" width="9.140625" style="18" hidden="1"/>
    <col min="5" max="5" width="11.140625" style="18" hidden="1"/>
    <col min="6" max="6" width="8.85546875" style="18" hidden="1"/>
    <col min="7" max="16383" width="3.7109375" style="18" hidden="1"/>
    <col min="16384" max="16384" width="16.7109375" style="18" hidden="1"/>
  </cols>
  <sheetData>
    <row r="1" spans="1:6" ht="20.25" x14ac:dyDescent="0.3">
      <c r="A1" s="439" t="s">
        <v>482</v>
      </c>
      <c r="B1" s="439"/>
    </row>
    <row r="2" spans="1:6" ht="14.25" customHeight="1" x14ac:dyDescent="0.2">
      <c r="A2" s="129" t="s">
        <v>0</v>
      </c>
      <c r="B2" s="108">
        <f>'Loan Details'!B3</f>
        <v>0</v>
      </c>
    </row>
    <row r="3" spans="1:6" ht="15" customHeight="1" x14ac:dyDescent="0.2">
      <c r="A3" s="148" t="s">
        <v>2</v>
      </c>
      <c r="B3" s="144">
        <f>'Loan Details'!B4</f>
        <v>0.18</v>
      </c>
    </row>
    <row r="4" spans="1:6" ht="15" customHeight="1" x14ac:dyDescent="0.2">
      <c r="A4" s="148" t="s">
        <v>3</v>
      </c>
      <c r="B4" s="145">
        <f>'Loan Details'!B5</f>
        <v>48</v>
      </c>
    </row>
    <row r="5" spans="1:6" ht="15" customHeight="1" x14ac:dyDescent="0.2">
      <c r="A5" s="148" t="s">
        <v>912</v>
      </c>
      <c r="B5" s="145"/>
      <c r="E5" s="18" t="s">
        <v>912</v>
      </c>
      <c r="F5" s="18" t="s">
        <v>914</v>
      </c>
    </row>
    <row r="6" spans="1:6" ht="14.25" customHeight="1" x14ac:dyDescent="0.3">
      <c r="A6" s="517" t="s">
        <v>4</v>
      </c>
      <c r="B6" s="517"/>
      <c r="E6" s="18" t="s">
        <v>1008</v>
      </c>
      <c r="F6" s="18">
        <v>6</v>
      </c>
    </row>
    <row r="7" spans="1:6" ht="15" customHeight="1" x14ac:dyDescent="0.2">
      <c r="A7" s="148" t="s">
        <v>5</v>
      </c>
      <c r="B7" s="143">
        <f>'Loan Details'!C12</f>
        <v>0</v>
      </c>
      <c r="E7" s="18" t="s">
        <v>437</v>
      </c>
      <c r="F7" s="18">
        <v>4</v>
      </c>
    </row>
    <row r="8" spans="1:6" ht="15" customHeight="1" x14ac:dyDescent="0.3">
      <c r="A8" s="517" t="s">
        <v>6</v>
      </c>
      <c r="B8" s="517"/>
      <c r="E8" s="18" t="s">
        <v>913</v>
      </c>
      <c r="F8" s="18">
        <v>3</v>
      </c>
    </row>
    <row r="9" spans="1:6" ht="15" customHeight="1" x14ac:dyDescent="0.2">
      <c r="A9" s="148" t="s">
        <v>781</v>
      </c>
      <c r="B9" s="143"/>
    </row>
    <row r="10" spans="1:6" ht="15" customHeight="1" x14ac:dyDescent="0.2">
      <c r="A10" s="148" t="s">
        <v>252</v>
      </c>
      <c r="B10" s="147" t="e">
        <f>VLOOKUP(B5,E6:F8,2,0)</f>
        <v>#N/A</v>
      </c>
    </row>
    <row r="11" spans="1:6" ht="14.25" customHeight="1" x14ac:dyDescent="0.2">
      <c r="A11" s="148" t="s">
        <v>245</v>
      </c>
      <c r="B11" s="149" t="e">
        <f>(B9*B10)*0.75</f>
        <v>#N/A</v>
      </c>
    </row>
    <row r="12" spans="1:6" ht="14.25" customHeight="1" x14ac:dyDescent="0.2">
      <c r="A12" s="148" t="s">
        <v>850</v>
      </c>
      <c r="B12" s="149" t="e">
        <f>B11-(B7*12)</f>
        <v>#N/A</v>
      </c>
    </row>
    <row r="13" spans="1:6" ht="14.25" x14ac:dyDescent="0.2">
      <c r="A13" s="148" t="s">
        <v>247</v>
      </c>
      <c r="B13" s="146" t="e">
        <f>B12</f>
        <v>#N/A</v>
      </c>
    </row>
    <row r="14" spans="1:6" ht="14.25" x14ac:dyDescent="0.2">
      <c r="A14" s="148" t="s">
        <v>522</v>
      </c>
      <c r="B14" s="146" t="e">
        <f>MIN(B13,B2)</f>
        <v>#N/A</v>
      </c>
    </row>
    <row r="15" spans="1:6" ht="14.25" x14ac:dyDescent="0.2">
      <c r="A15" s="148" t="s">
        <v>12</v>
      </c>
      <c r="B15" s="146" t="e">
        <f>PMT(B3/12,B4,-B14)</f>
        <v>#N/A</v>
      </c>
    </row>
    <row r="16" spans="1:6" ht="7.5" customHeight="1" x14ac:dyDescent="0.2"/>
  </sheetData>
  <sheetProtection algorithmName="SHA-512" hashValue="FIC656G8s76xirB0xtyS0UWa54KknfD1q9Qd/iYNBMmna7cC7FXIT6dRD8kNYg5QdsY9peQEhtmC1NArGsg+kQ==" saltValue="Mz+WHiy4nvEATreHZwzBlw==" spinCount="100000" sheet="1" objects="1" scenarios="1"/>
  <mergeCells count="3">
    <mergeCell ref="A1:B1"/>
    <mergeCell ref="A6:B6"/>
    <mergeCell ref="A8:B8"/>
  </mergeCells>
  <dataValidations count="4">
    <dataValidation type="whole" allowBlank="1" showInputMessage="1" showErrorMessage="1" sqref="B4" xr:uid="{00000000-0002-0000-0700-000000000000}">
      <formula1>12</formula1>
      <formula2>60</formula2>
    </dataValidation>
    <dataValidation operator="greaterThanOrEqual" showInputMessage="1" showErrorMessage="1" sqref="B3" xr:uid="{00000000-0002-0000-0700-000001000000}"/>
    <dataValidation type="list" allowBlank="1" showInputMessage="1" showErrorMessage="1" sqref="B5" xr:uid="{00000000-0002-0000-0700-000002000000}">
      <formula1>$E$6:$E$8</formula1>
    </dataValidation>
    <dataValidation allowBlank="1" showInputMessage="1" showErrorMessage="1" error="Max- INR 100 lakhs" promptTitle="Max. Loan Capping" prompt="Max- INR 100 lakhs_x000a_" sqref="B2" xr:uid="{00000000-0002-0000-0700-000003000000}"/>
  </dataValidations>
  <pageMargins left="0.7" right="0.7" top="0.75" bottom="0.75" header="0.3" footer="0.3"/>
  <pageSetup paperSize="9"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9">
    <tabColor rgb="FFC00000"/>
  </sheetPr>
  <dimension ref="A1:XFC32"/>
  <sheetViews>
    <sheetView workbookViewId="0">
      <selection activeCell="B4" sqref="B4"/>
    </sheetView>
  </sheetViews>
  <sheetFormatPr defaultColWidth="0" defaultRowHeight="0" customHeight="1" zeroHeight="1" x14ac:dyDescent="0.2"/>
  <cols>
    <col min="1" max="1" width="49" style="18" bestFit="1" customWidth="1"/>
    <col min="2" max="2" width="27" style="18" bestFit="1" customWidth="1"/>
    <col min="3" max="3" width="5.85546875" style="18" hidden="1" customWidth="1"/>
    <col min="4" max="4" width="6.5703125" style="18" hidden="1"/>
    <col min="5" max="5" width="26.140625" style="18" hidden="1"/>
    <col min="6" max="6" width="9.5703125" style="18" hidden="1"/>
    <col min="7" max="16383" width="5.85546875" style="18" hidden="1"/>
    <col min="16384" max="16384" width="13.7109375" style="18" hidden="1"/>
  </cols>
  <sheetData>
    <row r="1" spans="1:6" ht="20.25" x14ac:dyDescent="0.3">
      <c r="A1" s="439" t="s">
        <v>249</v>
      </c>
      <c r="B1" s="439"/>
    </row>
    <row r="2" spans="1:6" ht="14.25" customHeight="1" x14ac:dyDescent="0.2">
      <c r="A2" s="97" t="s">
        <v>0</v>
      </c>
      <c r="B2" s="93">
        <f>'Loan Details'!B3</f>
        <v>0</v>
      </c>
    </row>
    <row r="3" spans="1:6" ht="15" customHeight="1" x14ac:dyDescent="0.2">
      <c r="A3" s="97" t="s">
        <v>2</v>
      </c>
      <c r="B3" s="94">
        <f>'Loan Details'!B4</f>
        <v>0.18</v>
      </c>
      <c r="D3" s="135" t="s">
        <v>909</v>
      </c>
      <c r="E3" s="135" t="s">
        <v>906</v>
      </c>
      <c r="F3" s="135" t="s">
        <v>254</v>
      </c>
    </row>
    <row r="4" spans="1:6" ht="15" customHeight="1" x14ac:dyDescent="0.2">
      <c r="A4" s="97" t="s">
        <v>3</v>
      </c>
      <c r="B4" s="95">
        <f>'Loan Details'!B5</f>
        <v>48</v>
      </c>
      <c r="D4" s="135" t="str">
        <f>IF(B$5=E4,"Yes","No")</f>
        <v>No</v>
      </c>
      <c r="E4" s="136" t="s">
        <v>437</v>
      </c>
      <c r="F4" s="137">
        <v>5</v>
      </c>
    </row>
    <row r="5" spans="1:6" ht="15" customHeight="1" x14ac:dyDescent="0.2">
      <c r="A5" s="97" t="s">
        <v>436</v>
      </c>
      <c r="B5" s="95"/>
      <c r="D5" s="135" t="str">
        <f t="shared" ref="D5:D6" si="0">IF(B$5=E5,"Yes","No")</f>
        <v>No</v>
      </c>
      <c r="E5" s="136" t="s">
        <v>907</v>
      </c>
      <c r="F5" s="137">
        <v>3</v>
      </c>
    </row>
    <row r="6" spans="1:6" ht="15" customHeight="1" x14ac:dyDescent="0.3">
      <c r="A6" s="517" t="s">
        <v>4</v>
      </c>
      <c r="B6" s="517"/>
      <c r="D6" s="135" t="str">
        <f t="shared" si="0"/>
        <v>No</v>
      </c>
      <c r="E6" s="136" t="s">
        <v>908</v>
      </c>
      <c r="F6" s="137">
        <v>2.5</v>
      </c>
    </row>
    <row r="7" spans="1:6" ht="14.25" customHeight="1" x14ac:dyDescent="0.2">
      <c r="A7" s="97" t="s">
        <v>5</v>
      </c>
      <c r="B7" s="93">
        <f>'Loan Details'!C12</f>
        <v>0</v>
      </c>
      <c r="D7" s="32"/>
      <c r="E7" s="33"/>
    </row>
    <row r="8" spans="1:6" ht="15" customHeight="1" x14ac:dyDescent="0.3">
      <c r="A8" s="517" t="s">
        <v>526</v>
      </c>
      <c r="B8" s="517"/>
      <c r="D8" s="34"/>
      <c r="E8" s="35"/>
    </row>
    <row r="9" spans="1:6" ht="15" customHeight="1" x14ac:dyDescent="0.2">
      <c r="A9" s="97" t="s">
        <v>780</v>
      </c>
      <c r="B9" s="93">
        <v>50000000</v>
      </c>
      <c r="D9" s="34"/>
      <c r="E9" s="35"/>
    </row>
    <row r="10" spans="1:6" ht="15" customHeight="1" x14ac:dyDescent="0.2">
      <c r="A10" s="97" t="s">
        <v>252</v>
      </c>
      <c r="B10" s="99" t="e">
        <f>VLOOKUP("Yes",D3:F6,3,0)</f>
        <v>#N/A</v>
      </c>
    </row>
    <row r="11" spans="1:6" ht="15" customHeight="1" x14ac:dyDescent="0.2">
      <c r="A11" s="97" t="s">
        <v>779</v>
      </c>
      <c r="B11" s="98" t="e">
        <f>(B9/12)*B10</f>
        <v>#N/A</v>
      </c>
    </row>
    <row r="12" spans="1:6" ht="15" customHeight="1" x14ac:dyDescent="0.2">
      <c r="A12" s="97" t="s">
        <v>10</v>
      </c>
      <c r="B12" s="96">
        <f>B7</f>
        <v>0</v>
      </c>
    </row>
    <row r="13" spans="1:6" ht="15" customHeight="1" x14ac:dyDescent="0.2">
      <c r="A13" s="97" t="s">
        <v>777</v>
      </c>
      <c r="B13" s="96">
        <f>-PMT(B3/12,B4,B2)</f>
        <v>0</v>
      </c>
    </row>
    <row r="14" spans="1:6" ht="15" customHeight="1" x14ac:dyDescent="0.2">
      <c r="A14" s="97" t="s">
        <v>776</v>
      </c>
      <c r="B14" s="138" t="e">
        <f>(B12+B13)/B11</f>
        <v>#N/A</v>
      </c>
    </row>
    <row r="15" spans="1:6" ht="15" customHeight="1" x14ac:dyDescent="0.2">
      <c r="A15" s="97" t="s">
        <v>775</v>
      </c>
      <c r="B15" s="96" t="e">
        <f>IF(B14&gt;75%,"Not Eligible for applied Loan Amount","Eligible for Loan Maximum upto INR 50 lacs")</f>
        <v>#N/A</v>
      </c>
    </row>
    <row r="16" spans="1:6" ht="4.5" customHeight="1" x14ac:dyDescent="0.2"/>
    <row r="17" ht="9.75" hidden="1" customHeight="1" x14ac:dyDescent="0.2"/>
    <row r="18" ht="15" hidden="1" customHeight="1" x14ac:dyDescent="0.2"/>
    <row r="19" ht="15" hidden="1" customHeight="1" x14ac:dyDescent="0.2"/>
    <row r="20" ht="10.5" hidden="1" customHeight="1" x14ac:dyDescent="0.2"/>
    <row r="21" ht="15" hidden="1" customHeight="1" x14ac:dyDescent="0.2"/>
    <row r="22" ht="15" hidden="1" customHeight="1" x14ac:dyDescent="0.2"/>
    <row r="23" ht="15" hidden="1" customHeight="1" x14ac:dyDescent="0.2"/>
    <row r="24" ht="15" hidden="1" customHeight="1" x14ac:dyDescent="0.2"/>
    <row r="25" ht="15" hidden="1" customHeight="1" x14ac:dyDescent="0.2"/>
    <row r="26" ht="15" hidden="1" customHeight="1" x14ac:dyDescent="0.2"/>
    <row r="27" ht="15" hidden="1" customHeight="1" x14ac:dyDescent="0.2"/>
    <row r="28" ht="15" hidden="1" customHeight="1" x14ac:dyDescent="0.2"/>
    <row r="29" ht="15" hidden="1" customHeight="1" x14ac:dyDescent="0.2"/>
    <row r="30" ht="15" hidden="1" customHeight="1" x14ac:dyDescent="0.2"/>
    <row r="31" ht="15" hidden="1" customHeight="1" x14ac:dyDescent="0.2"/>
    <row r="32" ht="15" hidden="1" customHeight="1" x14ac:dyDescent="0.2"/>
  </sheetData>
  <sheetProtection algorithmName="SHA-512" hashValue="vdHKKtDHejet5LgsPRzCqyLYGrh75qh/q45qrPsn7qbaPoaBMDmGOr6+4fSCuRMhRR/NrwsPs65VHCXzkFPAtA==" saltValue="+JXZZdkPmMzm+6UFiu2vow==" spinCount="100000" sheet="1" objects="1" scenarios="1"/>
  <mergeCells count="3">
    <mergeCell ref="A1:B1"/>
    <mergeCell ref="A8:B8"/>
    <mergeCell ref="A6:B6"/>
  </mergeCells>
  <dataValidations count="4">
    <dataValidation type="whole" allowBlank="1" showInputMessage="1" showErrorMessage="1" sqref="B4" xr:uid="{00000000-0002-0000-0800-000000000000}">
      <formula1>12</formula1>
      <formula2>60</formula2>
    </dataValidation>
    <dataValidation operator="greaterThanOrEqual" showInputMessage="1" showErrorMessage="1" sqref="B3" xr:uid="{00000000-0002-0000-0800-000001000000}"/>
    <dataValidation type="list" allowBlank="1" showInputMessage="1" showErrorMessage="1" sqref="B5" xr:uid="{00000000-0002-0000-0800-000002000000}">
      <formula1>$E$4:$E$6</formula1>
    </dataValidation>
    <dataValidation allowBlank="1" showInputMessage="1" showErrorMessage="1" promptTitle="Max loan amount" prompt="INR 50 lacs" sqref="B2" xr:uid="{00000000-0002-0000-0800-000003000000}"/>
  </dataValidations>
  <pageMargins left="0.7" right="0.7" top="0.75" bottom="0.75" header="0.3" footer="0.3"/>
  <pageSetup paperSize="9"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0">
    <tabColor rgb="FFC00000"/>
  </sheetPr>
  <dimension ref="A1:XFC19"/>
  <sheetViews>
    <sheetView workbookViewId="0">
      <selection activeCell="B6" sqref="B6:G6"/>
    </sheetView>
  </sheetViews>
  <sheetFormatPr defaultColWidth="0" defaultRowHeight="12.75" zeroHeight="1" x14ac:dyDescent="0.2"/>
  <cols>
    <col min="1" max="1" width="49" style="18" bestFit="1" customWidth="1"/>
    <col min="2" max="5" width="20.7109375" style="18" customWidth="1"/>
    <col min="6" max="6" width="15.28515625" style="18" customWidth="1"/>
    <col min="7" max="7" width="16.140625" style="18" customWidth="1"/>
    <col min="8" max="8" width="10.140625" style="18" hidden="1"/>
    <col min="9" max="16383" width="9.140625" style="18" hidden="1"/>
    <col min="16384" max="16384" width="8.42578125" style="18" hidden="1"/>
  </cols>
  <sheetData>
    <row r="1" spans="1:10" ht="20.25" x14ac:dyDescent="0.3">
      <c r="A1" s="439" t="s">
        <v>472</v>
      </c>
      <c r="B1" s="439"/>
      <c r="C1" s="439"/>
      <c r="D1" s="439"/>
      <c r="E1" s="439"/>
      <c r="F1" s="439"/>
      <c r="G1" s="439"/>
    </row>
    <row r="2" spans="1:10" ht="15" customHeight="1" thickBot="1" x14ac:dyDescent="0.25">
      <c r="A2" s="129" t="s">
        <v>0</v>
      </c>
      <c r="B2" s="381">
        <f>'Loan Details'!B3</f>
        <v>0</v>
      </c>
      <c r="C2" s="381"/>
      <c r="D2" s="381"/>
      <c r="E2" s="381"/>
      <c r="F2" s="381"/>
      <c r="G2" s="381"/>
    </row>
    <row r="3" spans="1:10" ht="15" customHeight="1" thickBot="1" x14ac:dyDescent="0.25">
      <c r="A3" s="129" t="s">
        <v>2</v>
      </c>
      <c r="B3" s="382">
        <f>'Loan Details'!B4</f>
        <v>0.18</v>
      </c>
      <c r="C3" s="382"/>
      <c r="D3" s="382"/>
      <c r="E3" s="382"/>
      <c r="F3" s="382"/>
      <c r="G3" s="382"/>
      <c r="I3" s="36" t="s">
        <v>253</v>
      </c>
      <c r="J3" s="37" t="s">
        <v>254</v>
      </c>
    </row>
    <row r="4" spans="1:10" ht="15" customHeight="1" thickBot="1" x14ac:dyDescent="0.25">
      <c r="A4" s="129" t="s">
        <v>3</v>
      </c>
      <c r="B4" s="527">
        <f>'Loan Details'!B5</f>
        <v>48</v>
      </c>
      <c r="C4" s="527"/>
      <c r="D4" s="527"/>
      <c r="E4" s="527"/>
      <c r="F4" s="527"/>
      <c r="G4" s="527"/>
      <c r="I4" s="38">
        <v>1</v>
      </c>
      <c r="J4" s="39">
        <v>8</v>
      </c>
    </row>
    <row r="5" spans="1:10" ht="15" customHeight="1" thickBot="1" x14ac:dyDescent="0.35">
      <c r="A5" s="517" t="s">
        <v>4</v>
      </c>
      <c r="B5" s="517"/>
      <c r="C5" s="517"/>
      <c r="D5" s="517"/>
      <c r="E5" s="517"/>
      <c r="F5" s="517"/>
      <c r="G5" s="517"/>
      <c r="I5" s="38">
        <v>2</v>
      </c>
      <c r="J5" s="39">
        <v>12</v>
      </c>
    </row>
    <row r="6" spans="1:10" ht="14.25" customHeight="1" x14ac:dyDescent="0.2">
      <c r="A6" s="129" t="s">
        <v>5</v>
      </c>
      <c r="B6" s="381">
        <f>'Loan Details'!C12</f>
        <v>0</v>
      </c>
      <c r="C6" s="381"/>
      <c r="D6" s="381"/>
      <c r="E6" s="381"/>
      <c r="F6" s="381"/>
      <c r="G6" s="381"/>
      <c r="I6" s="32"/>
      <c r="J6" s="33"/>
    </row>
    <row r="7" spans="1:10" ht="15" customHeight="1" x14ac:dyDescent="0.3">
      <c r="A7" s="517" t="s">
        <v>6</v>
      </c>
      <c r="B7" s="517"/>
      <c r="C7" s="517"/>
      <c r="D7" s="517"/>
      <c r="E7" s="517"/>
      <c r="F7" s="517"/>
      <c r="G7" s="517"/>
      <c r="I7" s="34"/>
      <c r="J7" s="35"/>
    </row>
    <row r="8" spans="1:10" ht="15" thickBot="1" x14ac:dyDescent="0.25">
      <c r="A8" s="525" t="s">
        <v>250</v>
      </c>
      <c r="B8" s="114" t="s">
        <v>444</v>
      </c>
      <c r="C8" s="114" t="s">
        <v>445</v>
      </c>
      <c r="D8" s="114" t="s">
        <v>446</v>
      </c>
      <c r="E8" s="114" t="s">
        <v>447</v>
      </c>
      <c r="F8" s="114" t="s">
        <v>448</v>
      </c>
      <c r="G8" s="114" t="s">
        <v>449</v>
      </c>
      <c r="I8" s="38">
        <v>3</v>
      </c>
      <c r="J8" s="39">
        <v>15</v>
      </c>
    </row>
    <row r="9" spans="1:10" ht="15" customHeight="1" thickBot="1" x14ac:dyDescent="0.25">
      <c r="A9" s="526"/>
      <c r="B9" s="106">
        <v>0</v>
      </c>
      <c r="C9" s="106">
        <v>0</v>
      </c>
      <c r="D9" s="106">
        <v>0</v>
      </c>
      <c r="E9" s="106">
        <v>0</v>
      </c>
      <c r="F9" s="106">
        <v>0</v>
      </c>
      <c r="G9" s="107">
        <v>0</v>
      </c>
      <c r="I9" s="38">
        <v>4</v>
      </c>
      <c r="J9" s="39">
        <v>18</v>
      </c>
    </row>
    <row r="10" spans="1:10" ht="15" customHeight="1" thickBot="1" x14ac:dyDescent="0.25">
      <c r="A10" s="525" t="s">
        <v>251</v>
      </c>
      <c r="B10" s="409" t="s">
        <v>447</v>
      </c>
      <c r="C10" s="410"/>
      <c r="D10" s="409" t="s">
        <v>448</v>
      </c>
      <c r="E10" s="410"/>
      <c r="F10" s="409" t="s">
        <v>449</v>
      </c>
      <c r="G10" s="410"/>
      <c r="I10" s="38">
        <v>5</v>
      </c>
      <c r="J10" s="39">
        <v>20</v>
      </c>
    </row>
    <row r="11" spans="1:10" ht="15" customHeight="1" x14ac:dyDescent="0.2">
      <c r="A11" s="526"/>
      <c r="B11" s="388">
        <v>0</v>
      </c>
      <c r="C11" s="389"/>
      <c r="D11" s="388">
        <v>0</v>
      </c>
      <c r="E11" s="389"/>
      <c r="F11" s="388"/>
      <c r="G11" s="389"/>
    </row>
    <row r="12" spans="1:10" ht="15" customHeight="1" x14ac:dyDescent="0.2">
      <c r="A12" s="129" t="s">
        <v>252</v>
      </c>
      <c r="B12" s="524">
        <f>VLOOKUP(ROUNDUP(B4/12,0),I:J,2,0)</f>
        <v>18</v>
      </c>
      <c r="C12" s="524"/>
      <c r="D12" s="524"/>
      <c r="E12" s="524"/>
      <c r="F12" s="524"/>
      <c r="G12" s="524"/>
    </row>
    <row r="13" spans="1:10" ht="15" customHeight="1" x14ac:dyDescent="0.2">
      <c r="A13" s="129" t="s">
        <v>779</v>
      </c>
      <c r="B13" s="521">
        <f>(AVERAGE(B11:G11)+AVERAGE(B9:G9))*0.75</f>
        <v>0</v>
      </c>
      <c r="C13" s="521"/>
      <c r="D13" s="521"/>
      <c r="E13" s="521"/>
      <c r="F13" s="521"/>
      <c r="G13" s="521"/>
    </row>
    <row r="14" spans="1:10" ht="15" customHeight="1" x14ac:dyDescent="0.2">
      <c r="A14" s="123" t="s">
        <v>850</v>
      </c>
      <c r="B14" s="522">
        <f>B13-B6</f>
        <v>0</v>
      </c>
      <c r="C14" s="523"/>
      <c r="D14" s="523"/>
      <c r="E14" s="523"/>
      <c r="F14" s="523"/>
      <c r="G14" s="523"/>
    </row>
    <row r="15" spans="1:10" ht="15" customHeight="1" x14ac:dyDescent="0.2">
      <c r="A15" s="123" t="s">
        <v>247</v>
      </c>
      <c r="B15" s="461">
        <f>B14*B12</f>
        <v>0</v>
      </c>
      <c r="C15" s="462"/>
      <c r="D15" s="462"/>
      <c r="E15" s="462"/>
      <c r="F15" s="462"/>
      <c r="G15" s="462"/>
    </row>
    <row r="16" spans="1:10" ht="15" customHeight="1" x14ac:dyDescent="0.2">
      <c r="A16" s="129" t="s">
        <v>522</v>
      </c>
      <c r="B16" s="514">
        <f>MIN(B15,B2)</f>
        <v>0</v>
      </c>
      <c r="C16" s="514"/>
      <c r="D16" s="514"/>
      <c r="E16" s="514"/>
      <c r="F16" s="514"/>
      <c r="G16" s="514"/>
    </row>
    <row r="17" spans="1:7" ht="15" customHeight="1" x14ac:dyDescent="0.2">
      <c r="A17" s="129" t="s">
        <v>12</v>
      </c>
      <c r="B17" s="514">
        <f>PMT(B3/12,B4,-B16)</f>
        <v>0</v>
      </c>
      <c r="C17" s="514"/>
      <c r="D17" s="514"/>
      <c r="E17" s="514"/>
      <c r="F17" s="514"/>
      <c r="G17" s="514"/>
    </row>
    <row r="18" spans="1:7" ht="6" customHeight="1" x14ac:dyDescent="0.2"/>
    <row r="19" spans="1:7" ht="5.25" hidden="1" customHeight="1" x14ac:dyDescent="0.2"/>
  </sheetData>
  <sheetProtection algorithmName="SHA-512" hashValue="/te4M0Tre1Wv71mNzO42XuniCYP+XqZPIZcvM2jnsqVeJBnFZnhfGcANA9RY85RdYFZ6hq8YHrcVuuRc8MnaeA==" saltValue="yo49Ys1f3QEpMVJvOyfK0g==" spinCount="100000" sheet="1" objects="1" scenarios="1"/>
  <mergeCells count="21">
    <mergeCell ref="B4:G4"/>
    <mergeCell ref="A8:A9"/>
    <mergeCell ref="A7:G7"/>
    <mergeCell ref="A5:G5"/>
    <mergeCell ref="A1:G1"/>
    <mergeCell ref="B2:G2"/>
    <mergeCell ref="B3:G3"/>
    <mergeCell ref="A10:A11"/>
    <mergeCell ref="B10:C10"/>
    <mergeCell ref="D10:E10"/>
    <mergeCell ref="F10:G10"/>
    <mergeCell ref="B11:C11"/>
    <mergeCell ref="D11:E11"/>
    <mergeCell ref="F11:G11"/>
    <mergeCell ref="B17:G17"/>
    <mergeCell ref="B15:G15"/>
    <mergeCell ref="B16:G16"/>
    <mergeCell ref="B6:G6"/>
    <mergeCell ref="B13:G13"/>
    <mergeCell ref="B14:G14"/>
    <mergeCell ref="B12:G12"/>
  </mergeCells>
  <dataValidations count="1">
    <dataValidation operator="greaterThanOrEqual" showInputMessage="1" showErrorMessage="1" sqref="B3:G4" xr:uid="{00000000-0002-0000-0900-000000000000}"/>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6"/>
  <dimension ref="A1:R92"/>
  <sheetViews>
    <sheetView zoomScale="90" zoomScaleNormal="90" workbookViewId="0">
      <selection activeCell="K21" sqref="K21:Q21"/>
    </sheetView>
  </sheetViews>
  <sheetFormatPr defaultColWidth="0" defaultRowHeight="15" zeroHeight="1" x14ac:dyDescent="0.25"/>
  <cols>
    <col min="1" max="1" width="12.28515625" style="13" customWidth="1"/>
    <col min="2" max="2" width="11.5703125" style="13" customWidth="1"/>
    <col min="3" max="4" width="19.5703125" style="13" customWidth="1"/>
    <col min="5" max="8" width="9.140625" style="13" customWidth="1"/>
    <col min="9" max="10" width="10.42578125" style="13" customWidth="1"/>
    <col min="11" max="13" width="9.140625" style="13" customWidth="1"/>
    <col min="14" max="17" width="11.7109375" style="13" customWidth="1"/>
    <col min="18" max="18" width="2" style="13" customWidth="1"/>
    <col min="19" max="16384" width="9.140625" style="13" hidden="1"/>
  </cols>
  <sheetData>
    <row r="1" spans="1:17" ht="20.25" x14ac:dyDescent="0.25">
      <c r="A1" s="531" t="s">
        <v>523</v>
      </c>
      <c r="B1" s="531"/>
      <c r="C1" s="531"/>
      <c r="D1" s="531"/>
      <c r="E1" s="531"/>
      <c r="F1" s="531"/>
      <c r="G1" s="531"/>
      <c r="H1" s="531"/>
      <c r="I1" s="531"/>
      <c r="J1" s="531"/>
      <c r="K1" s="531"/>
      <c r="L1" s="531"/>
      <c r="M1" s="531"/>
      <c r="N1" s="531"/>
      <c r="O1" s="531"/>
      <c r="P1" s="531"/>
      <c r="Q1" s="531"/>
    </row>
    <row r="2" spans="1:17" ht="15.75" x14ac:dyDescent="0.25">
      <c r="A2" s="528" t="s">
        <v>826</v>
      </c>
      <c r="B2" s="528"/>
      <c r="C2" s="529"/>
      <c r="D2" s="529"/>
      <c r="E2" s="529"/>
      <c r="F2" s="529"/>
      <c r="G2" s="529"/>
      <c r="H2" s="529"/>
      <c r="I2" s="530" t="str">
        <f>IF(C2="Rented","Permanent address to be documented","OK to proceed")</f>
        <v>OK to proceed</v>
      </c>
      <c r="J2" s="530"/>
      <c r="K2" s="530"/>
      <c r="L2" s="530"/>
      <c r="M2" s="530"/>
      <c r="N2" s="530"/>
      <c r="O2" s="530"/>
      <c r="P2" s="530"/>
      <c r="Q2" s="530"/>
    </row>
    <row r="3" spans="1:17" ht="15.75" x14ac:dyDescent="0.25">
      <c r="A3" s="528" t="s">
        <v>823</v>
      </c>
      <c r="B3" s="528"/>
      <c r="C3" s="529"/>
      <c r="D3" s="529"/>
      <c r="E3" s="529"/>
      <c r="F3" s="529"/>
      <c r="G3" s="529"/>
      <c r="H3" s="529"/>
      <c r="I3" s="530" t="str">
        <f>IF(C3="None","Need ACM deviation if CIBIL TU score&gt;=750 else RCM deviation","Ownership norms met")</f>
        <v>Ownership norms met</v>
      </c>
      <c r="J3" s="530"/>
      <c r="K3" s="530"/>
      <c r="L3" s="530"/>
      <c r="M3" s="530"/>
      <c r="N3" s="530"/>
      <c r="O3" s="530"/>
      <c r="P3" s="530"/>
      <c r="Q3" s="530"/>
    </row>
    <row r="4" spans="1:17" x14ac:dyDescent="0.25">
      <c r="A4" s="528" t="s">
        <v>824</v>
      </c>
      <c r="B4" s="528"/>
      <c r="C4" s="528" t="s">
        <v>825</v>
      </c>
      <c r="D4" s="528"/>
      <c r="E4" s="528"/>
      <c r="F4" s="528" t="s">
        <v>231</v>
      </c>
      <c r="G4" s="528"/>
      <c r="H4" s="528"/>
      <c r="I4" s="530" t="str">
        <f>IF((C5-F5)&lt;180,"Need ACM Deviation","Deviation not required")</f>
        <v>Need ACM Deviation</v>
      </c>
      <c r="J4" s="530"/>
      <c r="K4" s="530"/>
      <c r="L4" s="530"/>
      <c r="M4" s="530"/>
      <c r="N4" s="530"/>
      <c r="O4" s="530"/>
      <c r="P4" s="530"/>
      <c r="Q4" s="530"/>
    </row>
    <row r="5" spans="1:17" x14ac:dyDescent="0.25">
      <c r="A5" s="528"/>
      <c r="B5" s="528"/>
      <c r="C5" s="541"/>
      <c r="D5" s="541"/>
      <c r="E5" s="541"/>
      <c r="F5" s="541"/>
      <c r="G5" s="541"/>
      <c r="H5" s="541"/>
      <c r="I5" s="530"/>
      <c r="J5" s="530"/>
      <c r="K5" s="530"/>
      <c r="L5" s="530"/>
      <c r="M5" s="530"/>
      <c r="N5" s="530"/>
      <c r="O5" s="530"/>
      <c r="P5" s="530"/>
      <c r="Q5" s="530"/>
    </row>
    <row r="6" spans="1:17" ht="15.75" x14ac:dyDescent="0.25">
      <c r="A6" s="528" t="s">
        <v>827</v>
      </c>
      <c r="B6" s="528"/>
      <c r="C6" s="529"/>
      <c r="D6" s="529"/>
      <c r="E6" s="529"/>
      <c r="F6" s="529"/>
      <c r="G6" s="529"/>
      <c r="H6" s="529"/>
      <c r="I6" s="530"/>
      <c r="J6" s="530"/>
      <c r="K6" s="530"/>
      <c r="L6" s="530"/>
      <c r="M6" s="530"/>
      <c r="N6" s="530"/>
      <c r="O6" s="530"/>
      <c r="P6" s="530"/>
      <c r="Q6" s="530"/>
    </row>
    <row r="7" spans="1:17" ht="15.75" x14ac:dyDescent="0.25">
      <c r="A7" s="528" t="s">
        <v>828</v>
      </c>
      <c r="B7" s="528"/>
      <c r="C7" s="529"/>
      <c r="D7" s="529"/>
      <c r="E7" s="529"/>
      <c r="F7" s="529"/>
      <c r="G7" s="529"/>
      <c r="H7" s="529"/>
      <c r="I7" s="530"/>
      <c r="J7" s="530"/>
      <c r="K7" s="530"/>
      <c r="L7" s="530"/>
      <c r="M7" s="530"/>
      <c r="N7" s="530"/>
      <c r="O7" s="530"/>
      <c r="P7" s="530"/>
      <c r="Q7" s="530"/>
    </row>
    <row r="8" spans="1:17" ht="20.25" x14ac:dyDescent="0.25">
      <c r="A8" s="531" t="s">
        <v>839</v>
      </c>
      <c r="B8" s="531"/>
      <c r="C8" s="531"/>
      <c r="D8" s="531"/>
      <c r="E8" s="531"/>
      <c r="F8" s="531"/>
      <c r="G8" s="531"/>
      <c r="H8" s="531"/>
      <c r="I8" s="531"/>
      <c r="J8" s="531"/>
      <c r="K8" s="531"/>
      <c r="L8" s="531"/>
      <c r="M8" s="531"/>
      <c r="N8" s="531"/>
      <c r="O8" s="531"/>
      <c r="P8" s="531"/>
      <c r="Q8" s="531"/>
    </row>
    <row r="9" spans="1:17" ht="15.75" x14ac:dyDescent="0.25">
      <c r="A9" s="528" t="s">
        <v>766</v>
      </c>
      <c r="B9" s="528"/>
      <c r="C9" s="529"/>
      <c r="D9" s="529"/>
      <c r="E9" s="529"/>
      <c r="F9" s="529"/>
      <c r="G9" s="529"/>
      <c r="H9" s="529"/>
      <c r="I9" s="528" t="s">
        <v>768</v>
      </c>
      <c r="J9" s="528"/>
      <c r="K9" s="544"/>
      <c r="L9" s="545"/>
      <c r="M9" s="546"/>
      <c r="N9" s="530" t="str">
        <f>IF(K9="Proprietary","Co-applicant must be Father/ Mother/ Spouse/ Son","51% holders must be on the loan structure")</f>
        <v>51% holders must be on the loan structure</v>
      </c>
      <c r="O9" s="530"/>
      <c r="P9" s="530"/>
      <c r="Q9" s="530"/>
    </row>
    <row r="10" spans="1:17" ht="15.75" x14ac:dyDescent="0.25">
      <c r="A10" s="528" t="s">
        <v>765</v>
      </c>
      <c r="B10" s="528"/>
      <c r="C10" s="540"/>
      <c r="D10" s="540"/>
      <c r="E10" s="540"/>
      <c r="F10" s="540"/>
      <c r="G10" s="540"/>
      <c r="H10" s="540"/>
      <c r="I10" s="528" t="s">
        <v>767</v>
      </c>
      <c r="J10" s="528"/>
      <c r="K10" s="537">
        <f>-(C10-C14)/365</f>
        <v>0</v>
      </c>
      <c r="L10" s="537"/>
      <c r="M10" s="537"/>
      <c r="N10" s="530" t="str">
        <f>IF(K10&lt;3,"Business Vintage norm not met, need RCM approval","Business Vintage norm met")</f>
        <v>Business Vintage norm not met, need RCM approval</v>
      </c>
      <c r="O10" s="530"/>
      <c r="P10" s="530"/>
      <c r="Q10" s="530"/>
    </row>
    <row r="11" spans="1:17" ht="20.25" x14ac:dyDescent="0.25">
      <c r="A11" s="531" t="s">
        <v>451</v>
      </c>
      <c r="B11" s="531"/>
      <c r="C11" s="531"/>
      <c r="D11" s="531"/>
      <c r="E11" s="531"/>
      <c r="F11" s="531"/>
      <c r="G11" s="531"/>
      <c r="H11" s="531"/>
      <c r="I11" s="531"/>
      <c r="J11" s="531"/>
      <c r="K11" s="531"/>
      <c r="L11" s="531"/>
      <c r="M11" s="531"/>
      <c r="N11" s="531"/>
      <c r="O11" s="531"/>
      <c r="P11" s="531"/>
      <c r="Q11" s="531"/>
    </row>
    <row r="12" spans="1:17" ht="15.75" x14ac:dyDescent="0.25">
      <c r="A12" s="528" t="s">
        <v>452</v>
      </c>
      <c r="B12" s="528"/>
      <c r="C12" s="529"/>
      <c r="D12" s="529"/>
      <c r="E12" s="529"/>
      <c r="F12" s="529"/>
      <c r="G12" s="529"/>
      <c r="H12" s="529"/>
      <c r="I12" s="528" t="s">
        <v>436</v>
      </c>
      <c r="J12" s="528"/>
      <c r="K12" s="543"/>
      <c r="L12" s="543"/>
      <c r="M12" s="543"/>
      <c r="N12" s="543"/>
      <c r="O12" s="543"/>
      <c r="P12" s="543"/>
      <c r="Q12" s="543"/>
    </row>
    <row r="13" spans="1:17" ht="15.75" x14ac:dyDescent="0.25">
      <c r="A13" s="528" t="s">
        <v>453</v>
      </c>
      <c r="B13" s="528"/>
      <c r="C13" s="540"/>
      <c r="D13" s="540"/>
      <c r="E13" s="540"/>
      <c r="F13" s="540"/>
      <c r="G13" s="540"/>
      <c r="H13" s="540"/>
      <c r="I13" s="528" t="s">
        <v>454</v>
      </c>
      <c r="J13" s="528"/>
      <c r="K13" s="537">
        <f>-(C13-C14)/365</f>
        <v>0</v>
      </c>
      <c r="L13" s="537"/>
      <c r="M13" s="537"/>
      <c r="N13" s="530" t="str">
        <f>IF(OR(AND(K13&gt;65,K12="SENP"),AND(K13&gt;70,K12="SEP"),AND(K13&gt;70,K12="Doctor")),"Age is more than Eligible Norm, need ACM approval",IF(OR(AND(K13&gt;=25,K12="SENP"),AND(K13&gt;=27,K12="SEP"),AND(K13&gt;=27,K12="Doctor")),"Customer Age is Eligible","Age is less than Eligible Norm, need ACM approval"))</f>
        <v>Age is less than Eligible Norm, need ACM approval</v>
      </c>
      <c r="O13" s="530"/>
      <c r="P13" s="530"/>
      <c r="Q13" s="530"/>
    </row>
    <row r="14" spans="1:17" ht="15.75" x14ac:dyDescent="0.25">
      <c r="A14" s="528" t="s">
        <v>455</v>
      </c>
      <c r="B14" s="528"/>
      <c r="C14" s="541"/>
      <c r="D14" s="541"/>
      <c r="E14" s="528" t="s">
        <v>253</v>
      </c>
      <c r="F14" s="528"/>
      <c r="G14" s="542"/>
      <c r="H14" s="542"/>
      <c r="I14" s="528" t="s">
        <v>456</v>
      </c>
      <c r="J14" s="528"/>
      <c r="K14" s="537">
        <f>-(C13-(C14+(G14*30)))/365</f>
        <v>0</v>
      </c>
      <c r="L14" s="537"/>
      <c r="M14" s="537"/>
      <c r="N14" s="530" t="str">
        <f>IF(OR(AND(K14&gt;65,K12="SENP"),AND(K14&gt;70,K12="SEP"),AND(K14&gt;70,K12="Doctor")),"Age is more than Eligible Norm, need ACM approval",IF(OR(AND(K14&gt;=25,K12="SENP"),AND(K14&gt;=27,K12="SEP"),AND(K14&gt;=27,K12="Doctor")),"Customer Age is Eligible","Age is less than Eligible Norm, need ACM approval"))</f>
        <v>Age is less than Eligible Norm, need ACM approval</v>
      </c>
      <c r="O14" s="530"/>
      <c r="P14" s="530"/>
      <c r="Q14" s="530"/>
    </row>
    <row r="15" spans="1:17" ht="15.75" x14ac:dyDescent="0.25">
      <c r="A15" s="538" t="s">
        <v>457</v>
      </c>
      <c r="B15" s="538"/>
      <c r="C15" s="538"/>
      <c r="D15" s="538"/>
      <c r="E15" s="538"/>
      <c r="F15" s="538"/>
      <c r="G15" s="538"/>
      <c r="H15" s="538"/>
      <c r="I15" s="538"/>
      <c r="J15" s="538"/>
      <c r="K15" s="538"/>
      <c r="L15" s="538"/>
      <c r="M15" s="538"/>
      <c r="N15" s="538"/>
      <c r="O15" s="538"/>
      <c r="P15" s="538"/>
      <c r="Q15" s="538"/>
    </row>
    <row r="16" spans="1:17" ht="15.75" x14ac:dyDescent="0.25">
      <c r="A16" s="539" t="s">
        <v>458</v>
      </c>
      <c r="B16" s="539"/>
      <c r="C16" s="539" t="s">
        <v>459</v>
      </c>
      <c r="D16" s="539"/>
      <c r="E16" s="539" t="s">
        <v>460</v>
      </c>
      <c r="F16" s="539"/>
      <c r="G16" s="539"/>
      <c r="H16" s="539"/>
      <c r="I16" s="539"/>
      <c r="J16" s="539"/>
      <c r="K16" s="539"/>
      <c r="L16" s="539" t="s">
        <v>748</v>
      </c>
      <c r="M16" s="539"/>
      <c r="N16" s="539"/>
      <c r="O16" s="539"/>
      <c r="P16" s="539"/>
      <c r="Q16" s="539"/>
    </row>
    <row r="17" spans="1:17" x14ac:dyDescent="0.25">
      <c r="A17" s="60" t="s">
        <v>461</v>
      </c>
      <c r="B17" s="535" t="s">
        <v>462</v>
      </c>
      <c r="C17" s="532" t="s">
        <v>463</v>
      </c>
      <c r="D17" s="532"/>
      <c r="E17" s="536">
        <v>0</v>
      </c>
      <c r="F17" s="536"/>
      <c r="G17" s="536"/>
      <c r="H17" s="536"/>
      <c r="I17" s="536"/>
      <c r="J17" s="536"/>
      <c r="K17" s="536"/>
      <c r="L17" s="534" t="str">
        <f>IF(E17&lt;700,"CIBIL Score Norms Not Met","CIBIL Norms Met")</f>
        <v>CIBIL Score Norms Not Met</v>
      </c>
      <c r="M17" s="534"/>
      <c r="N17" s="534"/>
      <c r="O17" s="534"/>
      <c r="P17" s="534"/>
      <c r="Q17" s="534"/>
    </row>
    <row r="18" spans="1:17" x14ac:dyDescent="0.25">
      <c r="A18" s="69"/>
      <c r="B18" s="535"/>
      <c r="C18" s="532" t="s">
        <v>464</v>
      </c>
      <c r="D18" s="532"/>
      <c r="E18" s="536"/>
      <c r="F18" s="536"/>
      <c r="G18" s="536"/>
      <c r="H18" s="536"/>
      <c r="I18" s="536"/>
      <c r="J18" s="536"/>
      <c r="K18" s="536"/>
      <c r="L18" s="534"/>
      <c r="M18" s="534"/>
      <c r="N18" s="534"/>
      <c r="O18" s="534"/>
      <c r="P18" s="534"/>
      <c r="Q18" s="534"/>
    </row>
    <row r="19" spans="1:17" ht="24" x14ac:dyDescent="0.25">
      <c r="A19" s="16" t="str">
        <f ca="1">IF((TODAY()-A18)&gt;45,"CIBIL EXPIRED","CIBIL VALID")</f>
        <v>CIBIL EXPIRED</v>
      </c>
      <c r="B19" s="17" t="s">
        <v>465</v>
      </c>
      <c r="C19" s="532" t="s">
        <v>466</v>
      </c>
      <c r="D19" s="532"/>
      <c r="E19" s="533"/>
      <c r="F19" s="533"/>
      <c r="G19" s="533"/>
      <c r="H19" s="533"/>
      <c r="I19" s="533"/>
      <c r="J19" s="533"/>
      <c r="K19" s="533"/>
      <c r="L19" s="534" t="str">
        <f>IF(E19&lt;=3,"No Deviation required",IF(E19&lt;=5,"CM deviation",IF(E19&lt;=7,"Need ACM Deviation for enquiries",IF(E19&lt;=10,"Need RCM Deviation for enquiries","ZCM deviation"))))</f>
        <v>No Deviation required</v>
      </c>
      <c r="M19" s="534"/>
      <c r="N19" s="534"/>
      <c r="O19" s="534"/>
      <c r="P19" s="534"/>
      <c r="Q19" s="534"/>
    </row>
    <row r="20" spans="1:17" ht="20.25" x14ac:dyDescent="0.25">
      <c r="A20" s="531" t="s">
        <v>467</v>
      </c>
      <c r="B20" s="531"/>
      <c r="C20" s="531"/>
      <c r="D20" s="531"/>
      <c r="E20" s="531"/>
      <c r="F20" s="531"/>
      <c r="G20" s="531"/>
      <c r="H20" s="531"/>
      <c r="I20" s="531"/>
      <c r="J20" s="531"/>
      <c r="K20" s="531"/>
      <c r="L20" s="531"/>
      <c r="M20" s="531"/>
      <c r="N20" s="531"/>
      <c r="O20" s="531"/>
      <c r="P20" s="531"/>
      <c r="Q20" s="531"/>
    </row>
    <row r="21" spans="1:17" ht="15.75" x14ac:dyDescent="0.25">
      <c r="A21" s="528" t="s">
        <v>452</v>
      </c>
      <c r="B21" s="528"/>
      <c r="C21" s="529"/>
      <c r="D21" s="529"/>
      <c r="E21" s="529"/>
      <c r="F21" s="529"/>
      <c r="G21" s="529"/>
      <c r="H21" s="529"/>
      <c r="I21" s="528" t="s">
        <v>436</v>
      </c>
      <c r="J21" s="528"/>
      <c r="K21" s="543"/>
      <c r="L21" s="543"/>
      <c r="M21" s="543"/>
      <c r="N21" s="543"/>
      <c r="O21" s="543"/>
      <c r="P21" s="543"/>
      <c r="Q21" s="543"/>
    </row>
    <row r="22" spans="1:17" ht="15.75" x14ac:dyDescent="0.25">
      <c r="A22" s="528" t="s">
        <v>453</v>
      </c>
      <c r="B22" s="528"/>
      <c r="C22" s="540"/>
      <c r="D22" s="540"/>
      <c r="E22" s="540"/>
      <c r="F22" s="540"/>
      <c r="G22" s="540"/>
      <c r="H22" s="540"/>
      <c r="I22" s="528" t="s">
        <v>454</v>
      </c>
      <c r="J22" s="528"/>
      <c r="K22" s="537">
        <f>-(C22-C23)/365</f>
        <v>0</v>
      </c>
      <c r="L22" s="537"/>
      <c r="M22" s="537"/>
      <c r="N22" s="530" t="str">
        <f>IF(OR(AND(K22&gt;65,K21="SENP"),AND(K22&gt;70,K21="SEP"),AND(K22&gt;70,K21="Doctor")),"Age is more than Eligible Norm, need ACM approval",IF(OR(AND(K22&gt;=25,K21="SENP"),AND(K22&gt;=27,K21="SEP"),AND(K22&gt;=27,K21="Doctor")),"Customer Age is Eligible","Age is less than Eligible Norm, need ACM approval"))</f>
        <v>Age is less than Eligible Norm, need ACM approval</v>
      </c>
      <c r="O22" s="530"/>
      <c r="P22" s="530"/>
      <c r="Q22" s="530"/>
    </row>
    <row r="23" spans="1:17" ht="15.75" x14ac:dyDescent="0.25">
      <c r="A23" s="528" t="s">
        <v>455</v>
      </c>
      <c r="B23" s="528"/>
      <c r="C23" s="541"/>
      <c r="D23" s="541"/>
      <c r="E23" s="528" t="s">
        <v>253</v>
      </c>
      <c r="F23" s="528"/>
      <c r="G23" s="542"/>
      <c r="H23" s="542"/>
      <c r="I23" s="528" t="s">
        <v>456</v>
      </c>
      <c r="J23" s="528"/>
      <c r="K23" s="537">
        <f>-(C22-(C23+(G23*30)))/365</f>
        <v>0</v>
      </c>
      <c r="L23" s="537"/>
      <c r="M23" s="537"/>
      <c r="N23" s="530" t="str">
        <f>IF(OR(AND(K23&gt;65,K21="SENP"),AND(K23&gt;70,K21="SEP"),AND(K23&gt;70,K21="Doctor")),"Age is more than Eligible Norm, need ACM approval",IF(OR(AND(K23&gt;=25,K21="SENP"),AND(K23&gt;=27,K21="SEP"),AND(K23&gt;=27,K21="Doctor")),"Customer Age is Eligible","Age is less than Eligible Norm, need ACM approval"))</f>
        <v>Age is less than Eligible Norm, need ACM approval</v>
      </c>
      <c r="O23" s="530"/>
      <c r="P23" s="530"/>
      <c r="Q23" s="530"/>
    </row>
    <row r="24" spans="1:17" ht="15.75" x14ac:dyDescent="0.25">
      <c r="A24" s="538" t="s">
        <v>457</v>
      </c>
      <c r="B24" s="538"/>
      <c r="C24" s="538"/>
      <c r="D24" s="538"/>
      <c r="E24" s="538"/>
      <c r="F24" s="538"/>
      <c r="G24" s="538"/>
      <c r="H24" s="538"/>
      <c r="I24" s="538"/>
      <c r="J24" s="538"/>
      <c r="K24" s="538"/>
      <c r="L24" s="538"/>
      <c r="M24" s="538"/>
      <c r="N24" s="538"/>
      <c r="O24" s="538"/>
      <c r="P24" s="538"/>
      <c r="Q24" s="538"/>
    </row>
    <row r="25" spans="1:17" ht="15.75" x14ac:dyDescent="0.25">
      <c r="A25" s="539" t="s">
        <v>458</v>
      </c>
      <c r="B25" s="539"/>
      <c r="C25" s="539" t="s">
        <v>459</v>
      </c>
      <c r="D25" s="539"/>
      <c r="E25" s="539" t="s">
        <v>460</v>
      </c>
      <c r="F25" s="539"/>
      <c r="G25" s="539"/>
      <c r="H25" s="539"/>
      <c r="I25" s="539"/>
      <c r="J25" s="539"/>
      <c r="K25" s="539"/>
      <c r="L25" s="539" t="s">
        <v>748</v>
      </c>
      <c r="M25" s="539"/>
      <c r="N25" s="539"/>
      <c r="O25" s="539"/>
      <c r="P25" s="539"/>
      <c r="Q25" s="539"/>
    </row>
    <row r="26" spans="1:17" x14ac:dyDescent="0.25">
      <c r="A26" s="60" t="s">
        <v>461</v>
      </c>
      <c r="B26" s="535" t="s">
        <v>462</v>
      </c>
      <c r="C26" s="532" t="s">
        <v>463</v>
      </c>
      <c r="D26" s="532"/>
      <c r="E26" s="536"/>
      <c r="F26" s="536"/>
      <c r="G26" s="536"/>
      <c r="H26" s="536"/>
      <c r="I26" s="536"/>
      <c r="J26" s="536"/>
      <c r="K26" s="536"/>
      <c r="L26" s="534" t="str">
        <f>IF(E26&lt;700,"CIBIL Score Norms Not Met","CIBIL Norms Met")</f>
        <v>CIBIL Score Norms Not Met</v>
      </c>
      <c r="M26" s="534"/>
      <c r="N26" s="534"/>
      <c r="O26" s="534"/>
      <c r="P26" s="534"/>
      <c r="Q26" s="534"/>
    </row>
    <row r="27" spans="1:17" x14ac:dyDescent="0.25">
      <c r="A27" s="69"/>
      <c r="B27" s="535"/>
      <c r="C27" s="532" t="s">
        <v>464</v>
      </c>
      <c r="D27" s="532"/>
      <c r="E27" s="533"/>
      <c r="F27" s="533"/>
      <c r="G27" s="533"/>
      <c r="H27" s="533"/>
      <c r="I27" s="533"/>
      <c r="J27" s="533"/>
      <c r="K27" s="533"/>
      <c r="L27" s="534"/>
      <c r="M27" s="534"/>
      <c r="N27" s="534"/>
      <c r="O27" s="534"/>
      <c r="P27" s="534"/>
      <c r="Q27" s="534"/>
    </row>
    <row r="28" spans="1:17" ht="24" x14ac:dyDescent="0.25">
      <c r="A28" s="16" t="str">
        <f ca="1">IF((TODAY()-A27)&gt;45,"CIBIL EXPIRED","CIBIL VALID")</f>
        <v>CIBIL EXPIRED</v>
      </c>
      <c r="B28" s="17" t="s">
        <v>465</v>
      </c>
      <c r="C28" s="532" t="s">
        <v>466</v>
      </c>
      <c r="D28" s="532"/>
      <c r="E28" s="533">
        <v>0</v>
      </c>
      <c r="F28" s="533"/>
      <c r="G28" s="533"/>
      <c r="H28" s="533"/>
      <c r="I28" s="533"/>
      <c r="J28" s="533"/>
      <c r="K28" s="533"/>
      <c r="L28" s="534" t="str">
        <f>IF(E28&lt;=3,"No Deviation required",IF(E28&lt;=5,"CM deviation",IF(E28&lt;=7,"Need ACM Deviation for enquiries",IF(E28&lt;=10,"Need RCM Deviation for enquiries","ZCM deviation"))))</f>
        <v>No Deviation required</v>
      </c>
      <c r="M28" s="534"/>
      <c r="N28" s="534"/>
      <c r="O28" s="534"/>
      <c r="P28" s="534"/>
      <c r="Q28" s="534"/>
    </row>
    <row r="29" spans="1:17" ht="20.25" x14ac:dyDescent="0.25">
      <c r="A29" s="531" t="s">
        <v>470</v>
      </c>
      <c r="B29" s="531"/>
      <c r="C29" s="531"/>
      <c r="D29" s="531"/>
      <c r="E29" s="531"/>
      <c r="F29" s="531"/>
      <c r="G29" s="531"/>
      <c r="H29" s="531"/>
      <c r="I29" s="531"/>
      <c r="J29" s="531"/>
      <c r="K29" s="531"/>
      <c r="L29" s="531"/>
      <c r="M29" s="531"/>
      <c r="N29" s="531"/>
      <c r="O29" s="531"/>
      <c r="P29" s="531"/>
      <c r="Q29" s="531"/>
    </row>
    <row r="30" spans="1:17" ht="15.75" x14ac:dyDescent="0.25">
      <c r="A30" s="528" t="s">
        <v>452</v>
      </c>
      <c r="B30" s="528"/>
      <c r="C30" s="529"/>
      <c r="D30" s="529"/>
      <c r="E30" s="529"/>
      <c r="F30" s="529"/>
      <c r="G30" s="529"/>
      <c r="H30" s="529"/>
      <c r="I30" s="528" t="s">
        <v>436</v>
      </c>
      <c r="J30" s="528"/>
      <c r="K30" s="543"/>
      <c r="L30" s="543"/>
      <c r="M30" s="543"/>
      <c r="N30" s="543"/>
      <c r="O30" s="543"/>
      <c r="P30" s="543"/>
      <c r="Q30" s="543"/>
    </row>
    <row r="31" spans="1:17" ht="15.75" x14ac:dyDescent="0.25">
      <c r="A31" s="528" t="s">
        <v>453</v>
      </c>
      <c r="B31" s="528"/>
      <c r="C31" s="540"/>
      <c r="D31" s="540"/>
      <c r="E31" s="540"/>
      <c r="F31" s="540"/>
      <c r="G31" s="540"/>
      <c r="H31" s="540"/>
      <c r="I31" s="528" t="s">
        <v>454</v>
      </c>
      <c r="J31" s="528"/>
      <c r="K31" s="537">
        <f>-(C31-C32)/365</f>
        <v>0</v>
      </c>
      <c r="L31" s="537"/>
      <c r="M31" s="537"/>
      <c r="N31" s="530" t="str">
        <f>IF(OR(AND(K31&gt;65,K30="SENP"),AND(K31&gt;70,K30="SEP"),AND(K31&gt;70,K30="Doctor")),"Age is more than Eligible Norm, need ACM approval",IF(OR(AND(K31&gt;=25,K30="SENP"),AND(K31&gt;=27,K30="SEP"),AND(K31&gt;=27,K30="Doctor")),"Customer Age is Eligible","Age is less than Eligible Norm, need ACM approval"))</f>
        <v>Age is less than Eligible Norm, need ACM approval</v>
      </c>
      <c r="O31" s="530"/>
      <c r="P31" s="530"/>
      <c r="Q31" s="530"/>
    </row>
    <row r="32" spans="1:17" ht="15.75" x14ac:dyDescent="0.25">
      <c r="A32" s="528" t="s">
        <v>455</v>
      </c>
      <c r="B32" s="528"/>
      <c r="C32" s="541"/>
      <c r="D32" s="541"/>
      <c r="E32" s="528" t="s">
        <v>253</v>
      </c>
      <c r="F32" s="528"/>
      <c r="G32" s="542"/>
      <c r="H32" s="542"/>
      <c r="I32" s="528" t="s">
        <v>456</v>
      </c>
      <c r="J32" s="528"/>
      <c r="K32" s="537">
        <f>-(C31-(C32+(G32*30)))/365</f>
        <v>0</v>
      </c>
      <c r="L32" s="537"/>
      <c r="M32" s="537"/>
      <c r="N32" s="530" t="str">
        <f>IF(OR(AND(K32&gt;65,K30="SENP"),AND(K32&gt;70,K30="SEP"),AND(K32&gt;70,K30="Doctor")),"Age is more than Eligible Norm, need ACM approval",IF(OR(AND(K32&gt;=25,K30="SENP"),AND(K32&gt;=27,K30="SEP"),AND(K32&gt;=27,K30="Doctor")),"Customer Age is Eligible","Age is less than Eligible Norm, need ACM approval"))</f>
        <v>Age is less than Eligible Norm, need ACM approval</v>
      </c>
      <c r="O32" s="530"/>
      <c r="P32" s="530"/>
      <c r="Q32" s="530"/>
    </row>
    <row r="33" spans="1:17" ht="15.75" x14ac:dyDescent="0.25">
      <c r="A33" s="538" t="s">
        <v>457</v>
      </c>
      <c r="B33" s="538"/>
      <c r="C33" s="538"/>
      <c r="D33" s="538"/>
      <c r="E33" s="538"/>
      <c r="F33" s="538"/>
      <c r="G33" s="538"/>
      <c r="H33" s="538"/>
      <c r="I33" s="538"/>
      <c r="J33" s="538"/>
      <c r="K33" s="538"/>
      <c r="L33" s="538"/>
      <c r="M33" s="538"/>
      <c r="N33" s="538"/>
      <c r="O33" s="538"/>
      <c r="P33" s="538"/>
      <c r="Q33" s="538"/>
    </row>
    <row r="34" spans="1:17" ht="15.75" x14ac:dyDescent="0.25">
      <c r="A34" s="539" t="s">
        <v>458</v>
      </c>
      <c r="B34" s="539"/>
      <c r="C34" s="539" t="s">
        <v>459</v>
      </c>
      <c r="D34" s="539"/>
      <c r="E34" s="539" t="s">
        <v>460</v>
      </c>
      <c r="F34" s="539"/>
      <c r="G34" s="539"/>
      <c r="H34" s="539"/>
      <c r="I34" s="539"/>
      <c r="J34" s="539"/>
      <c r="K34" s="539"/>
      <c r="L34" s="539" t="s">
        <v>748</v>
      </c>
      <c r="M34" s="539"/>
      <c r="N34" s="539"/>
      <c r="O34" s="539"/>
      <c r="P34" s="539"/>
      <c r="Q34" s="539"/>
    </row>
    <row r="35" spans="1:17" x14ac:dyDescent="0.25">
      <c r="A35" s="60" t="s">
        <v>461</v>
      </c>
      <c r="B35" s="535" t="s">
        <v>462</v>
      </c>
      <c r="C35" s="532" t="s">
        <v>463</v>
      </c>
      <c r="D35" s="532"/>
      <c r="E35" s="536"/>
      <c r="F35" s="536"/>
      <c r="G35" s="536"/>
      <c r="H35" s="536"/>
      <c r="I35" s="536"/>
      <c r="J35" s="536"/>
      <c r="K35" s="536"/>
      <c r="L35" s="534" t="str">
        <f>IF(E35&lt;700,"CIBIL Score Norms Not Met","CIBIL Norms Met")</f>
        <v>CIBIL Score Norms Not Met</v>
      </c>
      <c r="M35" s="534"/>
      <c r="N35" s="534"/>
      <c r="O35" s="534"/>
      <c r="P35" s="534"/>
      <c r="Q35" s="534"/>
    </row>
    <row r="36" spans="1:17" x14ac:dyDescent="0.25">
      <c r="A36" s="69"/>
      <c r="B36" s="535"/>
      <c r="C36" s="532" t="s">
        <v>464</v>
      </c>
      <c r="D36" s="532"/>
      <c r="E36" s="533"/>
      <c r="F36" s="533"/>
      <c r="G36" s="533"/>
      <c r="H36" s="533"/>
      <c r="I36" s="533"/>
      <c r="J36" s="533"/>
      <c r="K36" s="533"/>
      <c r="L36" s="534"/>
      <c r="M36" s="534"/>
      <c r="N36" s="534"/>
      <c r="O36" s="534"/>
      <c r="P36" s="534"/>
      <c r="Q36" s="534"/>
    </row>
    <row r="37" spans="1:17" ht="24" x14ac:dyDescent="0.25">
      <c r="A37" s="16" t="str">
        <f ca="1">IF((TODAY()-A36)&gt;45,"CIBIL EXPIRED","CIBIL VALID")</f>
        <v>CIBIL EXPIRED</v>
      </c>
      <c r="B37" s="17" t="s">
        <v>465</v>
      </c>
      <c r="C37" s="532" t="s">
        <v>466</v>
      </c>
      <c r="D37" s="532"/>
      <c r="E37" s="533">
        <v>0</v>
      </c>
      <c r="F37" s="533"/>
      <c r="G37" s="533"/>
      <c r="H37" s="533"/>
      <c r="I37" s="533"/>
      <c r="J37" s="533"/>
      <c r="K37" s="533"/>
      <c r="L37" s="534" t="str">
        <f>IF(E37&lt;=3,"No Deviation required",IF(E37&lt;=5,"CM deviation",IF(E37&lt;=7,"Need ACM Deviation for enquiries",IF(E37&lt;=10,"Need RCM Deviation for enquiries","ZCM deviation"))))</f>
        <v>No Deviation required</v>
      </c>
      <c r="M37" s="534"/>
      <c r="N37" s="534"/>
      <c r="O37" s="534"/>
      <c r="P37" s="534"/>
      <c r="Q37" s="534"/>
    </row>
    <row r="38" spans="1:17" ht="20.25" x14ac:dyDescent="0.25">
      <c r="A38" s="531" t="s">
        <v>468</v>
      </c>
      <c r="B38" s="531"/>
      <c r="C38" s="531"/>
      <c r="D38" s="531"/>
      <c r="E38" s="531"/>
      <c r="F38" s="531"/>
      <c r="G38" s="531"/>
      <c r="H38" s="531"/>
      <c r="I38" s="531"/>
      <c r="J38" s="531"/>
      <c r="K38" s="531"/>
      <c r="L38" s="531"/>
      <c r="M38" s="531"/>
      <c r="N38" s="531"/>
      <c r="O38" s="531"/>
      <c r="P38" s="531"/>
      <c r="Q38" s="531"/>
    </row>
    <row r="39" spans="1:17" ht="15.75" x14ac:dyDescent="0.25">
      <c r="A39" s="528" t="s">
        <v>452</v>
      </c>
      <c r="B39" s="528"/>
      <c r="C39" s="529"/>
      <c r="D39" s="529"/>
      <c r="E39" s="529"/>
      <c r="F39" s="529"/>
      <c r="G39" s="529"/>
      <c r="H39" s="529"/>
      <c r="I39" s="528" t="s">
        <v>436</v>
      </c>
      <c r="J39" s="528"/>
      <c r="K39" s="543"/>
      <c r="L39" s="543"/>
      <c r="M39" s="543"/>
      <c r="N39" s="543"/>
      <c r="O39" s="543"/>
      <c r="P39" s="543"/>
      <c r="Q39" s="543"/>
    </row>
    <row r="40" spans="1:17" ht="15.75" x14ac:dyDescent="0.25">
      <c r="A40" s="528" t="s">
        <v>453</v>
      </c>
      <c r="B40" s="528"/>
      <c r="C40" s="540"/>
      <c r="D40" s="540"/>
      <c r="E40" s="540"/>
      <c r="F40" s="540"/>
      <c r="G40" s="540"/>
      <c r="H40" s="540"/>
      <c r="I40" s="528" t="s">
        <v>454</v>
      </c>
      <c r="J40" s="528"/>
      <c r="K40" s="537">
        <f>-(C40-C41)/365</f>
        <v>0</v>
      </c>
      <c r="L40" s="537"/>
      <c r="M40" s="537"/>
      <c r="N40" s="530" t="str">
        <f>IF(OR(AND(K40&gt;65,K39="SENP"),AND(K40&gt;70,K39="SEP"),AND(K40&gt;70,K39="Doctor")),"Age is more than Eligible Norm, need ACM approval",IF(OR(AND(K40&gt;=25,K39="SENP"),AND(K40&gt;=27,K39="SEP"),AND(K40&gt;=27,K39="Doctor")),"Customer Age is Eligible","Age is less than Eligible Norm, need ACM approval"))</f>
        <v>Age is less than Eligible Norm, need ACM approval</v>
      </c>
      <c r="O40" s="530"/>
      <c r="P40" s="530"/>
      <c r="Q40" s="530"/>
    </row>
    <row r="41" spans="1:17" ht="15.75" x14ac:dyDescent="0.25">
      <c r="A41" s="528" t="s">
        <v>455</v>
      </c>
      <c r="B41" s="528"/>
      <c r="C41" s="541"/>
      <c r="D41" s="541"/>
      <c r="E41" s="528" t="s">
        <v>253</v>
      </c>
      <c r="F41" s="528"/>
      <c r="G41" s="542"/>
      <c r="H41" s="542"/>
      <c r="I41" s="528" t="s">
        <v>456</v>
      </c>
      <c r="J41" s="528"/>
      <c r="K41" s="537">
        <f>-(C40-(C41+(G41*30)))/365</f>
        <v>0</v>
      </c>
      <c r="L41" s="537"/>
      <c r="M41" s="537"/>
      <c r="N41" s="530" t="str">
        <f>IF(OR(AND(K41&gt;65,K39="SENP"),AND(K41&gt;70,K39="SEP"),AND(K41&gt;70,K39="Doctor")),"Age is more than Eligible Norm, need ACM approval",IF(OR(AND(K41&gt;=25,K39="SENP"),AND(K41&gt;=27,K39="SEP"),AND(K41&gt;=27,K39="Doctor")),"Customer Age is Eligible","Age is less than Eligible Norm, need ACM approval"))</f>
        <v>Age is less than Eligible Norm, need ACM approval</v>
      </c>
      <c r="O41" s="530"/>
      <c r="P41" s="530"/>
      <c r="Q41" s="530"/>
    </row>
    <row r="42" spans="1:17" ht="15.75" x14ac:dyDescent="0.25">
      <c r="A42" s="538" t="s">
        <v>457</v>
      </c>
      <c r="B42" s="538"/>
      <c r="C42" s="538"/>
      <c r="D42" s="538"/>
      <c r="E42" s="538"/>
      <c r="F42" s="538"/>
      <c r="G42" s="538"/>
      <c r="H42" s="538"/>
      <c r="I42" s="538"/>
      <c r="J42" s="538"/>
      <c r="K42" s="538"/>
      <c r="L42" s="538"/>
      <c r="M42" s="538"/>
      <c r="N42" s="538"/>
      <c r="O42" s="538"/>
      <c r="P42" s="538"/>
      <c r="Q42" s="538"/>
    </row>
    <row r="43" spans="1:17" ht="15.75" x14ac:dyDescent="0.25">
      <c r="A43" s="539" t="s">
        <v>458</v>
      </c>
      <c r="B43" s="539"/>
      <c r="C43" s="539" t="s">
        <v>459</v>
      </c>
      <c r="D43" s="539"/>
      <c r="E43" s="539" t="s">
        <v>460</v>
      </c>
      <c r="F43" s="539"/>
      <c r="G43" s="539"/>
      <c r="H43" s="539"/>
      <c r="I43" s="539"/>
      <c r="J43" s="539"/>
      <c r="K43" s="539"/>
      <c r="L43" s="539" t="s">
        <v>748</v>
      </c>
      <c r="M43" s="539"/>
      <c r="N43" s="539"/>
      <c r="O43" s="539"/>
      <c r="P43" s="539"/>
      <c r="Q43" s="539"/>
    </row>
    <row r="44" spans="1:17" x14ac:dyDescent="0.25">
      <c r="A44" s="60" t="s">
        <v>461</v>
      </c>
      <c r="B44" s="535" t="s">
        <v>462</v>
      </c>
      <c r="C44" s="532" t="s">
        <v>463</v>
      </c>
      <c r="D44" s="532"/>
      <c r="E44" s="536">
        <v>0</v>
      </c>
      <c r="F44" s="536"/>
      <c r="G44" s="536"/>
      <c r="H44" s="536"/>
      <c r="I44" s="536"/>
      <c r="J44" s="536"/>
      <c r="K44" s="536"/>
      <c r="L44" s="534" t="str">
        <f>IF(E44&lt;700,"CIBIL Score Norms Not Met","CIBIL Norms Met")</f>
        <v>CIBIL Score Norms Not Met</v>
      </c>
      <c r="M44" s="534"/>
      <c r="N44" s="534"/>
      <c r="O44" s="534"/>
      <c r="P44" s="534"/>
      <c r="Q44" s="534"/>
    </row>
    <row r="45" spans="1:17" x14ac:dyDescent="0.25">
      <c r="A45" s="69"/>
      <c r="B45" s="535"/>
      <c r="C45" s="532" t="s">
        <v>464</v>
      </c>
      <c r="D45" s="532"/>
      <c r="E45" s="533"/>
      <c r="F45" s="533"/>
      <c r="G45" s="533"/>
      <c r="H45" s="533"/>
      <c r="I45" s="533"/>
      <c r="J45" s="533"/>
      <c r="K45" s="533"/>
      <c r="L45" s="534"/>
      <c r="M45" s="534"/>
      <c r="N45" s="534"/>
      <c r="O45" s="534"/>
      <c r="P45" s="534"/>
      <c r="Q45" s="534"/>
    </row>
    <row r="46" spans="1:17" ht="24" x14ac:dyDescent="0.25">
      <c r="A46" s="16" t="str">
        <f ca="1">IF((TODAY()-A45)&gt;45,"CIBIL EXPIRED","CIBIL VALID")</f>
        <v>CIBIL EXPIRED</v>
      </c>
      <c r="B46" s="17" t="s">
        <v>465</v>
      </c>
      <c r="C46" s="532" t="s">
        <v>466</v>
      </c>
      <c r="D46" s="532"/>
      <c r="E46" s="533">
        <v>0</v>
      </c>
      <c r="F46" s="533"/>
      <c r="G46" s="533"/>
      <c r="H46" s="533"/>
      <c r="I46" s="533"/>
      <c r="J46" s="533"/>
      <c r="K46" s="533"/>
      <c r="L46" s="534" t="str">
        <f>IF(E46&lt;=3,"No Deviation required",IF(E46&lt;=5,"CM deviation",IF(E46&lt;=7,"Need ACM Deviation for enquiries",IF(E46&lt;=10,"Need RCM Deviation for enquiries","ZCM deviation"))))</f>
        <v>No Deviation required</v>
      </c>
      <c r="M46" s="534"/>
      <c r="N46" s="534"/>
      <c r="O46" s="534"/>
      <c r="P46" s="534"/>
      <c r="Q46" s="534"/>
    </row>
    <row r="47" spans="1:17" ht="20.25" x14ac:dyDescent="0.25">
      <c r="A47" s="531" t="s">
        <v>469</v>
      </c>
      <c r="B47" s="531"/>
      <c r="C47" s="531"/>
      <c r="D47" s="531"/>
      <c r="E47" s="531"/>
      <c r="F47" s="531"/>
      <c r="G47" s="531"/>
      <c r="H47" s="531"/>
      <c r="I47" s="531"/>
      <c r="J47" s="531"/>
      <c r="K47" s="531"/>
      <c r="L47" s="531"/>
      <c r="M47" s="531"/>
      <c r="N47" s="531"/>
      <c r="O47" s="531"/>
      <c r="P47" s="531"/>
      <c r="Q47" s="531"/>
    </row>
    <row r="48" spans="1:17" ht="15.75" x14ac:dyDescent="0.25">
      <c r="A48" s="528" t="s">
        <v>452</v>
      </c>
      <c r="B48" s="528"/>
      <c r="C48" s="529"/>
      <c r="D48" s="529"/>
      <c r="E48" s="529"/>
      <c r="F48" s="529"/>
      <c r="G48" s="529"/>
      <c r="H48" s="529"/>
      <c r="I48" s="528" t="s">
        <v>436</v>
      </c>
      <c r="J48" s="528"/>
      <c r="K48" s="543"/>
      <c r="L48" s="543"/>
      <c r="M48" s="543"/>
      <c r="N48" s="543"/>
      <c r="O48" s="543"/>
      <c r="P48" s="543"/>
      <c r="Q48" s="543"/>
    </row>
    <row r="49" spans="1:17" ht="15.75" x14ac:dyDescent="0.25">
      <c r="A49" s="528" t="s">
        <v>453</v>
      </c>
      <c r="B49" s="528"/>
      <c r="C49" s="540"/>
      <c r="D49" s="540"/>
      <c r="E49" s="540"/>
      <c r="F49" s="540"/>
      <c r="G49" s="540"/>
      <c r="H49" s="540"/>
      <c r="I49" s="528" t="s">
        <v>454</v>
      </c>
      <c r="J49" s="528"/>
      <c r="K49" s="537">
        <f>-(C49-C50)/365</f>
        <v>0</v>
      </c>
      <c r="L49" s="537"/>
      <c r="M49" s="537"/>
      <c r="N49" s="530" t="str">
        <f>IF(OR(AND(K49&gt;65,K48="SENP"),AND(K49&gt;70,K48="SEP"),AND(K49&gt;70,K48="Doctor")),"Age is more than Eligible Norm, need ACM approval",IF(OR(AND(K49&gt;=25,K48="SENP"),AND(K49&gt;=27,K48="SEP"),AND(K49&gt;=27,K48="Doctor")),"Customer Age is Eligible","Age is less than Eligible Norm, need ACM approval"))</f>
        <v>Age is less than Eligible Norm, need ACM approval</v>
      </c>
      <c r="O49" s="530"/>
      <c r="P49" s="530"/>
      <c r="Q49" s="530"/>
    </row>
    <row r="50" spans="1:17" ht="15.75" x14ac:dyDescent="0.25">
      <c r="A50" s="528" t="s">
        <v>455</v>
      </c>
      <c r="B50" s="528"/>
      <c r="C50" s="541"/>
      <c r="D50" s="541"/>
      <c r="E50" s="528" t="s">
        <v>253</v>
      </c>
      <c r="F50" s="528"/>
      <c r="G50" s="542"/>
      <c r="H50" s="542"/>
      <c r="I50" s="528" t="s">
        <v>456</v>
      </c>
      <c r="J50" s="528"/>
      <c r="K50" s="537">
        <f>-(C49-(C50+(G50*30)))/365</f>
        <v>0</v>
      </c>
      <c r="L50" s="537"/>
      <c r="M50" s="537"/>
      <c r="N50" s="530" t="str">
        <f>IF(OR(AND(K50&gt;65,K48="SENP"),AND(K50&gt;70,K48="SEP"),AND(K50&gt;70,K48="Doctor")),"Age is more than Eligible Norm, need ACM approval",IF(OR(AND(K50&gt;=25,K48="SENP"),AND(K50&gt;=27,K48="SEP"),AND(K50&gt;=27,K48="Doctor")),"Customer Age is Eligible","Age is less than Eligible Norm, need ACM approval"))</f>
        <v>Age is less than Eligible Norm, need ACM approval</v>
      </c>
      <c r="O50" s="530"/>
      <c r="P50" s="530"/>
      <c r="Q50" s="530"/>
    </row>
    <row r="51" spans="1:17" ht="15.75" x14ac:dyDescent="0.25">
      <c r="A51" s="538" t="s">
        <v>457</v>
      </c>
      <c r="B51" s="538"/>
      <c r="C51" s="538"/>
      <c r="D51" s="538"/>
      <c r="E51" s="538"/>
      <c r="F51" s="538"/>
      <c r="G51" s="538"/>
      <c r="H51" s="538"/>
      <c r="I51" s="538"/>
      <c r="J51" s="538"/>
      <c r="K51" s="538"/>
      <c r="L51" s="538"/>
      <c r="M51" s="538"/>
      <c r="N51" s="538"/>
      <c r="O51" s="538"/>
      <c r="P51" s="538"/>
      <c r="Q51" s="538"/>
    </row>
    <row r="52" spans="1:17" ht="15.75" x14ac:dyDescent="0.25">
      <c r="A52" s="539" t="s">
        <v>458</v>
      </c>
      <c r="B52" s="539"/>
      <c r="C52" s="539" t="s">
        <v>459</v>
      </c>
      <c r="D52" s="539"/>
      <c r="E52" s="539" t="s">
        <v>460</v>
      </c>
      <c r="F52" s="539"/>
      <c r="G52" s="539"/>
      <c r="H52" s="539"/>
      <c r="I52" s="539"/>
      <c r="J52" s="539"/>
      <c r="K52" s="539"/>
      <c r="L52" s="539" t="s">
        <v>748</v>
      </c>
      <c r="M52" s="539"/>
      <c r="N52" s="539"/>
      <c r="O52" s="539"/>
      <c r="P52" s="539"/>
      <c r="Q52" s="539"/>
    </row>
    <row r="53" spans="1:17" x14ac:dyDescent="0.25">
      <c r="A53" s="60" t="s">
        <v>461</v>
      </c>
      <c r="B53" s="535" t="s">
        <v>462</v>
      </c>
      <c r="C53" s="532" t="s">
        <v>463</v>
      </c>
      <c r="D53" s="532"/>
      <c r="E53" s="536">
        <v>0</v>
      </c>
      <c r="F53" s="536"/>
      <c r="G53" s="536"/>
      <c r="H53" s="536"/>
      <c r="I53" s="536"/>
      <c r="J53" s="536"/>
      <c r="K53" s="536"/>
      <c r="L53" s="534" t="str">
        <f>IF(E53&lt;700,"CIBIL Score Norms Not Met",IF(AND(E53&gt;=700,E53&lt;750,'DSCR Method'!B67&gt;=1.1),"CIBIL Norms Met",IF(E53&gt;=750,"CIBIL Norms Met","CIBIL Norms Not Met")))</f>
        <v>CIBIL Score Norms Not Met</v>
      </c>
      <c r="M53" s="534"/>
      <c r="N53" s="534"/>
      <c r="O53" s="534"/>
      <c r="P53" s="534"/>
      <c r="Q53" s="534"/>
    </row>
    <row r="54" spans="1:17" x14ac:dyDescent="0.25">
      <c r="A54" s="69"/>
      <c r="B54" s="535"/>
      <c r="C54" s="532" t="s">
        <v>464</v>
      </c>
      <c r="D54" s="532"/>
      <c r="E54" s="533"/>
      <c r="F54" s="533"/>
      <c r="G54" s="533"/>
      <c r="H54" s="533"/>
      <c r="I54" s="533"/>
      <c r="J54" s="533"/>
      <c r="K54" s="533"/>
      <c r="L54" s="534"/>
      <c r="M54" s="534"/>
      <c r="N54" s="534"/>
      <c r="O54" s="534"/>
      <c r="P54" s="534"/>
      <c r="Q54" s="534"/>
    </row>
    <row r="55" spans="1:17" ht="24" x14ac:dyDescent="0.25">
      <c r="A55" s="16" t="str">
        <f ca="1">IF((TODAY()-A54)&gt;45,"CIBIL EXPIRED","CIBIL VALID")</f>
        <v>CIBIL EXPIRED</v>
      </c>
      <c r="B55" s="17" t="s">
        <v>465</v>
      </c>
      <c r="C55" s="532" t="s">
        <v>466</v>
      </c>
      <c r="D55" s="532"/>
      <c r="E55" s="533">
        <v>0</v>
      </c>
      <c r="F55" s="533"/>
      <c r="G55" s="533"/>
      <c r="H55" s="533"/>
      <c r="I55" s="533"/>
      <c r="J55" s="533"/>
      <c r="K55" s="533"/>
      <c r="L55" s="534" t="str">
        <f>IF(E55&lt;=3,"No Deviation required",IF(E55&lt;=5,"CM deviation",IF(E55&lt;=7,"Need ACM Deviation for enquiries",IF(E55&lt;=10,"Need RCM Deviation for enquiries","ZCM deviation"))))</f>
        <v>No Deviation required</v>
      </c>
      <c r="M55" s="534"/>
      <c r="N55" s="534"/>
      <c r="O55" s="534"/>
      <c r="P55" s="534"/>
      <c r="Q55" s="534"/>
    </row>
    <row r="56" spans="1:17" ht="20.25" x14ac:dyDescent="0.25">
      <c r="A56" s="531" t="s">
        <v>769</v>
      </c>
      <c r="B56" s="531"/>
      <c r="C56" s="531"/>
      <c r="D56" s="531"/>
      <c r="E56" s="531"/>
      <c r="F56" s="531"/>
      <c r="G56" s="531"/>
      <c r="H56" s="531"/>
      <c r="I56" s="531"/>
      <c r="J56" s="531"/>
      <c r="K56" s="531"/>
      <c r="L56" s="531"/>
      <c r="M56" s="531"/>
      <c r="N56" s="531"/>
      <c r="O56" s="531"/>
      <c r="P56" s="531"/>
      <c r="Q56" s="531"/>
    </row>
    <row r="57" spans="1:17" ht="15.75" x14ac:dyDescent="0.25">
      <c r="A57" s="528" t="s">
        <v>452</v>
      </c>
      <c r="B57" s="528"/>
      <c r="C57" s="529"/>
      <c r="D57" s="529"/>
      <c r="E57" s="529"/>
      <c r="F57" s="529"/>
      <c r="G57" s="529"/>
      <c r="H57" s="529"/>
      <c r="I57" s="528" t="s">
        <v>436</v>
      </c>
      <c r="J57" s="528"/>
      <c r="K57" s="543"/>
      <c r="L57" s="543"/>
      <c r="M57" s="543"/>
      <c r="N57" s="543"/>
      <c r="O57" s="543"/>
      <c r="P57" s="543"/>
      <c r="Q57" s="543"/>
    </row>
    <row r="58" spans="1:17" ht="15.75" x14ac:dyDescent="0.25">
      <c r="A58" s="528" t="s">
        <v>453</v>
      </c>
      <c r="B58" s="528"/>
      <c r="C58" s="540"/>
      <c r="D58" s="540"/>
      <c r="E58" s="540"/>
      <c r="F58" s="540"/>
      <c r="G58" s="540"/>
      <c r="H58" s="540"/>
      <c r="I58" s="528" t="s">
        <v>454</v>
      </c>
      <c r="J58" s="528"/>
      <c r="K58" s="537">
        <f>-(C58-C59)/365</f>
        <v>0</v>
      </c>
      <c r="L58" s="537"/>
      <c r="M58" s="537"/>
      <c r="N58" s="530" t="str">
        <f>IF(OR(AND(K58&gt;65,K57="SENP"),AND(K58&gt;70,K57="SEP"),AND(K58&gt;70,K57="Doctor")),"Age is more than Eligible Norm, need ACM approval",IF(OR(AND(K58&gt;=25,K57="SENP"),AND(K58&gt;=27,K57="SEP"),AND(K58&gt;=27,K57="Doctor")),"Customer Age is Eligible","Age is less than Eligible Norm, need ACM approval"))</f>
        <v>Age is less than Eligible Norm, need ACM approval</v>
      </c>
      <c r="O58" s="530"/>
      <c r="P58" s="530"/>
      <c r="Q58" s="530"/>
    </row>
    <row r="59" spans="1:17" ht="15.75" x14ac:dyDescent="0.25">
      <c r="A59" s="528" t="s">
        <v>455</v>
      </c>
      <c r="B59" s="528"/>
      <c r="C59" s="541"/>
      <c r="D59" s="541"/>
      <c r="E59" s="528" t="s">
        <v>253</v>
      </c>
      <c r="F59" s="528"/>
      <c r="G59" s="542"/>
      <c r="H59" s="542"/>
      <c r="I59" s="528" t="s">
        <v>456</v>
      </c>
      <c r="J59" s="528"/>
      <c r="K59" s="537">
        <f>-(C58-(C59+(G59*30)))/365</f>
        <v>0</v>
      </c>
      <c r="L59" s="537"/>
      <c r="M59" s="537"/>
      <c r="N59" s="530" t="str">
        <f>IF(OR(AND(K59&gt;65,K57="SENP"),AND(K59&gt;70,K57="SEP"),AND(K59&gt;70,K57="Doctor")),"Age is more than Eligible Norm, need ACM approval",IF(OR(AND(K59&gt;=25,K57="SENP"),AND(K59&gt;=27,K57="SEP"),AND(K59&gt;=27,K57="Doctor")),"Customer Age is Eligible","Age is less than Eligible Norm, need ACM approval"))</f>
        <v>Age is less than Eligible Norm, need ACM approval</v>
      </c>
      <c r="O59" s="530"/>
      <c r="P59" s="530"/>
      <c r="Q59" s="530"/>
    </row>
    <row r="60" spans="1:17" ht="15.75" x14ac:dyDescent="0.25">
      <c r="A60" s="538" t="s">
        <v>457</v>
      </c>
      <c r="B60" s="538"/>
      <c r="C60" s="538"/>
      <c r="D60" s="538"/>
      <c r="E60" s="538"/>
      <c r="F60" s="538"/>
      <c r="G60" s="538"/>
      <c r="H60" s="538"/>
      <c r="I60" s="538"/>
      <c r="J60" s="538"/>
      <c r="K60" s="538"/>
      <c r="L60" s="538"/>
      <c r="M60" s="538"/>
      <c r="N60" s="538"/>
      <c r="O60" s="538"/>
      <c r="P60" s="538"/>
      <c r="Q60" s="538"/>
    </row>
    <row r="61" spans="1:17" ht="15.75" x14ac:dyDescent="0.25">
      <c r="A61" s="539" t="s">
        <v>458</v>
      </c>
      <c r="B61" s="539"/>
      <c r="C61" s="539" t="s">
        <v>459</v>
      </c>
      <c r="D61" s="539"/>
      <c r="E61" s="539" t="s">
        <v>460</v>
      </c>
      <c r="F61" s="539"/>
      <c r="G61" s="539"/>
      <c r="H61" s="539"/>
      <c r="I61" s="539"/>
      <c r="J61" s="539"/>
      <c r="K61" s="539"/>
      <c r="L61" s="539" t="s">
        <v>748</v>
      </c>
      <c r="M61" s="539"/>
      <c r="N61" s="539"/>
      <c r="O61" s="539"/>
      <c r="P61" s="539"/>
      <c r="Q61" s="539"/>
    </row>
    <row r="62" spans="1:17" x14ac:dyDescent="0.25">
      <c r="A62" s="60" t="s">
        <v>461</v>
      </c>
      <c r="B62" s="535" t="s">
        <v>462</v>
      </c>
      <c r="C62" s="532" t="s">
        <v>463</v>
      </c>
      <c r="D62" s="532"/>
      <c r="E62" s="536">
        <v>0</v>
      </c>
      <c r="F62" s="536"/>
      <c r="G62" s="536"/>
      <c r="H62" s="536"/>
      <c r="I62" s="536"/>
      <c r="J62" s="536"/>
      <c r="K62" s="536"/>
      <c r="L62" s="534" t="str">
        <f>IF(E62&lt;700,"CIBIL Score Norms Not Met","CIBIL Norms Met")</f>
        <v>CIBIL Score Norms Not Met</v>
      </c>
      <c r="M62" s="534"/>
      <c r="N62" s="534"/>
      <c r="O62" s="534"/>
      <c r="P62" s="534"/>
      <c r="Q62" s="534"/>
    </row>
    <row r="63" spans="1:17" x14ac:dyDescent="0.25">
      <c r="A63" s="69"/>
      <c r="B63" s="535"/>
      <c r="C63" s="532" t="s">
        <v>464</v>
      </c>
      <c r="D63" s="532"/>
      <c r="E63" s="533"/>
      <c r="F63" s="533"/>
      <c r="G63" s="533"/>
      <c r="H63" s="533"/>
      <c r="I63" s="533"/>
      <c r="J63" s="533"/>
      <c r="K63" s="533"/>
      <c r="L63" s="534"/>
      <c r="M63" s="534"/>
      <c r="N63" s="534"/>
      <c r="O63" s="534"/>
      <c r="P63" s="534"/>
      <c r="Q63" s="534"/>
    </row>
    <row r="64" spans="1:17" ht="24" x14ac:dyDescent="0.25">
      <c r="A64" s="16" t="str">
        <f ca="1">IF((TODAY()-A63)&gt;45,"CIBIL EXPIRED","CIBIL VALID")</f>
        <v>CIBIL EXPIRED</v>
      </c>
      <c r="B64" s="17" t="s">
        <v>465</v>
      </c>
      <c r="C64" s="532" t="s">
        <v>466</v>
      </c>
      <c r="D64" s="532"/>
      <c r="E64" s="533">
        <v>0</v>
      </c>
      <c r="F64" s="533"/>
      <c r="G64" s="533"/>
      <c r="H64" s="533"/>
      <c r="I64" s="533"/>
      <c r="J64" s="533"/>
      <c r="K64" s="533"/>
      <c r="L64" s="534" t="str">
        <f>IF(E64&lt;=3,"No Deviation required",IF(E64&lt;=5,"CM deviation",IF(E64&lt;=7,"Need ACM Deviation for enquiries",IF(E64&lt;=10,"Need RCM Deviation for enquiries","ZCM deviation"))))</f>
        <v>No Deviation required</v>
      </c>
      <c r="M64" s="534"/>
      <c r="N64" s="534"/>
      <c r="O64" s="534"/>
      <c r="P64" s="534"/>
      <c r="Q64" s="534"/>
    </row>
    <row r="65" spans="1:17" ht="20.25" x14ac:dyDescent="0.25">
      <c r="A65" s="547" t="s">
        <v>770</v>
      </c>
      <c r="B65" s="548"/>
      <c r="C65" s="548"/>
      <c r="D65" s="548"/>
      <c r="E65" s="548"/>
      <c r="F65" s="548"/>
      <c r="G65" s="548"/>
      <c r="H65" s="548"/>
      <c r="I65" s="548"/>
      <c r="J65" s="548"/>
      <c r="K65" s="548"/>
      <c r="L65" s="548"/>
      <c r="M65" s="548"/>
      <c r="N65" s="548"/>
      <c r="O65" s="548"/>
      <c r="P65" s="548"/>
      <c r="Q65" s="549"/>
    </row>
    <row r="66" spans="1:17" ht="15.75" x14ac:dyDescent="0.25">
      <c r="A66" s="528" t="s">
        <v>452</v>
      </c>
      <c r="B66" s="528"/>
      <c r="C66" s="529"/>
      <c r="D66" s="529"/>
      <c r="E66" s="529"/>
      <c r="F66" s="529"/>
      <c r="G66" s="529"/>
      <c r="H66" s="529"/>
      <c r="I66" s="528" t="s">
        <v>436</v>
      </c>
      <c r="J66" s="528"/>
      <c r="K66" s="543"/>
      <c r="L66" s="543"/>
      <c r="M66" s="543"/>
      <c r="N66" s="543"/>
      <c r="O66" s="543"/>
      <c r="P66" s="543"/>
      <c r="Q66" s="543"/>
    </row>
    <row r="67" spans="1:17" ht="15.75" x14ac:dyDescent="0.25">
      <c r="A67" s="528" t="s">
        <v>453</v>
      </c>
      <c r="B67" s="528"/>
      <c r="C67" s="540"/>
      <c r="D67" s="540"/>
      <c r="E67" s="540"/>
      <c r="F67" s="540"/>
      <c r="G67" s="540"/>
      <c r="H67" s="540"/>
      <c r="I67" s="528" t="s">
        <v>454</v>
      </c>
      <c r="J67" s="528"/>
      <c r="K67" s="537">
        <f>-(C67-C68)/365</f>
        <v>0</v>
      </c>
      <c r="L67" s="537"/>
      <c r="M67" s="537"/>
      <c r="N67" s="530" t="str">
        <f>IF(OR(AND(K67&gt;65,K66="SENP"),AND(K67&gt;70,K66="SEP"),AND(K67&gt;70,K66="Doctor")),"Age is more than Eligible Norm, need ACM approval",IF(OR(AND(K67&gt;=25,K66="SENP"),AND(K67&gt;=27,K66="SEP"),AND(K67&gt;=27,K66="Doctor")),"Customer Age is Eligible","Age is less than Eligible Norm, need ACM approval"))</f>
        <v>Age is less than Eligible Norm, need ACM approval</v>
      </c>
      <c r="O67" s="530"/>
      <c r="P67" s="530"/>
      <c r="Q67" s="530"/>
    </row>
    <row r="68" spans="1:17" ht="15.75" x14ac:dyDescent="0.25">
      <c r="A68" s="528" t="s">
        <v>455</v>
      </c>
      <c r="B68" s="528"/>
      <c r="C68" s="541"/>
      <c r="D68" s="541"/>
      <c r="E68" s="528" t="s">
        <v>253</v>
      </c>
      <c r="F68" s="528"/>
      <c r="G68" s="542"/>
      <c r="H68" s="542"/>
      <c r="I68" s="528" t="s">
        <v>456</v>
      </c>
      <c r="J68" s="528"/>
      <c r="K68" s="537">
        <f>-(C67-(C68+(G68*30)))/365</f>
        <v>0</v>
      </c>
      <c r="L68" s="537"/>
      <c r="M68" s="537"/>
      <c r="N68" s="530" t="str">
        <f>IF(OR(AND(K68&gt;65,K66="SENP"),AND(K68&gt;70,K66="SEP"),AND(K68&gt;70,K66="Doctor")),"Age is more than Eligible Norm, need ACM approval",IF(OR(AND(K68&gt;=25,K66="SENP"),AND(K68&gt;=27,K66="SEP"),AND(K68&gt;=27,K66="Doctor")),"Customer Age is Eligible","Age is less than Eligible Norm, need ACM approval"))</f>
        <v>Age is less than Eligible Norm, need ACM approval</v>
      </c>
      <c r="O68" s="530"/>
      <c r="P68" s="530"/>
      <c r="Q68" s="530"/>
    </row>
    <row r="69" spans="1:17" ht="15.75" x14ac:dyDescent="0.25">
      <c r="A69" s="538" t="s">
        <v>457</v>
      </c>
      <c r="B69" s="538"/>
      <c r="C69" s="538"/>
      <c r="D69" s="538"/>
      <c r="E69" s="538"/>
      <c r="F69" s="538"/>
      <c r="G69" s="538"/>
      <c r="H69" s="538"/>
      <c r="I69" s="538"/>
      <c r="J69" s="538"/>
      <c r="K69" s="538"/>
      <c r="L69" s="538"/>
      <c r="M69" s="538"/>
      <c r="N69" s="538"/>
      <c r="O69" s="538"/>
      <c r="P69" s="538"/>
      <c r="Q69" s="538"/>
    </row>
    <row r="70" spans="1:17" ht="15.75" x14ac:dyDescent="0.25">
      <c r="A70" s="539" t="s">
        <v>458</v>
      </c>
      <c r="B70" s="539"/>
      <c r="C70" s="539" t="s">
        <v>459</v>
      </c>
      <c r="D70" s="539"/>
      <c r="E70" s="539" t="s">
        <v>460</v>
      </c>
      <c r="F70" s="539"/>
      <c r="G70" s="539"/>
      <c r="H70" s="539"/>
      <c r="I70" s="539"/>
      <c r="J70" s="539"/>
      <c r="K70" s="539"/>
      <c r="L70" s="539" t="s">
        <v>748</v>
      </c>
      <c r="M70" s="539"/>
      <c r="N70" s="539"/>
      <c r="O70" s="539"/>
      <c r="P70" s="539"/>
      <c r="Q70" s="539"/>
    </row>
    <row r="71" spans="1:17" x14ac:dyDescent="0.25">
      <c r="A71" s="60" t="s">
        <v>461</v>
      </c>
      <c r="B71" s="535" t="s">
        <v>462</v>
      </c>
      <c r="C71" s="532" t="s">
        <v>463</v>
      </c>
      <c r="D71" s="532"/>
      <c r="E71" s="533">
        <v>0</v>
      </c>
      <c r="F71" s="533"/>
      <c r="G71" s="533"/>
      <c r="H71" s="533"/>
      <c r="I71" s="533"/>
      <c r="J71" s="533"/>
      <c r="K71" s="533"/>
      <c r="L71" s="534" t="str">
        <f>IF(E71&lt;700,"CIBIL Score Norms Not Met","CIBIL Norms Met")</f>
        <v>CIBIL Score Norms Not Met</v>
      </c>
      <c r="M71" s="534"/>
      <c r="N71" s="534"/>
      <c r="O71" s="534"/>
      <c r="P71" s="534"/>
      <c r="Q71" s="534"/>
    </row>
    <row r="72" spans="1:17" x14ac:dyDescent="0.25">
      <c r="A72" s="69"/>
      <c r="B72" s="535"/>
      <c r="C72" s="532" t="s">
        <v>464</v>
      </c>
      <c r="D72" s="532"/>
      <c r="E72" s="533"/>
      <c r="F72" s="533"/>
      <c r="G72" s="533"/>
      <c r="H72" s="533"/>
      <c r="I72" s="533"/>
      <c r="J72" s="533"/>
      <c r="K72" s="533"/>
      <c r="L72" s="534"/>
      <c r="M72" s="534"/>
      <c r="N72" s="534"/>
      <c r="O72" s="534"/>
      <c r="P72" s="534"/>
      <c r="Q72" s="534"/>
    </row>
    <row r="73" spans="1:17" ht="24" x14ac:dyDescent="0.25">
      <c r="A73" s="16" t="str">
        <f ca="1">IF((TODAY()-A72)&gt;45,"CIBIL EXPIRED","CIBIL VALID")</f>
        <v>CIBIL EXPIRED</v>
      </c>
      <c r="B73" s="17" t="s">
        <v>465</v>
      </c>
      <c r="C73" s="532" t="s">
        <v>466</v>
      </c>
      <c r="D73" s="532"/>
      <c r="E73" s="533">
        <v>0</v>
      </c>
      <c r="F73" s="533"/>
      <c r="G73" s="533"/>
      <c r="H73" s="533"/>
      <c r="I73" s="533"/>
      <c r="J73" s="533"/>
      <c r="K73" s="533"/>
      <c r="L73" s="534" t="str">
        <f>IF(E73&lt;=3,"No Deviation required",IF(E73&lt;=5,"CM deviation",IF(E73&lt;=7,"Need ACM Deviation for enquiries",IF(E73&lt;=10,"Need RCM Deviation for enquiries","ZCM deviation"))))</f>
        <v>No Deviation required</v>
      </c>
      <c r="M73" s="534"/>
      <c r="N73" s="534"/>
      <c r="O73" s="534"/>
      <c r="P73" s="534"/>
      <c r="Q73" s="534"/>
    </row>
    <row r="74" spans="1:17" ht="20.25" x14ac:dyDescent="0.25">
      <c r="A74" s="531" t="s">
        <v>771</v>
      </c>
      <c r="B74" s="531"/>
      <c r="C74" s="531"/>
      <c r="D74" s="531"/>
      <c r="E74" s="531"/>
      <c r="F74" s="531"/>
      <c r="G74" s="531"/>
      <c r="H74" s="531"/>
      <c r="I74" s="531"/>
      <c r="J74" s="531"/>
      <c r="K74" s="531"/>
      <c r="L74" s="531"/>
      <c r="M74" s="531"/>
      <c r="N74" s="531"/>
      <c r="O74" s="531"/>
      <c r="P74" s="531"/>
      <c r="Q74" s="531"/>
    </row>
    <row r="75" spans="1:17" ht="15.75" x14ac:dyDescent="0.25">
      <c r="A75" s="528" t="s">
        <v>452</v>
      </c>
      <c r="B75" s="528"/>
      <c r="C75" s="529"/>
      <c r="D75" s="529"/>
      <c r="E75" s="529"/>
      <c r="F75" s="529"/>
      <c r="G75" s="529"/>
      <c r="H75" s="529"/>
      <c r="I75" s="528" t="s">
        <v>436</v>
      </c>
      <c r="J75" s="528"/>
      <c r="K75" s="543"/>
      <c r="L75" s="543"/>
      <c r="M75" s="543"/>
      <c r="N75" s="543"/>
      <c r="O75" s="543"/>
      <c r="P75" s="543"/>
      <c r="Q75" s="543"/>
    </row>
    <row r="76" spans="1:17" ht="15.75" x14ac:dyDescent="0.25">
      <c r="A76" s="528" t="s">
        <v>453</v>
      </c>
      <c r="B76" s="528"/>
      <c r="C76" s="540"/>
      <c r="D76" s="540"/>
      <c r="E76" s="540"/>
      <c r="F76" s="540"/>
      <c r="G76" s="540"/>
      <c r="H76" s="540"/>
      <c r="I76" s="528" t="s">
        <v>454</v>
      </c>
      <c r="J76" s="528"/>
      <c r="K76" s="537">
        <f>-(C76-C77)/365</f>
        <v>0</v>
      </c>
      <c r="L76" s="537"/>
      <c r="M76" s="537"/>
      <c r="N76" s="530" t="str">
        <f>IF(OR(AND(K76&gt;65,K75="SENP"),AND(K76&gt;70,K75="SEP"),AND(K76&gt;70,K75="Doctor")),"Age is more than Eligible Norm, need ACM approval",IF(OR(AND(K76&gt;=25,K75="SENP"),AND(K76&gt;=27,K75="SEP"),AND(K76&gt;=27,K75="Doctor")),"Customer Age is Eligible","Age is less than Eligible Norm, need ACM approval"))</f>
        <v>Age is less than Eligible Norm, need ACM approval</v>
      </c>
      <c r="O76" s="530"/>
      <c r="P76" s="530"/>
      <c r="Q76" s="530"/>
    </row>
    <row r="77" spans="1:17" ht="15.75" x14ac:dyDescent="0.25">
      <c r="A77" s="528" t="s">
        <v>455</v>
      </c>
      <c r="B77" s="528"/>
      <c r="C77" s="541"/>
      <c r="D77" s="541"/>
      <c r="E77" s="528" t="s">
        <v>253</v>
      </c>
      <c r="F77" s="528"/>
      <c r="G77" s="542"/>
      <c r="H77" s="542"/>
      <c r="I77" s="528" t="s">
        <v>456</v>
      </c>
      <c r="J77" s="528"/>
      <c r="K77" s="537">
        <f>-(C76-(C77+(G77*30)))/365</f>
        <v>0</v>
      </c>
      <c r="L77" s="537"/>
      <c r="M77" s="537"/>
      <c r="N77" s="530" t="str">
        <f>IF(OR(AND(K77&gt;65,K75="SENP"),AND(K77&gt;70,K75="SEP"),AND(K77&gt;70,K75="Doctor")),"Age is more than Eligible Norm, need ACM approval",IF(OR(AND(K77&gt;=25,K75="SENP"),AND(K77&gt;=27,K75="SEP"),AND(K77&gt;=27,K75="Doctor")),"Customer Age is Eligible","Age is less than Eligible Norm, need ACM approval"))</f>
        <v>Age is less than Eligible Norm, need ACM approval</v>
      </c>
      <c r="O77" s="530"/>
      <c r="P77" s="530"/>
      <c r="Q77" s="530"/>
    </row>
    <row r="78" spans="1:17" ht="15.75" x14ac:dyDescent="0.25">
      <c r="A78" s="538" t="s">
        <v>457</v>
      </c>
      <c r="B78" s="538"/>
      <c r="C78" s="538"/>
      <c r="D78" s="538"/>
      <c r="E78" s="538"/>
      <c r="F78" s="538"/>
      <c r="G78" s="538"/>
      <c r="H78" s="538"/>
      <c r="I78" s="538"/>
      <c r="J78" s="538"/>
      <c r="K78" s="538"/>
      <c r="L78" s="538"/>
      <c r="M78" s="538"/>
      <c r="N78" s="538"/>
      <c r="O78" s="538"/>
      <c r="P78" s="538"/>
      <c r="Q78" s="538"/>
    </row>
    <row r="79" spans="1:17" ht="15.75" x14ac:dyDescent="0.25">
      <c r="A79" s="539" t="s">
        <v>458</v>
      </c>
      <c r="B79" s="539"/>
      <c r="C79" s="539" t="s">
        <v>459</v>
      </c>
      <c r="D79" s="539"/>
      <c r="E79" s="539" t="s">
        <v>460</v>
      </c>
      <c r="F79" s="539"/>
      <c r="G79" s="539"/>
      <c r="H79" s="539"/>
      <c r="I79" s="539"/>
      <c r="J79" s="539"/>
      <c r="K79" s="539"/>
      <c r="L79" s="539" t="s">
        <v>748</v>
      </c>
      <c r="M79" s="539"/>
      <c r="N79" s="539"/>
      <c r="O79" s="539"/>
      <c r="P79" s="539"/>
      <c r="Q79" s="539"/>
    </row>
    <row r="80" spans="1:17" x14ac:dyDescent="0.25">
      <c r="A80" s="60" t="s">
        <v>461</v>
      </c>
      <c r="B80" s="535" t="s">
        <v>462</v>
      </c>
      <c r="C80" s="532" t="s">
        <v>463</v>
      </c>
      <c r="D80" s="532"/>
      <c r="E80" s="533">
        <v>0</v>
      </c>
      <c r="F80" s="533"/>
      <c r="G80" s="533"/>
      <c r="H80" s="533"/>
      <c r="I80" s="533"/>
      <c r="J80" s="533"/>
      <c r="K80" s="533"/>
      <c r="L80" s="534" t="str">
        <f>IF(E80&lt;700,"CIBIL Score Norms Not Met","CIBIL Norms Met")</f>
        <v>CIBIL Score Norms Not Met</v>
      </c>
      <c r="M80" s="534"/>
      <c r="N80" s="534"/>
      <c r="O80" s="534"/>
      <c r="P80" s="534"/>
      <c r="Q80" s="534"/>
    </row>
    <row r="81" spans="1:17" x14ac:dyDescent="0.25">
      <c r="A81" s="69"/>
      <c r="B81" s="535"/>
      <c r="C81" s="532" t="s">
        <v>464</v>
      </c>
      <c r="D81" s="532"/>
      <c r="E81" s="533"/>
      <c r="F81" s="533"/>
      <c r="G81" s="533"/>
      <c r="H81" s="533"/>
      <c r="I81" s="533"/>
      <c r="J81" s="533"/>
      <c r="K81" s="533"/>
      <c r="L81" s="534"/>
      <c r="M81" s="534"/>
      <c r="N81" s="534"/>
      <c r="O81" s="534"/>
      <c r="P81" s="534"/>
      <c r="Q81" s="534"/>
    </row>
    <row r="82" spans="1:17" ht="24" x14ac:dyDescent="0.25">
      <c r="A82" s="16" t="str">
        <f ca="1">IF((TODAY()-A81)&gt;45,"CIBIL EXPIRED","CIBIL VALID")</f>
        <v>CIBIL EXPIRED</v>
      </c>
      <c r="B82" s="17" t="s">
        <v>465</v>
      </c>
      <c r="C82" s="532" t="s">
        <v>466</v>
      </c>
      <c r="D82" s="532"/>
      <c r="E82" s="533">
        <v>0</v>
      </c>
      <c r="F82" s="533"/>
      <c r="G82" s="533"/>
      <c r="H82" s="533"/>
      <c r="I82" s="533"/>
      <c r="J82" s="533"/>
      <c r="K82" s="533"/>
      <c r="L82" s="534" t="str">
        <f>IF(E82&lt;=3,"No Deviation required",IF(E82&lt;=5,"CM deviation",IF(E82&lt;=7,"Need ACM Deviation for enquiries",IF(E82&lt;=10,"Need RCM Deviation for enquiries","ZCM deviation"))))</f>
        <v>No Deviation required</v>
      </c>
      <c r="M82" s="534"/>
      <c r="N82" s="534"/>
      <c r="O82" s="534"/>
      <c r="P82" s="534"/>
      <c r="Q82" s="534"/>
    </row>
    <row r="83" spans="1:17" ht="20.25" x14ac:dyDescent="0.25">
      <c r="A83" s="531" t="s">
        <v>772</v>
      </c>
      <c r="B83" s="531"/>
      <c r="C83" s="531"/>
      <c r="D83" s="531"/>
      <c r="E83" s="531"/>
      <c r="F83" s="531"/>
      <c r="G83" s="531"/>
      <c r="H83" s="531"/>
      <c r="I83" s="531"/>
      <c r="J83" s="531"/>
      <c r="K83" s="531"/>
      <c r="L83" s="531"/>
      <c r="M83" s="531"/>
      <c r="N83" s="531"/>
      <c r="O83" s="531"/>
      <c r="P83" s="531"/>
      <c r="Q83" s="531"/>
    </row>
    <row r="84" spans="1:17" ht="15.75" x14ac:dyDescent="0.25">
      <c r="A84" s="528" t="s">
        <v>452</v>
      </c>
      <c r="B84" s="528"/>
      <c r="C84" s="529"/>
      <c r="D84" s="529"/>
      <c r="E84" s="529"/>
      <c r="F84" s="529"/>
      <c r="G84" s="529"/>
      <c r="H84" s="529"/>
      <c r="I84" s="528" t="s">
        <v>436</v>
      </c>
      <c r="J84" s="528"/>
      <c r="K84" s="543"/>
      <c r="L84" s="543"/>
      <c r="M84" s="543"/>
      <c r="N84" s="543"/>
      <c r="O84" s="543"/>
      <c r="P84" s="543"/>
      <c r="Q84" s="543"/>
    </row>
    <row r="85" spans="1:17" ht="15.75" x14ac:dyDescent="0.25">
      <c r="A85" s="528" t="s">
        <v>453</v>
      </c>
      <c r="B85" s="528"/>
      <c r="C85" s="540"/>
      <c r="D85" s="540"/>
      <c r="E85" s="540"/>
      <c r="F85" s="540"/>
      <c r="G85" s="540"/>
      <c r="H85" s="540"/>
      <c r="I85" s="528" t="s">
        <v>454</v>
      </c>
      <c r="J85" s="528"/>
      <c r="K85" s="537">
        <f>-(C85-C86)/365</f>
        <v>0</v>
      </c>
      <c r="L85" s="537"/>
      <c r="M85" s="537"/>
      <c r="N85" s="530" t="str">
        <f>IF(OR(AND(K85&gt;65,K84="SENP"),AND(K85&gt;70,K84="SEP"),AND(K85&gt;70,K84="Doctor")),"Age is more than Eligible Norm, need ACM approval",IF(OR(AND(K85&gt;=25,K84="SENP"),AND(K85&gt;=27,K84="SEP"),AND(K85&gt;=27,K84="Doctor")),"Customer Age is Eligible","Age is less than Eligible Norm, need ACM approval"))</f>
        <v>Age is less than Eligible Norm, need ACM approval</v>
      </c>
      <c r="O85" s="530"/>
      <c r="P85" s="530"/>
      <c r="Q85" s="530"/>
    </row>
    <row r="86" spans="1:17" ht="15.75" x14ac:dyDescent="0.25">
      <c r="A86" s="528" t="s">
        <v>455</v>
      </c>
      <c r="B86" s="528"/>
      <c r="C86" s="541"/>
      <c r="D86" s="541"/>
      <c r="E86" s="528" t="s">
        <v>253</v>
      </c>
      <c r="F86" s="528"/>
      <c r="G86" s="542"/>
      <c r="H86" s="542"/>
      <c r="I86" s="528" t="s">
        <v>456</v>
      </c>
      <c r="J86" s="528"/>
      <c r="K86" s="537">
        <f>-(C85-(C86+(G86*30)))/365</f>
        <v>0</v>
      </c>
      <c r="L86" s="537"/>
      <c r="M86" s="537"/>
      <c r="N86" s="530" t="str">
        <f>IF(OR(AND(K86&gt;65,K84="SENP"),AND(K86&gt;70,K84="SEP"),AND(K86&gt;70,K84="Doctor")),"Age is more than Eligible Norm, need ACM approval",IF(OR(AND(K86&gt;=25,K84="SENP"),AND(K86&gt;=27,K84="SEP"),AND(K86&gt;=27,K84="Doctor")),"Customer Age is Eligible","Age is less than Eligible Norm, need ACM approval"))</f>
        <v>Age is less than Eligible Norm, need ACM approval</v>
      </c>
      <c r="O86" s="530"/>
      <c r="P86" s="530"/>
      <c r="Q86" s="530"/>
    </row>
    <row r="87" spans="1:17" ht="15.75" x14ac:dyDescent="0.25">
      <c r="A87" s="538" t="s">
        <v>457</v>
      </c>
      <c r="B87" s="538"/>
      <c r="C87" s="538"/>
      <c r="D87" s="538"/>
      <c r="E87" s="538"/>
      <c r="F87" s="538"/>
      <c r="G87" s="538"/>
      <c r="H87" s="538"/>
      <c r="I87" s="538"/>
      <c r="J87" s="538"/>
      <c r="K87" s="538"/>
      <c r="L87" s="538"/>
      <c r="M87" s="538"/>
      <c r="N87" s="538"/>
      <c r="O87" s="538"/>
      <c r="P87" s="538"/>
      <c r="Q87" s="538"/>
    </row>
    <row r="88" spans="1:17" ht="15.75" x14ac:dyDescent="0.25">
      <c r="A88" s="539" t="s">
        <v>458</v>
      </c>
      <c r="B88" s="539"/>
      <c r="C88" s="539" t="s">
        <v>459</v>
      </c>
      <c r="D88" s="539"/>
      <c r="E88" s="539" t="s">
        <v>460</v>
      </c>
      <c r="F88" s="539"/>
      <c r="G88" s="539"/>
      <c r="H88" s="539"/>
      <c r="I88" s="539"/>
      <c r="J88" s="539"/>
      <c r="K88" s="539"/>
      <c r="L88" s="539" t="s">
        <v>748</v>
      </c>
      <c r="M88" s="539"/>
      <c r="N88" s="539"/>
      <c r="O88" s="539"/>
      <c r="P88" s="539"/>
      <c r="Q88" s="539"/>
    </row>
    <row r="89" spans="1:17" x14ac:dyDescent="0.25">
      <c r="A89" s="60" t="s">
        <v>461</v>
      </c>
      <c r="B89" s="535" t="s">
        <v>462</v>
      </c>
      <c r="C89" s="532" t="s">
        <v>463</v>
      </c>
      <c r="D89" s="532"/>
      <c r="E89" s="533">
        <v>0</v>
      </c>
      <c r="F89" s="533"/>
      <c r="G89" s="533"/>
      <c r="H89" s="533"/>
      <c r="I89" s="533"/>
      <c r="J89" s="533"/>
      <c r="K89" s="533"/>
      <c r="L89" s="534" t="str">
        <f>IF(E89&lt;700,"CIBIL Score Norms Not Met","CIBIL Norms Met")</f>
        <v>CIBIL Score Norms Not Met</v>
      </c>
      <c r="M89" s="534"/>
      <c r="N89" s="534"/>
      <c r="O89" s="534"/>
      <c r="P89" s="534"/>
      <c r="Q89" s="534"/>
    </row>
    <row r="90" spans="1:17" x14ac:dyDescent="0.25">
      <c r="A90" s="69"/>
      <c r="B90" s="535"/>
      <c r="C90" s="532" t="s">
        <v>464</v>
      </c>
      <c r="D90" s="532"/>
      <c r="E90" s="533"/>
      <c r="F90" s="533"/>
      <c r="G90" s="533"/>
      <c r="H90" s="533"/>
      <c r="I90" s="533"/>
      <c r="J90" s="533"/>
      <c r="K90" s="533"/>
      <c r="L90" s="534"/>
      <c r="M90" s="534"/>
      <c r="N90" s="534"/>
      <c r="O90" s="534"/>
      <c r="P90" s="534"/>
      <c r="Q90" s="534"/>
    </row>
    <row r="91" spans="1:17" ht="24" x14ac:dyDescent="0.25">
      <c r="A91" s="16" t="str">
        <f ca="1">IF((TODAY()-A90)&gt;45,"CIBIL EXPIRED","CIBIL VALID")</f>
        <v>CIBIL EXPIRED</v>
      </c>
      <c r="B91" s="17" t="s">
        <v>465</v>
      </c>
      <c r="C91" s="532" t="s">
        <v>466</v>
      </c>
      <c r="D91" s="532"/>
      <c r="E91" s="533">
        <v>0</v>
      </c>
      <c r="F91" s="533"/>
      <c r="G91" s="533"/>
      <c r="H91" s="533"/>
      <c r="I91" s="533"/>
      <c r="J91" s="533"/>
      <c r="K91" s="533"/>
      <c r="L91" s="534" t="str">
        <f>IF(E91&lt;=3,"No Deviation required",IF(E91&lt;=5,"CM deviation",IF(E91&lt;=7,"Need ACM Deviation for enquiries",IF(E91&lt;=10,"Need RCM Deviation for enquiries","ZCM deviation"))))</f>
        <v>No Deviation required</v>
      </c>
      <c r="M91" s="534"/>
      <c r="N91" s="534"/>
      <c r="O91" s="534"/>
      <c r="P91" s="534"/>
      <c r="Q91" s="534"/>
    </row>
    <row r="92" spans="1:17" ht="8.25" customHeight="1" x14ac:dyDescent="0.25"/>
  </sheetData>
  <sheetProtection algorithmName="SHA-512" hashValue="a0ZPJpMCkXzcujY7kiDMMxtFfhhOYWqb1fD+cRLWmlGpwkgU6s/RBjXNJiexzHJMtVYqoB9z4KYjuDNnc8S98Q==" saltValue="S0ztnGTFXN1SNNXEvZ/TGg==" spinCount="100000" sheet="1" objects="1" scenarios="1"/>
  <mergeCells count="318">
    <mergeCell ref="A6:B6"/>
    <mergeCell ref="C6:H6"/>
    <mergeCell ref="I6:Q6"/>
    <mergeCell ref="A2:B2"/>
    <mergeCell ref="C2:H2"/>
    <mergeCell ref="I2:Q2"/>
    <mergeCell ref="A3:B3"/>
    <mergeCell ref="C3:H3"/>
    <mergeCell ref="I3:Q3"/>
    <mergeCell ref="A4:B5"/>
    <mergeCell ref="C4:E4"/>
    <mergeCell ref="F4:H4"/>
    <mergeCell ref="C5:E5"/>
    <mergeCell ref="F5:H5"/>
    <mergeCell ref="I4:Q5"/>
    <mergeCell ref="B89:B90"/>
    <mergeCell ref="C89:D89"/>
    <mergeCell ref="E89:K89"/>
    <mergeCell ref="L89:Q89"/>
    <mergeCell ref="C90:D90"/>
    <mergeCell ref="E90:K90"/>
    <mergeCell ref="L90:Q90"/>
    <mergeCell ref="C91:D91"/>
    <mergeCell ref="E91:K91"/>
    <mergeCell ref="L91:Q91"/>
    <mergeCell ref="A86:B86"/>
    <mergeCell ref="C86:D86"/>
    <mergeCell ref="E86:F86"/>
    <mergeCell ref="G86:H86"/>
    <mergeCell ref="I86:J86"/>
    <mergeCell ref="K86:M86"/>
    <mergeCell ref="N86:Q86"/>
    <mergeCell ref="A87:Q87"/>
    <mergeCell ref="A88:B88"/>
    <mergeCell ref="C88:D88"/>
    <mergeCell ref="E88:K88"/>
    <mergeCell ref="L88:Q88"/>
    <mergeCell ref="A83:Q83"/>
    <mergeCell ref="A84:B84"/>
    <mergeCell ref="C84:H84"/>
    <mergeCell ref="I84:J84"/>
    <mergeCell ref="K84:Q84"/>
    <mergeCell ref="A85:B85"/>
    <mergeCell ref="C85:H85"/>
    <mergeCell ref="I85:J85"/>
    <mergeCell ref="K85:M85"/>
    <mergeCell ref="N85:Q85"/>
    <mergeCell ref="B80:B81"/>
    <mergeCell ref="C80:D80"/>
    <mergeCell ref="E80:K80"/>
    <mergeCell ref="L80:Q80"/>
    <mergeCell ref="C81:D81"/>
    <mergeCell ref="E81:K81"/>
    <mergeCell ref="L81:Q81"/>
    <mergeCell ref="C82:D82"/>
    <mergeCell ref="E82:K82"/>
    <mergeCell ref="L82:Q82"/>
    <mergeCell ref="A77:B77"/>
    <mergeCell ref="C77:D77"/>
    <mergeCell ref="E77:F77"/>
    <mergeCell ref="G77:H77"/>
    <mergeCell ref="I77:J77"/>
    <mergeCell ref="K77:M77"/>
    <mergeCell ref="N77:Q77"/>
    <mergeCell ref="A78:Q78"/>
    <mergeCell ref="A79:B79"/>
    <mergeCell ref="C79:D79"/>
    <mergeCell ref="E79:K79"/>
    <mergeCell ref="L79:Q79"/>
    <mergeCell ref="A74:Q74"/>
    <mergeCell ref="A75:B75"/>
    <mergeCell ref="C75:H75"/>
    <mergeCell ref="I75:J75"/>
    <mergeCell ref="K75:Q75"/>
    <mergeCell ref="A76:B76"/>
    <mergeCell ref="C76:H76"/>
    <mergeCell ref="I76:J76"/>
    <mergeCell ref="K76:M76"/>
    <mergeCell ref="N76:Q76"/>
    <mergeCell ref="B71:B72"/>
    <mergeCell ref="C71:D71"/>
    <mergeCell ref="E71:K71"/>
    <mergeCell ref="L71:Q71"/>
    <mergeCell ref="C72:D72"/>
    <mergeCell ref="E72:K72"/>
    <mergeCell ref="L72:Q72"/>
    <mergeCell ref="C73:D73"/>
    <mergeCell ref="E73:K73"/>
    <mergeCell ref="L73:Q73"/>
    <mergeCell ref="A68:B68"/>
    <mergeCell ref="C68:D68"/>
    <mergeCell ref="E68:F68"/>
    <mergeCell ref="G68:H68"/>
    <mergeCell ref="I68:J68"/>
    <mergeCell ref="K68:M68"/>
    <mergeCell ref="N68:Q68"/>
    <mergeCell ref="A69:Q69"/>
    <mergeCell ref="A70:B70"/>
    <mergeCell ref="C70:D70"/>
    <mergeCell ref="E70:K70"/>
    <mergeCell ref="L70:Q70"/>
    <mergeCell ref="A65:Q65"/>
    <mergeCell ref="A66:B66"/>
    <mergeCell ref="C66:H66"/>
    <mergeCell ref="I66:J66"/>
    <mergeCell ref="K66:Q66"/>
    <mergeCell ref="A67:B67"/>
    <mergeCell ref="C67:H67"/>
    <mergeCell ref="I67:J67"/>
    <mergeCell ref="K67:M67"/>
    <mergeCell ref="N67:Q67"/>
    <mergeCell ref="B62:B63"/>
    <mergeCell ref="C62:D62"/>
    <mergeCell ref="E62:K62"/>
    <mergeCell ref="L62:Q62"/>
    <mergeCell ref="C63:D63"/>
    <mergeCell ref="E63:K63"/>
    <mergeCell ref="L63:Q63"/>
    <mergeCell ref="C64:D64"/>
    <mergeCell ref="E64:K64"/>
    <mergeCell ref="L64:Q64"/>
    <mergeCell ref="A59:B59"/>
    <mergeCell ref="C59:D59"/>
    <mergeCell ref="E59:F59"/>
    <mergeCell ref="G59:H59"/>
    <mergeCell ref="I59:J59"/>
    <mergeCell ref="K59:M59"/>
    <mergeCell ref="N59:Q59"/>
    <mergeCell ref="A60:Q60"/>
    <mergeCell ref="A61:B61"/>
    <mergeCell ref="C61:D61"/>
    <mergeCell ref="E61:K61"/>
    <mergeCell ref="L61:Q61"/>
    <mergeCell ref="A56:Q56"/>
    <mergeCell ref="A57:B57"/>
    <mergeCell ref="C57:H57"/>
    <mergeCell ref="I57:J57"/>
    <mergeCell ref="K57:Q57"/>
    <mergeCell ref="A58:B58"/>
    <mergeCell ref="C58:H58"/>
    <mergeCell ref="I58:J58"/>
    <mergeCell ref="K58:M58"/>
    <mergeCell ref="N58:Q58"/>
    <mergeCell ref="B53:B54"/>
    <mergeCell ref="C53:D53"/>
    <mergeCell ref="E53:K53"/>
    <mergeCell ref="L53:Q53"/>
    <mergeCell ref="C54:D54"/>
    <mergeCell ref="E54:K54"/>
    <mergeCell ref="L54:Q54"/>
    <mergeCell ref="C55:D55"/>
    <mergeCell ref="E55:K55"/>
    <mergeCell ref="L55:Q55"/>
    <mergeCell ref="A50:B50"/>
    <mergeCell ref="C50:D50"/>
    <mergeCell ref="E50:F50"/>
    <mergeCell ref="G50:H50"/>
    <mergeCell ref="I50:J50"/>
    <mergeCell ref="K50:M50"/>
    <mergeCell ref="N50:Q50"/>
    <mergeCell ref="A51:Q51"/>
    <mergeCell ref="A52:B52"/>
    <mergeCell ref="C52:D52"/>
    <mergeCell ref="E52:K52"/>
    <mergeCell ref="L52:Q52"/>
    <mergeCell ref="A47:Q47"/>
    <mergeCell ref="A48:B48"/>
    <mergeCell ref="C48:H48"/>
    <mergeCell ref="I48:J48"/>
    <mergeCell ref="K48:Q48"/>
    <mergeCell ref="A49:B49"/>
    <mergeCell ref="C49:H49"/>
    <mergeCell ref="I49:J49"/>
    <mergeCell ref="K49:M49"/>
    <mergeCell ref="N49:Q49"/>
    <mergeCell ref="A8:Q8"/>
    <mergeCell ref="A9:B9"/>
    <mergeCell ref="C9:H9"/>
    <mergeCell ref="I9:J9"/>
    <mergeCell ref="A10:B10"/>
    <mergeCell ref="C10:H10"/>
    <mergeCell ref="I10:J10"/>
    <mergeCell ref="K10:M10"/>
    <mergeCell ref="N10:Q10"/>
    <mergeCell ref="N9:Q9"/>
    <mergeCell ref="K9:M9"/>
    <mergeCell ref="A11:Q11"/>
    <mergeCell ref="A12:B12"/>
    <mergeCell ref="C12:H12"/>
    <mergeCell ref="I12:J12"/>
    <mergeCell ref="K12:Q12"/>
    <mergeCell ref="K14:M14"/>
    <mergeCell ref="N14:Q14"/>
    <mergeCell ref="A15:Q15"/>
    <mergeCell ref="A16:B16"/>
    <mergeCell ref="C16:D16"/>
    <mergeCell ref="E16:K16"/>
    <mergeCell ref="L16:Q16"/>
    <mergeCell ref="A13:B13"/>
    <mergeCell ref="C13:H13"/>
    <mergeCell ref="I13:J13"/>
    <mergeCell ref="K13:M13"/>
    <mergeCell ref="N13:Q13"/>
    <mergeCell ref="A14:B14"/>
    <mergeCell ref="C14:D14"/>
    <mergeCell ref="E14:F14"/>
    <mergeCell ref="G14:H14"/>
    <mergeCell ref="I14:J14"/>
    <mergeCell ref="C19:D19"/>
    <mergeCell ref="E19:K19"/>
    <mergeCell ref="L19:Q19"/>
    <mergeCell ref="A20:Q20"/>
    <mergeCell ref="A21:B21"/>
    <mergeCell ref="C21:H21"/>
    <mergeCell ref="I21:J21"/>
    <mergeCell ref="K21:Q21"/>
    <mergeCell ref="B17:B18"/>
    <mergeCell ref="C17:D17"/>
    <mergeCell ref="E17:K17"/>
    <mergeCell ref="L17:Q17"/>
    <mergeCell ref="C18:D18"/>
    <mergeCell ref="E18:K18"/>
    <mergeCell ref="L18:Q18"/>
    <mergeCell ref="K23:M23"/>
    <mergeCell ref="N23:Q23"/>
    <mergeCell ref="A24:Q24"/>
    <mergeCell ref="A25:B25"/>
    <mergeCell ref="C25:D25"/>
    <mergeCell ref="E25:K25"/>
    <mergeCell ref="L25:Q25"/>
    <mergeCell ref="A22:B22"/>
    <mergeCell ref="C22:H22"/>
    <mergeCell ref="I22:J22"/>
    <mergeCell ref="K22:M22"/>
    <mergeCell ref="N22:Q22"/>
    <mergeCell ref="A23:B23"/>
    <mergeCell ref="C23:D23"/>
    <mergeCell ref="E23:F23"/>
    <mergeCell ref="G23:H23"/>
    <mergeCell ref="I23:J23"/>
    <mergeCell ref="C28:D28"/>
    <mergeCell ref="E28:K28"/>
    <mergeCell ref="L28:Q28"/>
    <mergeCell ref="A29:Q29"/>
    <mergeCell ref="A30:B30"/>
    <mergeCell ref="C30:H30"/>
    <mergeCell ref="I30:J30"/>
    <mergeCell ref="K30:Q30"/>
    <mergeCell ref="B26:B27"/>
    <mergeCell ref="C26:D26"/>
    <mergeCell ref="E26:K26"/>
    <mergeCell ref="L26:Q26"/>
    <mergeCell ref="C27:D27"/>
    <mergeCell ref="E27:K27"/>
    <mergeCell ref="L27:Q27"/>
    <mergeCell ref="A31:B31"/>
    <mergeCell ref="C31:H31"/>
    <mergeCell ref="I31:J31"/>
    <mergeCell ref="K31:M31"/>
    <mergeCell ref="N31:Q31"/>
    <mergeCell ref="A32:B32"/>
    <mergeCell ref="C32:D32"/>
    <mergeCell ref="E32:F32"/>
    <mergeCell ref="G32:H32"/>
    <mergeCell ref="I32:J32"/>
    <mergeCell ref="B35:B36"/>
    <mergeCell ref="C35:D35"/>
    <mergeCell ref="E35:K35"/>
    <mergeCell ref="L35:Q35"/>
    <mergeCell ref="C36:D36"/>
    <mergeCell ref="E36:K36"/>
    <mergeCell ref="L36:Q36"/>
    <mergeCell ref="K32:M32"/>
    <mergeCell ref="N32:Q32"/>
    <mergeCell ref="A33:Q33"/>
    <mergeCell ref="A34:B34"/>
    <mergeCell ref="C34:D34"/>
    <mergeCell ref="E34:K34"/>
    <mergeCell ref="L34:Q34"/>
    <mergeCell ref="K40:M40"/>
    <mergeCell ref="N40:Q40"/>
    <mergeCell ref="A41:B41"/>
    <mergeCell ref="C41:D41"/>
    <mergeCell ref="E41:F41"/>
    <mergeCell ref="G41:H41"/>
    <mergeCell ref="I41:J41"/>
    <mergeCell ref="C37:D37"/>
    <mergeCell ref="E37:K37"/>
    <mergeCell ref="L37:Q37"/>
    <mergeCell ref="A38:Q38"/>
    <mergeCell ref="A39:B39"/>
    <mergeCell ref="C39:H39"/>
    <mergeCell ref="I39:J39"/>
    <mergeCell ref="K39:Q39"/>
    <mergeCell ref="A7:B7"/>
    <mergeCell ref="C7:H7"/>
    <mergeCell ref="I7:Q7"/>
    <mergeCell ref="A1:Q1"/>
    <mergeCell ref="C46:D46"/>
    <mergeCell ref="E46:K46"/>
    <mergeCell ref="L46:Q46"/>
    <mergeCell ref="B44:B45"/>
    <mergeCell ref="C44:D44"/>
    <mergeCell ref="E44:K44"/>
    <mergeCell ref="L44:Q44"/>
    <mergeCell ref="C45:D45"/>
    <mergeCell ref="E45:K45"/>
    <mergeCell ref="L45:Q45"/>
    <mergeCell ref="K41:M41"/>
    <mergeCell ref="N41:Q41"/>
    <mergeCell ref="A42:Q42"/>
    <mergeCell ref="A43:B43"/>
    <mergeCell ref="C43:D43"/>
    <mergeCell ref="E43:K43"/>
    <mergeCell ref="L43:Q43"/>
    <mergeCell ref="A40:B40"/>
    <mergeCell ref="C40:H40"/>
    <mergeCell ref="I40:J40"/>
  </mergeCells>
  <dataValidations count="6">
    <dataValidation type="list" showInputMessage="1" showErrorMessage="1" sqref="K39:Q39 K12:Q12 K21:Q21 K30:Q30 K48:Q48 K57:Q57 K66:Q66 K75:Q75 K84:Q84" xr:uid="{00000000-0002-0000-0A00-000000000000}">
      <formula1>"SENP,SEP,Doctor"</formula1>
    </dataValidation>
    <dataValidation type="list" showInputMessage="1" showErrorMessage="1" sqref="K9" xr:uid="{00000000-0002-0000-0A00-000001000000}">
      <formula1>"Proprietary,Partnership,Private Limited,Limited"</formula1>
    </dataValidation>
    <dataValidation type="list" allowBlank="1" showInputMessage="1" showErrorMessage="1" sqref="C3:H3" xr:uid="{00000000-0002-0000-0A00-000002000000}">
      <formula1>"Residence,Office,Both,None"</formula1>
    </dataValidation>
    <dataValidation type="list" allowBlank="1" showInputMessage="1" showErrorMessage="1" sqref="C2:H2" xr:uid="{00000000-0002-0000-0A00-000003000000}">
      <formula1>"Owned,Rented"</formula1>
    </dataValidation>
    <dataValidation type="list" allowBlank="1" showInputMessage="1" showErrorMessage="1" sqref="C7:H7" xr:uid="{00000000-0002-0000-0A00-000004000000}">
      <formula1>"Landline,Mobile Postpaid,Other"</formula1>
    </dataValidation>
    <dataValidation type="list" allowBlank="1" showInputMessage="1" showErrorMessage="1" sqref="C6:H6" xr:uid="{00000000-0002-0000-0A00-000005000000}">
      <formula1>"Landline,Other"</formula1>
    </dataValidation>
  </dataValidations>
  <pageMargins left="0.7" right="0.7" top="0.75" bottom="0.75" header="0.3" footer="0.3"/>
  <pageSetup paperSize="9" orientation="portrait"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dimension ref="A1:L140"/>
  <sheetViews>
    <sheetView zoomScaleNormal="100" workbookViewId="0">
      <selection activeCell="B3" sqref="B3"/>
    </sheetView>
  </sheetViews>
  <sheetFormatPr defaultRowHeight="15" x14ac:dyDescent="0.25"/>
  <cols>
    <col min="1" max="1" width="60.140625" bestFit="1" customWidth="1"/>
    <col min="2" max="6" width="17.140625" customWidth="1"/>
    <col min="7" max="10" width="10.5703125" customWidth="1"/>
  </cols>
  <sheetData>
    <row r="1" spans="1:12" s="184" customFormat="1" ht="15.75" x14ac:dyDescent="0.25">
      <c r="A1" s="553" t="str">
        <f>_xlfn.CONCAT("Financial Plotting of ",Details!C9)</f>
        <v xml:space="preserve">Financial Plotting of </v>
      </c>
      <c r="B1" s="554"/>
      <c r="C1" s="554"/>
      <c r="D1" s="554"/>
      <c r="E1" s="554"/>
      <c r="F1" s="554"/>
      <c r="G1" s="554"/>
      <c r="H1" s="554"/>
      <c r="I1" s="554"/>
      <c r="J1" s="555"/>
    </row>
    <row r="2" spans="1:12" s="184" customFormat="1" ht="18.75" x14ac:dyDescent="0.3">
      <c r="A2" s="185" t="s">
        <v>794</v>
      </c>
      <c r="B2" s="186"/>
      <c r="C2" s="186"/>
      <c r="D2" s="186"/>
      <c r="E2" s="186"/>
      <c r="F2" s="186"/>
      <c r="G2" s="186"/>
      <c r="H2" s="186"/>
      <c r="I2" s="186"/>
      <c r="J2" s="187"/>
    </row>
    <row r="3" spans="1:12" s="184" customFormat="1" x14ac:dyDescent="0.25">
      <c r="A3" s="550" t="s">
        <v>587</v>
      </c>
      <c r="B3" s="217" t="s">
        <v>589</v>
      </c>
      <c r="C3" s="217"/>
      <c r="D3" s="217"/>
      <c r="E3" s="217"/>
      <c r="F3" s="217"/>
      <c r="G3" s="556" t="s">
        <v>993</v>
      </c>
      <c r="H3" s="557"/>
      <c r="I3" s="557"/>
      <c r="J3" s="558"/>
      <c r="L3" s="216" t="s">
        <v>589</v>
      </c>
    </row>
    <row r="4" spans="1:12" s="184" customFormat="1" x14ac:dyDescent="0.25">
      <c r="A4" s="550"/>
      <c r="B4" s="273">
        <v>44197</v>
      </c>
      <c r="C4" s="273">
        <f>EOMONTH(B4,-12)</f>
        <v>43861</v>
      </c>
      <c r="D4" s="273">
        <f t="shared" ref="D4:F4" si="0">EOMONTH(C4,-12)</f>
        <v>43496</v>
      </c>
      <c r="E4" s="273">
        <f t="shared" si="0"/>
        <v>43131</v>
      </c>
      <c r="F4" s="273">
        <f t="shared" si="0"/>
        <v>42766</v>
      </c>
      <c r="G4" s="217" t="str">
        <f>YEAR(B4)&amp;"-"&amp;YEAR(C4)</f>
        <v>2021-2020</v>
      </c>
      <c r="H4" s="217" t="str">
        <f t="shared" ref="H4:J4" si="1">YEAR(C4)&amp;"-"&amp;YEAR(D4)</f>
        <v>2020-2019</v>
      </c>
      <c r="I4" s="217" t="str">
        <f t="shared" si="1"/>
        <v>2019-2018</v>
      </c>
      <c r="J4" s="217" t="str">
        <f t="shared" si="1"/>
        <v>2018-2017</v>
      </c>
      <c r="L4" s="216" t="s">
        <v>911</v>
      </c>
    </row>
    <row r="5" spans="1:12" s="184" customFormat="1" x14ac:dyDescent="0.25">
      <c r="A5" s="189" t="s">
        <v>590</v>
      </c>
      <c r="B5" s="190"/>
      <c r="C5" s="190"/>
      <c r="D5" s="190"/>
      <c r="E5" s="190"/>
      <c r="F5" s="190"/>
      <c r="G5" s="190"/>
      <c r="H5" s="190"/>
      <c r="I5" s="190"/>
      <c r="J5" s="191"/>
      <c r="L5" s="216" t="s">
        <v>1006</v>
      </c>
    </row>
    <row r="6" spans="1:12" x14ac:dyDescent="0.25">
      <c r="A6" s="240" t="s">
        <v>591</v>
      </c>
      <c r="B6" s="193"/>
      <c r="C6" s="193"/>
      <c r="D6" s="193"/>
      <c r="E6" s="193"/>
      <c r="F6" s="193"/>
      <c r="G6" s="194" t="e">
        <f t="shared" ref="G6:J10" si="2">(B6-C6)/C6</f>
        <v>#DIV/0!</v>
      </c>
      <c r="H6" s="194" t="e">
        <f t="shared" si="2"/>
        <v>#DIV/0!</v>
      </c>
      <c r="I6" s="194" t="e">
        <f t="shared" si="2"/>
        <v>#DIV/0!</v>
      </c>
      <c r="J6" s="194" t="e">
        <f t="shared" si="2"/>
        <v>#DIV/0!</v>
      </c>
    </row>
    <row r="7" spans="1:12" x14ac:dyDescent="0.25">
      <c r="A7" s="240" t="s">
        <v>592</v>
      </c>
      <c r="B7" s="195"/>
      <c r="C7" s="195"/>
      <c r="D7" s="195"/>
      <c r="E7" s="195"/>
      <c r="F7" s="195"/>
      <c r="G7" s="194" t="e">
        <f t="shared" si="2"/>
        <v>#DIV/0!</v>
      </c>
      <c r="H7" s="194" t="e">
        <f t="shared" si="2"/>
        <v>#DIV/0!</v>
      </c>
      <c r="I7" s="194" t="e">
        <f t="shared" si="2"/>
        <v>#DIV/0!</v>
      </c>
      <c r="J7" s="194" t="e">
        <f t="shared" si="2"/>
        <v>#DIV/0!</v>
      </c>
    </row>
    <row r="8" spans="1:12" s="198" customFormat="1" ht="12.75" x14ac:dyDescent="0.2">
      <c r="A8" s="196" t="s">
        <v>593</v>
      </c>
      <c r="B8" s="246">
        <f>B6-B7</f>
        <v>0</v>
      </c>
      <c r="C8" s="246">
        <f>C6-C7</f>
        <v>0</v>
      </c>
      <c r="D8" s="246">
        <f>D6-D7</f>
        <v>0</v>
      </c>
      <c r="E8" s="246">
        <f>E6-E7</f>
        <v>0</v>
      </c>
      <c r="F8" s="246">
        <f>F6-F7</f>
        <v>0</v>
      </c>
      <c r="G8" s="247" t="e">
        <f t="shared" si="2"/>
        <v>#DIV/0!</v>
      </c>
      <c r="H8" s="247" t="e">
        <f t="shared" si="2"/>
        <v>#DIV/0!</v>
      </c>
      <c r="I8" s="247" t="e">
        <f t="shared" si="2"/>
        <v>#DIV/0!</v>
      </c>
      <c r="J8" s="247" t="e">
        <f t="shared" si="2"/>
        <v>#DIV/0!</v>
      </c>
    </row>
    <row r="9" spans="1:12" x14ac:dyDescent="0.25">
      <c r="A9" s="240" t="s">
        <v>594</v>
      </c>
      <c r="B9" s="199"/>
      <c r="C9" s="199"/>
      <c r="D9" s="199"/>
      <c r="E9" s="199"/>
      <c r="F9" s="199"/>
      <c r="G9" s="194" t="e">
        <f t="shared" si="2"/>
        <v>#DIV/0!</v>
      </c>
      <c r="H9" s="194" t="e">
        <f t="shared" si="2"/>
        <v>#DIV/0!</v>
      </c>
      <c r="I9" s="194" t="e">
        <f t="shared" si="2"/>
        <v>#DIV/0!</v>
      </c>
      <c r="J9" s="194" t="e">
        <f t="shared" si="2"/>
        <v>#DIV/0!</v>
      </c>
    </row>
    <row r="10" spans="1:12" s="198" customFormat="1" ht="12.75" x14ac:dyDescent="0.2">
      <c r="A10" s="196" t="s">
        <v>595</v>
      </c>
      <c r="B10" s="246">
        <f>B8+B9</f>
        <v>0</v>
      </c>
      <c r="C10" s="246">
        <f>C8+C9</f>
        <v>0</v>
      </c>
      <c r="D10" s="246">
        <f>D8+D9</f>
        <v>0</v>
      </c>
      <c r="E10" s="246">
        <f>E8+E9</f>
        <v>0</v>
      </c>
      <c r="F10" s="246">
        <f>F8+F9</f>
        <v>0</v>
      </c>
      <c r="G10" s="247" t="e">
        <f t="shared" si="2"/>
        <v>#DIV/0!</v>
      </c>
      <c r="H10" s="247" t="e">
        <f t="shared" si="2"/>
        <v>#DIV/0!</v>
      </c>
      <c r="I10" s="247" t="e">
        <f t="shared" si="2"/>
        <v>#DIV/0!</v>
      </c>
      <c r="J10" s="247" t="e">
        <f t="shared" si="2"/>
        <v>#DIV/0!</v>
      </c>
    </row>
    <row r="11" spans="1:12" s="184" customFormat="1" x14ac:dyDescent="0.25">
      <c r="A11" s="189" t="s">
        <v>596</v>
      </c>
      <c r="B11" s="200"/>
      <c r="C11" s="200"/>
      <c r="D11" s="200"/>
      <c r="E11" s="200"/>
      <c r="F11" s="200"/>
      <c r="G11" s="248"/>
      <c r="H11" s="248"/>
      <c r="I11" s="248"/>
      <c r="J11" s="249"/>
    </row>
    <row r="12" spans="1:12" x14ac:dyDescent="0.25">
      <c r="A12" s="240" t="s">
        <v>597</v>
      </c>
      <c r="B12" s="195"/>
      <c r="C12" s="195"/>
      <c r="D12" s="195"/>
      <c r="E12" s="195"/>
      <c r="F12" s="195"/>
      <c r="G12" s="194" t="e">
        <f t="shared" ref="G12:J16" si="3">(B12-C12)/C12</f>
        <v>#DIV/0!</v>
      </c>
      <c r="H12" s="194" t="e">
        <f t="shared" si="3"/>
        <v>#DIV/0!</v>
      </c>
      <c r="I12" s="194" t="e">
        <f t="shared" si="3"/>
        <v>#DIV/0!</v>
      </c>
      <c r="J12" s="194" t="e">
        <f t="shared" si="3"/>
        <v>#DIV/0!</v>
      </c>
    </row>
    <row r="13" spans="1:12" x14ac:dyDescent="0.25">
      <c r="A13" s="240" t="s">
        <v>598</v>
      </c>
      <c r="B13" s="195"/>
      <c r="C13" s="195"/>
      <c r="D13" s="195"/>
      <c r="E13" s="195"/>
      <c r="F13" s="195"/>
      <c r="G13" s="194" t="e">
        <f t="shared" si="3"/>
        <v>#DIV/0!</v>
      </c>
      <c r="H13" s="194" t="e">
        <f t="shared" si="3"/>
        <v>#DIV/0!</v>
      </c>
      <c r="I13" s="194" t="e">
        <f t="shared" si="3"/>
        <v>#DIV/0!</v>
      </c>
      <c r="J13" s="194" t="e">
        <f t="shared" si="3"/>
        <v>#DIV/0!</v>
      </c>
    </row>
    <row r="14" spans="1:12" x14ac:dyDescent="0.25">
      <c r="A14" s="240" t="s">
        <v>605</v>
      </c>
      <c r="B14" s="195"/>
      <c r="C14" s="193"/>
      <c r="D14" s="195"/>
      <c r="E14" s="195"/>
      <c r="F14" s="193"/>
      <c r="G14" s="194" t="e">
        <f t="shared" si="3"/>
        <v>#DIV/0!</v>
      </c>
      <c r="H14" s="194" t="e">
        <f t="shared" si="3"/>
        <v>#DIV/0!</v>
      </c>
      <c r="I14" s="194" t="e">
        <f t="shared" si="3"/>
        <v>#DIV/0!</v>
      </c>
      <c r="J14" s="194" t="e">
        <f t="shared" si="3"/>
        <v>#DIV/0!</v>
      </c>
    </row>
    <row r="15" spans="1:12" s="198" customFormat="1" ht="12.75" x14ac:dyDescent="0.2">
      <c r="A15" s="196" t="s">
        <v>599</v>
      </c>
      <c r="B15" s="246">
        <f>SUM(B12:B14)</f>
        <v>0</v>
      </c>
      <c r="C15" s="246">
        <f>SUM(C12:C14)</f>
        <v>0</v>
      </c>
      <c r="D15" s="246">
        <f>SUM(D12:D14)</f>
        <v>0</v>
      </c>
      <c r="E15" s="246">
        <f>SUM(E12:E14)</f>
        <v>0</v>
      </c>
      <c r="F15" s="246">
        <f>SUM(F12:F14)</f>
        <v>0</v>
      </c>
      <c r="G15" s="247" t="e">
        <f t="shared" si="3"/>
        <v>#DIV/0!</v>
      </c>
      <c r="H15" s="247" t="e">
        <f t="shared" si="3"/>
        <v>#DIV/0!</v>
      </c>
      <c r="I15" s="247" t="e">
        <f t="shared" si="3"/>
        <v>#DIV/0!</v>
      </c>
      <c r="J15" s="247" t="e">
        <f t="shared" si="3"/>
        <v>#DIV/0!</v>
      </c>
    </row>
    <row r="16" spans="1:12" s="184" customFormat="1" x14ac:dyDescent="0.25">
      <c r="A16" s="201" t="s">
        <v>260</v>
      </c>
      <c r="B16" s="251">
        <f>B10-B15</f>
        <v>0</v>
      </c>
      <c r="C16" s="251">
        <f>C10-C15</f>
        <v>0</v>
      </c>
      <c r="D16" s="251">
        <f>D10-D15</f>
        <v>0</v>
      </c>
      <c r="E16" s="251">
        <f>E10-E15</f>
        <v>0</v>
      </c>
      <c r="F16" s="251">
        <f>F10-F15</f>
        <v>0</v>
      </c>
      <c r="G16" s="250" t="e">
        <f t="shared" si="3"/>
        <v>#DIV/0!</v>
      </c>
      <c r="H16" s="250" t="e">
        <f t="shared" si="3"/>
        <v>#DIV/0!</v>
      </c>
      <c r="I16" s="250" t="e">
        <f t="shared" si="3"/>
        <v>#DIV/0!</v>
      </c>
      <c r="J16" s="250" t="e">
        <f t="shared" si="3"/>
        <v>#DIV/0!</v>
      </c>
    </row>
    <row r="17" spans="1:10" s="184" customFormat="1" x14ac:dyDescent="0.25">
      <c r="A17" s="189" t="s">
        <v>600</v>
      </c>
      <c r="B17" s="200"/>
      <c r="C17" s="200"/>
      <c r="D17" s="200"/>
      <c r="E17" s="200"/>
      <c r="F17" s="200"/>
      <c r="G17" s="248"/>
      <c r="H17" s="248"/>
      <c r="I17" s="248"/>
      <c r="J17" s="249"/>
    </row>
    <row r="18" spans="1:10" x14ac:dyDescent="0.25">
      <c r="A18" s="240" t="s">
        <v>601</v>
      </c>
      <c r="B18" s="195"/>
      <c r="C18" s="195"/>
      <c r="D18" s="195"/>
      <c r="E18" s="195"/>
      <c r="F18" s="195"/>
      <c r="G18" s="194" t="e">
        <f t="shared" ref="G18:J35" si="4">(B18-C18)/C18</f>
        <v>#DIV/0!</v>
      </c>
      <c r="H18" s="194" t="e">
        <f t="shared" si="4"/>
        <v>#DIV/0!</v>
      </c>
      <c r="I18" s="194" t="e">
        <f t="shared" si="4"/>
        <v>#DIV/0!</v>
      </c>
      <c r="J18" s="194" t="e">
        <f t="shared" si="4"/>
        <v>#DIV/0!</v>
      </c>
    </row>
    <row r="19" spans="1:10" x14ac:dyDescent="0.25">
      <c r="A19" s="240" t="s">
        <v>602</v>
      </c>
      <c r="B19" s="195"/>
      <c r="C19" s="195"/>
      <c r="D19" s="195"/>
      <c r="E19" s="195"/>
      <c r="F19" s="195"/>
      <c r="G19" s="194" t="e">
        <f t="shared" si="4"/>
        <v>#DIV/0!</v>
      </c>
      <c r="H19" s="194" t="e">
        <f t="shared" si="4"/>
        <v>#DIV/0!</v>
      </c>
      <c r="I19" s="194" t="e">
        <f t="shared" si="4"/>
        <v>#DIV/0!</v>
      </c>
      <c r="J19" s="194" t="e">
        <f t="shared" si="4"/>
        <v>#DIV/0!</v>
      </c>
    </row>
    <row r="20" spans="1:10" s="198" customFormat="1" ht="12.75" x14ac:dyDescent="0.2">
      <c r="A20" s="196" t="s">
        <v>603</v>
      </c>
      <c r="B20" s="246">
        <f>SUM(B18:B19)</f>
        <v>0</v>
      </c>
      <c r="C20" s="246">
        <f>SUM(C18:C19)</f>
        <v>0</v>
      </c>
      <c r="D20" s="246">
        <f>SUM(D18:D19)</f>
        <v>0</v>
      </c>
      <c r="E20" s="246">
        <f>SUM(E18:E19)</f>
        <v>0</v>
      </c>
      <c r="F20" s="246">
        <f>SUM(F18:F19)</f>
        <v>0</v>
      </c>
      <c r="G20" s="247" t="e">
        <f t="shared" si="4"/>
        <v>#DIV/0!</v>
      </c>
      <c r="H20" s="247" t="e">
        <f t="shared" si="4"/>
        <v>#DIV/0!</v>
      </c>
      <c r="I20" s="247" t="e">
        <f t="shared" si="4"/>
        <v>#DIV/0!</v>
      </c>
      <c r="J20" s="247" t="e">
        <f t="shared" si="4"/>
        <v>#DIV/0!</v>
      </c>
    </row>
    <row r="21" spans="1:10" s="184" customFormat="1" x14ac:dyDescent="0.25">
      <c r="A21" s="201" t="s">
        <v>604</v>
      </c>
      <c r="B21" s="251">
        <f>B10-B15-B20+B14</f>
        <v>0</v>
      </c>
      <c r="C21" s="251">
        <f>C10-C15-C20+C14</f>
        <v>0</v>
      </c>
      <c r="D21" s="251">
        <f>D10-D15-D20+D14</f>
        <v>0</v>
      </c>
      <c r="E21" s="251">
        <f>E10-E15-E20+E14</f>
        <v>0</v>
      </c>
      <c r="F21" s="251">
        <f>F10-F15-F20+F14</f>
        <v>0</v>
      </c>
      <c r="G21" s="250" t="e">
        <f t="shared" si="4"/>
        <v>#DIV/0!</v>
      </c>
      <c r="H21" s="250" t="e">
        <f t="shared" si="4"/>
        <v>#DIV/0!</v>
      </c>
      <c r="I21" s="250" t="e">
        <f t="shared" si="4"/>
        <v>#DIV/0!</v>
      </c>
      <c r="J21" s="250" t="e">
        <f t="shared" si="4"/>
        <v>#DIV/0!</v>
      </c>
    </row>
    <row r="22" spans="1:10" s="184" customFormat="1" x14ac:dyDescent="0.25">
      <c r="A22" s="201" t="s">
        <v>606</v>
      </c>
      <c r="B22" s="251">
        <f>B21-B14</f>
        <v>0</v>
      </c>
      <c r="C22" s="251">
        <f>C21-C14</f>
        <v>0</v>
      </c>
      <c r="D22" s="251">
        <f>D21-D14</f>
        <v>0</v>
      </c>
      <c r="E22" s="251">
        <f>E21-E14</f>
        <v>0</v>
      </c>
      <c r="F22" s="251">
        <f>F21-F14</f>
        <v>0</v>
      </c>
      <c r="G22" s="250" t="e">
        <f t="shared" si="4"/>
        <v>#DIV/0!</v>
      </c>
      <c r="H22" s="250" t="e">
        <f t="shared" si="4"/>
        <v>#DIV/0!</v>
      </c>
      <c r="I22" s="250" t="e">
        <f t="shared" si="4"/>
        <v>#DIV/0!</v>
      </c>
      <c r="J22" s="250" t="e">
        <f t="shared" si="4"/>
        <v>#DIV/0!</v>
      </c>
    </row>
    <row r="23" spans="1:10" x14ac:dyDescent="0.25">
      <c r="A23" s="240" t="s">
        <v>607</v>
      </c>
      <c r="B23" s="195"/>
      <c r="C23" s="195"/>
      <c r="D23" s="195"/>
      <c r="E23" s="195"/>
      <c r="F23" s="195"/>
      <c r="G23" s="194" t="e">
        <f t="shared" si="4"/>
        <v>#DIV/0!</v>
      </c>
      <c r="H23" s="194" t="e">
        <f t="shared" si="4"/>
        <v>#DIV/0!</v>
      </c>
      <c r="I23" s="194" t="e">
        <f t="shared" si="4"/>
        <v>#DIV/0!</v>
      </c>
      <c r="J23" s="194" t="e">
        <f t="shared" si="4"/>
        <v>#DIV/0!</v>
      </c>
    </row>
    <row r="24" spans="1:10" s="184" customFormat="1" x14ac:dyDescent="0.25">
      <c r="A24" s="201" t="s">
        <v>608</v>
      </c>
      <c r="B24" s="251">
        <f>B22-B23</f>
        <v>0</v>
      </c>
      <c r="C24" s="251">
        <f>C22-C23</f>
        <v>0</v>
      </c>
      <c r="D24" s="251">
        <f>D22-D23</f>
        <v>0</v>
      </c>
      <c r="E24" s="251">
        <f>E22-E23</f>
        <v>0</v>
      </c>
      <c r="F24" s="251">
        <f>F22-F23</f>
        <v>0</v>
      </c>
      <c r="G24" s="250" t="e">
        <f t="shared" si="4"/>
        <v>#DIV/0!</v>
      </c>
      <c r="H24" s="250" t="e">
        <f t="shared" si="4"/>
        <v>#DIV/0!</v>
      </c>
      <c r="I24" s="250" t="e">
        <f t="shared" si="4"/>
        <v>#DIV/0!</v>
      </c>
      <c r="J24" s="250" t="e">
        <f t="shared" si="4"/>
        <v>#DIV/0!</v>
      </c>
    </row>
    <row r="25" spans="1:10" x14ac:dyDescent="0.25">
      <c r="A25" s="240" t="s">
        <v>609</v>
      </c>
      <c r="B25" s="195"/>
      <c r="C25" s="195"/>
      <c r="D25" s="195"/>
      <c r="E25" s="195"/>
      <c r="F25" s="195"/>
      <c r="G25" s="194" t="e">
        <f t="shared" si="4"/>
        <v>#DIV/0!</v>
      </c>
      <c r="H25" s="194" t="e">
        <f t="shared" si="4"/>
        <v>#DIV/0!</v>
      </c>
      <c r="I25" s="194" t="e">
        <f t="shared" si="4"/>
        <v>#DIV/0!</v>
      </c>
      <c r="J25" s="194" t="e">
        <f t="shared" si="4"/>
        <v>#DIV/0!</v>
      </c>
    </row>
    <row r="26" spans="1:10" x14ac:dyDescent="0.25">
      <c r="A26" s="240" t="s">
        <v>610</v>
      </c>
      <c r="B26" s="195"/>
      <c r="C26" s="195"/>
      <c r="D26" s="195"/>
      <c r="E26" s="195"/>
      <c r="F26" s="195"/>
      <c r="G26" s="194" t="e">
        <f t="shared" si="4"/>
        <v>#DIV/0!</v>
      </c>
      <c r="H26" s="194" t="e">
        <f t="shared" si="4"/>
        <v>#DIV/0!</v>
      </c>
      <c r="I26" s="194" t="e">
        <f t="shared" si="4"/>
        <v>#DIV/0!</v>
      </c>
      <c r="J26" s="194" t="e">
        <f t="shared" si="4"/>
        <v>#DIV/0!</v>
      </c>
    </row>
    <row r="27" spans="1:10" s="184" customFormat="1" x14ac:dyDescent="0.25">
      <c r="A27" s="201" t="s">
        <v>611</v>
      </c>
      <c r="B27" s="251">
        <f>B24+B25-B26</f>
        <v>0</v>
      </c>
      <c r="C27" s="251">
        <f>C24+C25-C26</f>
        <v>0</v>
      </c>
      <c r="D27" s="251">
        <f>D24+D25-D26</f>
        <v>0</v>
      </c>
      <c r="E27" s="251">
        <f>E24+E25-E26</f>
        <v>0</v>
      </c>
      <c r="F27" s="251">
        <f>F24+F25-F26</f>
        <v>0</v>
      </c>
      <c r="G27" s="250" t="e">
        <f t="shared" si="4"/>
        <v>#DIV/0!</v>
      </c>
      <c r="H27" s="250" t="e">
        <f t="shared" si="4"/>
        <v>#DIV/0!</v>
      </c>
      <c r="I27" s="250" t="e">
        <f t="shared" si="4"/>
        <v>#DIV/0!</v>
      </c>
      <c r="J27" s="250" t="e">
        <f t="shared" si="4"/>
        <v>#DIV/0!</v>
      </c>
    </row>
    <row r="28" spans="1:10" x14ac:dyDescent="0.25">
      <c r="A28" s="241" t="s">
        <v>612</v>
      </c>
      <c r="B28" s="195"/>
      <c r="C28" s="195"/>
      <c r="D28" s="193"/>
      <c r="E28" s="195"/>
      <c r="F28" s="195"/>
      <c r="G28" s="194" t="e">
        <f t="shared" si="4"/>
        <v>#DIV/0!</v>
      </c>
      <c r="H28" s="194" t="e">
        <f t="shared" si="4"/>
        <v>#DIV/0!</v>
      </c>
      <c r="I28" s="194" t="e">
        <f t="shared" si="4"/>
        <v>#DIV/0!</v>
      </c>
      <c r="J28" s="194" t="e">
        <f t="shared" si="4"/>
        <v>#DIV/0!</v>
      </c>
    </row>
    <row r="29" spans="1:10" s="184" customFormat="1" x14ac:dyDescent="0.25">
      <c r="A29" s="201" t="s">
        <v>613</v>
      </c>
      <c r="B29" s="251">
        <f>B27-B28</f>
        <v>0</v>
      </c>
      <c r="C29" s="251">
        <f>C27-C28</f>
        <v>0</v>
      </c>
      <c r="D29" s="251">
        <f>D27-D28</f>
        <v>0</v>
      </c>
      <c r="E29" s="251">
        <f>E27-E28</f>
        <v>0</v>
      </c>
      <c r="F29" s="251">
        <f>F27-F28</f>
        <v>0</v>
      </c>
      <c r="G29" s="250" t="e">
        <f t="shared" si="4"/>
        <v>#DIV/0!</v>
      </c>
      <c r="H29" s="250" t="e">
        <f t="shared" si="4"/>
        <v>#DIV/0!</v>
      </c>
      <c r="I29" s="250" t="e">
        <f t="shared" si="4"/>
        <v>#DIV/0!</v>
      </c>
      <c r="J29" s="250" t="e">
        <f t="shared" si="4"/>
        <v>#DIV/0!</v>
      </c>
    </row>
    <row r="30" spans="1:10" s="184" customFormat="1" x14ac:dyDescent="0.25">
      <c r="A30" s="201" t="s">
        <v>614</v>
      </c>
      <c r="B30" s="251">
        <f>B29+B14+B19+B32+B33</f>
        <v>0</v>
      </c>
      <c r="C30" s="251">
        <f>C29+C14+C19+C32+C33</f>
        <v>0</v>
      </c>
      <c r="D30" s="251">
        <f>D29+D14+D19+D32+D33</f>
        <v>0</v>
      </c>
      <c r="E30" s="251">
        <f>E29+E14+E19+E32+E33</f>
        <v>0</v>
      </c>
      <c r="F30" s="251">
        <f>F29+F14+F19+F32+F33</f>
        <v>0</v>
      </c>
      <c r="G30" s="250" t="e">
        <f t="shared" si="4"/>
        <v>#DIV/0!</v>
      </c>
      <c r="H30" s="250" t="e">
        <f t="shared" si="4"/>
        <v>#DIV/0!</v>
      </c>
      <c r="I30" s="250" t="e">
        <f t="shared" si="4"/>
        <v>#DIV/0!</v>
      </c>
      <c r="J30" s="250" t="e">
        <f t="shared" si="4"/>
        <v>#DIV/0!</v>
      </c>
    </row>
    <row r="31" spans="1:10" x14ac:dyDescent="0.25">
      <c r="A31" s="240" t="s">
        <v>615</v>
      </c>
      <c r="B31" s="193"/>
      <c r="C31" s="193"/>
      <c r="D31" s="193"/>
      <c r="E31" s="193"/>
      <c r="F31" s="193"/>
      <c r="G31" s="194" t="e">
        <f t="shared" si="4"/>
        <v>#DIV/0!</v>
      </c>
      <c r="H31" s="194" t="e">
        <f t="shared" si="4"/>
        <v>#DIV/0!</v>
      </c>
      <c r="I31" s="194" t="e">
        <f t="shared" si="4"/>
        <v>#DIV/0!</v>
      </c>
      <c r="J31" s="194" t="e">
        <f t="shared" si="4"/>
        <v>#DIV/0!</v>
      </c>
    </row>
    <row r="32" spans="1:10" x14ac:dyDescent="0.25">
      <c r="A32" s="240" t="s">
        <v>616</v>
      </c>
      <c r="B32" s="193"/>
      <c r="C32" s="193"/>
      <c r="D32" s="193"/>
      <c r="E32" s="193"/>
      <c r="F32" s="193"/>
      <c r="G32" s="194" t="e">
        <f t="shared" si="4"/>
        <v>#DIV/0!</v>
      </c>
      <c r="H32" s="194" t="e">
        <f t="shared" si="4"/>
        <v>#DIV/0!</v>
      </c>
      <c r="I32" s="194" t="e">
        <f t="shared" si="4"/>
        <v>#DIV/0!</v>
      </c>
      <c r="J32" s="194" t="e">
        <f t="shared" si="4"/>
        <v>#DIV/0!</v>
      </c>
    </row>
    <row r="33" spans="1:10" x14ac:dyDescent="0.25">
      <c r="A33" s="240" t="s">
        <v>617</v>
      </c>
      <c r="B33" s="193"/>
      <c r="C33" s="193"/>
      <c r="D33" s="193"/>
      <c r="E33" s="193"/>
      <c r="F33" s="193"/>
      <c r="G33" s="194" t="e">
        <f t="shared" si="4"/>
        <v>#DIV/0!</v>
      </c>
      <c r="H33" s="194" t="e">
        <f t="shared" si="4"/>
        <v>#DIV/0!</v>
      </c>
      <c r="I33" s="194" t="e">
        <f t="shared" si="4"/>
        <v>#DIV/0!</v>
      </c>
      <c r="J33" s="194" t="e">
        <f t="shared" si="4"/>
        <v>#DIV/0!</v>
      </c>
    </row>
    <row r="34" spans="1:10" x14ac:dyDescent="0.25">
      <c r="A34" s="240" t="s">
        <v>618</v>
      </c>
      <c r="B34" s="193"/>
      <c r="C34" s="193"/>
      <c r="D34" s="193"/>
      <c r="E34" s="193"/>
      <c r="F34" s="193"/>
      <c r="G34" s="194" t="e">
        <f t="shared" si="4"/>
        <v>#DIV/0!</v>
      </c>
      <c r="H34" s="194" t="e">
        <f t="shared" si="4"/>
        <v>#DIV/0!</v>
      </c>
      <c r="I34" s="194" t="e">
        <f t="shared" si="4"/>
        <v>#DIV/0!</v>
      </c>
      <c r="J34" s="194" t="e">
        <f t="shared" si="4"/>
        <v>#DIV/0!</v>
      </c>
    </row>
    <row r="35" spans="1:10" s="184" customFormat="1" x14ac:dyDescent="0.25">
      <c r="A35" s="201" t="s">
        <v>619</v>
      </c>
      <c r="B35" s="251">
        <f>B30-B31-B32-B33</f>
        <v>0</v>
      </c>
      <c r="C35" s="251">
        <f>C30-C31-C32-C33</f>
        <v>0</v>
      </c>
      <c r="D35" s="251">
        <f>D30-D31-D32-D33</f>
        <v>0</v>
      </c>
      <c r="E35" s="251">
        <f>E30-E31-E32-E33</f>
        <v>0</v>
      </c>
      <c r="F35" s="251">
        <f>F30-F31-F32-F33</f>
        <v>0</v>
      </c>
      <c r="G35" s="250" t="e">
        <f t="shared" si="4"/>
        <v>#DIV/0!</v>
      </c>
      <c r="H35" s="250" t="e">
        <f t="shared" si="4"/>
        <v>#DIV/0!</v>
      </c>
      <c r="I35" s="250" t="e">
        <f t="shared" si="4"/>
        <v>#DIV/0!</v>
      </c>
      <c r="J35" s="250" t="e">
        <f t="shared" si="4"/>
        <v>#DIV/0!</v>
      </c>
    </row>
    <row r="36" spans="1:10" ht="18.75" x14ac:dyDescent="0.3">
      <c r="A36" s="185" t="s">
        <v>795</v>
      </c>
      <c r="B36" s="186"/>
      <c r="C36" s="186"/>
      <c r="D36" s="186"/>
      <c r="E36" s="186"/>
      <c r="F36" s="186"/>
      <c r="G36" s="186"/>
      <c r="H36" s="186"/>
      <c r="I36" s="186"/>
      <c r="J36" s="187"/>
    </row>
    <row r="37" spans="1:10" x14ac:dyDescent="0.25">
      <c r="A37" s="559" t="s">
        <v>789</v>
      </c>
      <c r="B37" s="188" t="str">
        <f>B$3</f>
        <v>Audited</v>
      </c>
      <c r="C37" s="188">
        <f t="shared" ref="C37:F37" si="5">C$3</f>
        <v>0</v>
      </c>
      <c r="D37" s="188">
        <f t="shared" si="5"/>
        <v>0</v>
      </c>
      <c r="E37" s="188">
        <f t="shared" si="5"/>
        <v>0</v>
      </c>
      <c r="F37" s="188">
        <f t="shared" si="5"/>
        <v>0</v>
      </c>
      <c r="G37" s="556" t="s">
        <v>993</v>
      </c>
      <c r="H37" s="557"/>
      <c r="I37" s="557"/>
      <c r="J37" s="558"/>
    </row>
    <row r="38" spans="1:10" x14ac:dyDescent="0.25">
      <c r="A38" s="560"/>
      <c r="B38" s="274">
        <f>B$4</f>
        <v>44197</v>
      </c>
      <c r="C38" s="275">
        <f t="shared" ref="C38:F38" si="6">C$4</f>
        <v>43861</v>
      </c>
      <c r="D38" s="275">
        <f t="shared" si="6"/>
        <v>43496</v>
      </c>
      <c r="E38" s="275">
        <f t="shared" si="6"/>
        <v>43131</v>
      </c>
      <c r="F38" s="275">
        <f t="shared" si="6"/>
        <v>42766</v>
      </c>
      <c r="G38" s="257" t="str">
        <f>G4</f>
        <v>2021-2020</v>
      </c>
      <c r="H38" s="257" t="str">
        <f t="shared" ref="H38:J38" si="7">H4</f>
        <v>2020-2019</v>
      </c>
      <c r="I38" s="257" t="str">
        <f t="shared" si="7"/>
        <v>2019-2018</v>
      </c>
      <c r="J38" s="257" t="str">
        <f t="shared" si="7"/>
        <v>2018-2017</v>
      </c>
    </row>
    <row r="39" spans="1:10" s="184" customFormat="1" x14ac:dyDescent="0.25">
      <c r="A39" s="189" t="s">
        <v>786</v>
      </c>
      <c r="B39" s="190"/>
      <c r="C39" s="190"/>
      <c r="D39" s="190"/>
      <c r="E39" s="190"/>
      <c r="F39" s="190"/>
      <c r="G39" s="190"/>
      <c r="H39" s="190"/>
      <c r="I39" s="190"/>
      <c r="J39" s="191"/>
    </row>
    <row r="40" spans="1:10" x14ac:dyDescent="0.25">
      <c r="A40" s="240" t="s">
        <v>994</v>
      </c>
      <c r="B40" s="193"/>
      <c r="C40" s="193"/>
      <c r="D40" s="193"/>
      <c r="E40" s="193"/>
      <c r="F40" s="193"/>
      <c r="G40" s="194" t="e">
        <f t="shared" ref="G40:J46" si="8">(B40-C40)/C40</f>
        <v>#DIV/0!</v>
      </c>
      <c r="H40" s="194" t="e">
        <f t="shared" si="8"/>
        <v>#DIV/0!</v>
      </c>
      <c r="I40" s="194" t="e">
        <f t="shared" si="8"/>
        <v>#DIV/0!</v>
      </c>
      <c r="J40" s="194" t="e">
        <f t="shared" si="8"/>
        <v>#DIV/0!</v>
      </c>
    </row>
    <row r="41" spans="1:10" x14ac:dyDescent="0.25">
      <c r="A41" s="240" t="s">
        <v>620</v>
      </c>
      <c r="B41" s="193"/>
      <c r="C41" s="193"/>
      <c r="D41" s="193"/>
      <c r="E41" s="193"/>
      <c r="F41" s="193"/>
      <c r="G41" s="194" t="e">
        <f t="shared" si="8"/>
        <v>#DIV/0!</v>
      </c>
      <c r="H41" s="194" t="e">
        <f t="shared" si="8"/>
        <v>#DIV/0!</v>
      </c>
      <c r="I41" s="194" t="e">
        <f t="shared" si="8"/>
        <v>#DIV/0!</v>
      </c>
      <c r="J41" s="194" t="e">
        <f t="shared" si="8"/>
        <v>#DIV/0!</v>
      </c>
    </row>
    <row r="42" spans="1:10" x14ac:dyDescent="0.25">
      <c r="A42" s="196" t="s">
        <v>621</v>
      </c>
      <c r="B42" s="246">
        <f>B40+B41</f>
        <v>0</v>
      </c>
      <c r="C42" s="246">
        <f>C40+C41</f>
        <v>0</v>
      </c>
      <c r="D42" s="246">
        <f>D40+D41</f>
        <v>0</v>
      </c>
      <c r="E42" s="246">
        <f>E40+E41</f>
        <v>0</v>
      </c>
      <c r="F42" s="246">
        <f>F40+F41</f>
        <v>0</v>
      </c>
      <c r="G42" s="197" t="e">
        <f t="shared" si="8"/>
        <v>#DIV/0!</v>
      </c>
      <c r="H42" s="197" t="e">
        <f t="shared" si="8"/>
        <v>#DIV/0!</v>
      </c>
      <c r="I42" s="197" t="e">
        <f t="shared" si="8"/>
        <v>#DIV/0!</v>
      </c>
      <c r="J42" s="197" t="e">
        <f t="shared" si="8"/>
        <v>#DIV/0!</v>
      </c>
    </row>
    <row r="43" spans="1:10" x14ac:dyDescent="0.25">
      <c r="A43" s="240" t="s">
        <v>622</v>
      </c>
      <c r="B43" s="193"/>
      <c r="C43" s="193"/>
      <c r="D43" s="193"/>
      <c r="E43" s="193"/>
      <c r="F43" s="193"/>
      <c r="G43" s="194" t="e">
        <f t="shared" si="8"/>
        <v>#DIV/0!</v>
      </c>
      <c r="H43" s="194" t="e">
        <f t="shared" si="8"/>
        <v>#DIV/0!</v>
      </c>
      <c r="I43" s="194" t="e">
        <f t="shared" si="8"/>
        <v>#DIV/0!</v>
      </c>
      <c r="J43" s="194" t="e">
        <f t="shared" si="8"/>
        <v>#DIV/0!</v>
      </c>
    </row>
    <row r="44" spans="1:10" x14ac:dyDescent="0.25">
      <c r="A44" s="240" t="s">
        <v>623</v>
      </c>
      <c r="B44" s="193"/>
      <c r="C44" s="193"/>
      <c r="D44" s="193"/>
      <c r="E44" s="193"/>
      <c r="F44" s="193"/>
      <c r="G44" s="194" t="e">
        <f t="shared" si="8"/>
        <v>#DIV/0!</v>
      </c>
      <c r="H44" s="194" t="e">
        <f t="shared" si="8"/>
        <v>#DIV/0!</v>
      </c>
      <c r="I44" s="194" t="e">
        <f t="shared" si="8"/>
        <v>#DIV/0!</v>
      </c>
      <c r="J44" s="194" t="e">
        <f t="shared" si="8"/>
        <v>#DIV/0!</v>
      </c>
    </row>
    <row r="45" spans="1:10" x14ac:dyDescent="0.25">
      <c r="A45" s="240" t="s">
        <v>624</v>
      </c>
      <c r="B45" s="193"/>
      <c r="C45" s="193"/>
      <c r="D45" s="193"/>
      <c r="E45" s="193"/>
      <c r="F45" s="193"/>
      <c r="G45" s="194" t="e">
        <f t="shared" si="8"/>
        <v>#DIV/0!</v>
      </c>
      <c r="H45" s="194" t="e">
        <f t="shared" si="8"/>
        <v>#DIV/0!</v>
      </c>
      <c r="I45" s="194" t="e">
        <f t="shared" si="8"/>
        <v>#DIV/0!</v>
      </c>
      <c r="J45" s="194" t="e">
        <f t="shared" si="8"/>
        <v>#DIV/0!</v>
      </c>
    </row>
    <row r="46" spans="1:10" x14ac:dyDescent="0.25">
      <c r="A46" s="196" t="s">
        <v>625</v>
      </c>
      <c r="B46" s="246">
        <f>B42-B43-B44-B45-B81</f>
        <v>0</v>
      </c>
      <c r="C46" s="246">
        <f>C42-C43-C44-C45-C81</f>
        <v>0</v>
      </c>
      <c r="D46" s="246">
        <f>D42-D43-D44-D45-D81</f>
        <v>0</v>
      </c>
      <c r="E46" s="246">
        <f>E42-E43-E44-E45-E81</f>
        <v>0</v>
      </c>
      <c r="F46" s="246">
        <f>F42-F43-F44-F45-F81</f>
        <v>0</v>
      </c>
      <c r="G46" s="197" t="e">
        <f t="shared" si="8"/>
        <v>#DIV/0!</v>
      </c>
      <c r="H46" s="197" t="e">
        <f t="shared" si="8"/>
        <v>#DIV/0!</v>
      </c>
      <c r="I46" s="197" t="e">
        <f t="shared" si="8"/>
        <v>#DIV/0!</v>
      </c>
      <c r="J46" s="197" t="e">
        <f t="shared" si="8"/>
        <v>#DIV/0!</v>
      </c>
    </row>
    <row r="47" spans="1:10" s="184" customFormat="1" x14ac:dyDescent="0.25">
      <c r="A47" s="189" t="s">
        <v>787</v>
      </c>
      <c r="B47" s="200"/>
      <c r="C47" s="200"/>
      <c r="D47" s="200"/>
      <c r="E47" s="200"/>
      <c r="F47" s="200"/>
      <c r="G47" s="190"/>
      <c r="H47" s="190"/>
      <c r="I47" s="190"/>
      <c r="J47" s="191"/>
    </row>
    <row r="48" spans="1:10" x14ac:dyDescent="0.25">
      <c r="A48" s="240" t="s">
        <v>626</v>
      </c>
      <c r="B48" s="193"/>
      <c r="C48" s="193"/>
      <c r="D48" s="193"/>
      <c r="E48" s="193"/>
      <c r="F48" s="193"/>
      <c r="G48" s="194" t="e">
        <f t="shared" ref="G48:J54" si="9">(B48-C48)/C48</f>
        <v>#DIV/0!</v>
      </c>
      <c r="H48" s="194" t="e">
        <f t="shared" si="9"/>
        <v>#DIV/0!</v>
      </c>
      <c r="I48" s="194" t="e">
        <f t="shared" si="9"/>
        <v>#DIV/0!</v>
      </c>
      <c r="J48" s="194" t="e">
        <f t="shared" si="9"/>
        <v>#DIV/0!</v>
      </c>
    </row>
    <row r="49" spans="1:10" x14ac:dyDescent="0.25">
      <c r="A49" s="240" t="s">
        <v>628</v>
      </c>
      <c r="B49" s="193"/>
      <c r="C49" s="193"/>
      <c r="D49" s="193"/>
      <c r="E49" s="193"/>
      <c r="F49" s="193"/>
      <c r="G49" s="194" t="e">
        <f t="shared" si="9"/>
        <v>#DIV/0!</v>
      </c>
      <c r="H49" s="194" t="e">
        <f t="shared" si="9"/>
        <v>#DIV/0!</v>
      </c>
      <c r="I49" s="194" t="e">
        <f t="shared" si="9"/>
        <v>#DIV/0!</v>
      </c>
      <c r="J49" s="194" t="e">
        <f t="shared" si="9"/>
        <v>#DIV/0!</v>
      </c>
    </row>
    <row r="50" spans="1:10" x14ac:dyDescent="0.25">
      <c r="A50" s="240" t="s">
        <v>629</v>
      </c>
      <c r="B50" s="193"/>
      <c r="C50" s="193"/>
      <c r="D50" s="193"/>
      <c r="E50" s="193"/>
      <c r="F50" s="193"/>
      <c r="G50" s="194" t="e">
        <f t="shared" si="9"/>
        <v>#DIV/0!</v>
      </c>
      <c r="H50" s="194" t="e">
        <f t="shared" si="9"/>
        <v>#DIV/0!</v>
      </c>
      <c r="I50" s="194" t="e">
        <f t="shared" si="9"/>
        <v>#DIV/0!</v>
      </c>
      <c r="J50" s="194" t="e">
        <f t="shared" si="9"/>
        <v>#DIV/0!</v>
      </c>
    </row>
    <row r="51" spans="1:10" x14ac:dyDescent="0.25">
      <c r="A51" s="240" t="s">
        <v>995</v>
      </c>
      <c r="B51" s="199"/>
      <c r="C51" s="199"/>
      <c r="D51" s="199"/>
      <c r="E51" s="199"/>
      <c r="F51" s="199"/>
      <c r="G51" s="194" t="e">
        <f t="shared" si="9"/>
        <v>#DIV/0!</v>
      </c>
      <c r="H51" s="194" t="e">
        <f t="shared" si="9"/>
        <v>#DIV/0!</v>
      </c>
      <c r="I51" s="194" t="e">
        <f t="shared" si="9"/>
        <v>#DIV/0!</v>
      </c>
      <c r="J51" s="194" t="e">
        <f t="shared" si="9"/>
        <v>#DIV/0!</v>
      </c>
    </row>
    <row r="52" spans="1:10" x14ac:dyDescent="0.25">
      <c r="A52" s="240" t="s">
        <v>996</v>
      </c>
      <c r="B52" s="199"/>
      <c r="C52" s="199"/>
      <c r="D52" s="199"/>
      <c r="E52" s="199"/>
      <c r="F52" s="199"/>
      <c r="G52" s="194" t="e">
        <f t="shared" si="9"/>
        <v>#DIV/0!</v>
      </c>
      <c r="H52" s="194" t="e">
        <f t="shared" si="9"/>
        <v>#DIV/0!</v>
      </c>
      <c r="I52" s="194" t="e">
        <f t="shared" si="9"/>
        <v>#DIV/0!</v>
      </c>
      <c r="J52" s="194" t="e">
        <f t="shared" si="9"/>
        <v>#DIV/0!</v>
      </c>
    </row>
    <row r="53" spans="1:10" x14ac:dyDescent="0.25">
      <c r="A53" s="240" t="s">
        <v>997</v>
      </c>
      <c r="B53" s="199"/>
      <c r="C53" s="199"/>
      <c r="D53" s="199"/>
      <c r="E53" s="199"/>
      <c r="F53" s="199"/>
      <c r="G53" s="194" t="e">
        <f t="shared" si="9"/>
        <v>#DIV/0!</v>
      </c>
      <c r="H53" s="194" t="e">
        <f t="shared" si="9"/>
        <v>#DIV/0!</v>
      </c>
      <c r="I53" s="194" t="e">
        <f t="shared" si="9"/>
        <v>#DIV/0!</v>
      </c>
      <c r="J53" s="194" t="e">
        <f t="shared" si="9"/>
        <v>#DIV/0!</v>
      </c>
    </row>
    <row r="54" spans="1:10" x14ac:dyDescent="0.25">
      <c r="A54" s="196" t="s">
        <v>630</v>
      </c>
      <c r="B54" s="246">
        <f>SUM(B48:B53)</f>
        <v>0</v>
      </c>
      <c r="C54" s="246">
        <f>SUM(C48:C53)</f>
        <v>0</v>
      </c>
      <c r="D54" s="246">
        <f>SUM(D48:D53)</f>
        <v>0</v>
      </c>
      <c r="E54" s="246">
        <f>SUM(E48:E53)</f>
        <v>0</v>
      </c>
      <c r="F54" s="246">
        <f>SUM(F48:F53)</f>
        <v>0</v>
      </c>
      <c r="G54" s="197" t="e">
        <f t="shared" si="9"/>
        <v>#DIV/0!</v>
      </c>
      <c r="H54" s="197" t="e">
        <f t="shared" si="9"/>
        <v>#DIV/0!</v>
      </c>
      <c r="I54" s="197" t="e">
        <f t="shared" si="9"/>
        <v>#DIV/0!</v>
      </c>
      <c r="J54" s="197" t="e">
        <f t="shared" si="9"/>
        <v>#DIV/0!</v>
      </c>
    </row>
    <row r="55" spans="1:10" s="184" customFormat="1" x14ac:dyDescent="0.25">
      <c r="A55" s="189" t="s">
        <v>788</v>
      </c>
      <c r="B55" s="200"/>
      <c r="C55" s="200"/>
      <c r="D55" s="200"/>
      <c r="E55" s="200"/>
      <c r="F55" s="200"/>
      <c r="G55" s="190"/>
      <c r="H55" s="190"/>
      <c r="I55" s="190"/>
      <c r="J55" s="191"/>
    </row>
    <row r="56" spans="1:10" x14ac:dyDescent="0.25">
      <c r="A56" s="240" t="s">
        <v>631</v>
      </c>
      <c r="B56" s="193"/>
      <c r="C56" s="193"/>
      <c r="D56" s="193"/>
      <c r="E56" s="193"/>
      <c r="F56" s="193"/>
      <c r="G56" s="194" t="e">
        <f t="shared" ref="G56:J67" si="10">(B56-C56)/C56</f>
        <v>#DIV/0!</v>
      </c>
      <c r="H56" s="194" t="e">
        <f t="shared" si="10"/>
        <v>#DIV/0!</v>
      </c>
      <c r="I56" s="194" t="e">
        <f t="shared" si="10"/>
        <v>#DIV/0!</v>
      </c>
      <c r="J56" s="194" t="e">
        <f t="shared" si="10"/>
        <v>#DIV/0!</v>
      </c>
    </row>
    <row r="57" spans="1:10" x14ac:dyDescent="0.25">
      <c r="A57" s="240" t="s">
        <v>632</v>
      </c>
      <c r="B57" s="193"/>
      <c r="C57" s="193"/>
      <c r="D57" s="193"/>
      <c r="E57" s="193"/>
      <c r="F57" s="193"/>
      <c r="G57" s="194" t="e">
        <f t="shared" si="10"/>
        <v>#DIV/0!</v>
      </c>
      <c r="H57" s="194" t="e">
        <f t="shared" si="10"/>
        <v>#DIV/0!</v>
      </c>
      <c r="I57" s="194" t="e">
        <f t="shared" si="10"/>
        <v>#DIV/0!</v>
      </c>
      <c r="J57" s="194" t="e">
        <f t="shared" si="10"/>
        <v>#DIV/0!</v>
      </c>
    </row>
    <row r="58" spans="1:10" x14ac:dyDescent="0.25">
      <c r="A58" s="240" t="s">
        <v>633</v>
      </c>
      <c r="B58" s="193"/>
      <c r="C58" s="193"/>
      <c r="D58" s="193"/>
      <c r="E58" s="193"/>
      <c r="F58" s="193"/>
      <c r="G58" s="194" t="e">
        <f t="shared" si="10"/>
        <v>#DIV/0!</v>
      </c>
      <c r="H58" s="194" t="e">
        <f t="shared" si="10"/>
        <v>#DIV/0!</v>
      </c>
      <c r="I58" s="194" t="e">
        <f t="shared" si="10"/>
        <v>#DIV/0!</v>
      </c>
      <c r="J58" s="194" t="e">
        <f t="shared" si="10"/>
        <v>#DIV/0!</v>
      </c>
    </row>
    <row r="59" spans="1:10" x14ac:dyDescent="0.25">
      <c r="A59" s="240" t="s">
        <v>627</v>
      </c>
      <c r="B59" s="193"/>
      <c r="C59" s="193"/>
      <c r="D59" s="193"/>
      <c r="E59" s="193"/>
      <c r="F59" s="193"/>
      <c r="G59" s="194" t="e">
        <f t="shared" si="10"/>
        <v>#DIV/0!</v>
      </c>
      <c r="H59" s="194" t="e">
        <f t="shared" si="10"/>
        <v>#DIV/0!</v>
      </c>
      <c r="I59" s="194" t="e">
        <f t="shared" si="10"/>
        <v>#DIV/0!</v>
      </c>
      <c r="J59" s="194" t="e">
        <f t="shared" si="10"/>
        <v>#DIV/0!</v>
      </c>
    </row>
    <row r="60" spans="1:10" x14ac:dyDescent="0.25">
      <c r="A60" s="240" t="s">
        <v>635</v>
      </c>
      <c r="B60" s="193"/>
      <c r="C60" s="193"/>
      <c r="D60" s="193"/>
      <c r="E60" s="193"/>
      <c r="F60" s="193"/>
      <c r="G60" s="194" t="e">
        <f t="shared" si="10"/>
        <v>#DIV/0!</v>
      </c>
      <c r="H60" s="194" t="e">
        <f t="shared" si="10"/>
        <v>#DIV/0!</v>
      </c>
      <c r="I60" s="194" t="e">
        <f t="shared" si="10"/>
        <v>#DIV/0!</v>
      </c>
      <c r="J60" s="194" t="e">
        <f t="shared" si="10"/>
        <v>#DIV/0!</v>
      </c>
    </row>
    <row r="61" spans="1:10" x14ac:dyDescent="0.25">
      <c r="A61" s="240" t="s">
        <v>634</v>
      </c>
      <c r="B61" s="193"/>
      <c r="C61" s="193"/>
      <c r="D61" s="193"/>
      <c r="E61" s="193"/>
      <c r="F61" s="193"/>
      <c r="G61" s="194" t="e">
        <f t="shared" si="10"/>
        <v>#DIV/0!</v>
      </c>
      <c r="H61" s="194" t="e">
        <f t="shared" si="10"/>
        <v>#DIV/0!</v>
      </c>
      <c r="I61" s="194" t="e">
        <f t="shared" si="10"/>
        <v>#DIV/0!</v>
      </c>
      <c r="J61" s="194" t="e">
        <f t="shared" si="10"/>
        <v>#DIV/0!</v>
      </c>
    </row>
    <row r="62" spans="1:10" x14ac:dyDescent="0.25">
      <c r="A62" s="240" t="s">
        <v>845</v>
      </c>
      <c r="B62" s="193"/>
      <c r="C62" s="193"/>
      <c r="D62" s="193"/>
      <c r="E62" s="193"/>
      <c r="F62" s="193"/>
      <c r="G62" s="194" t="e">
        <f t="shared" si="10"/>
        <v>#DIV/0!</v>
      </c>
      <c r="H62" s="194" t="e">
        <f t="shared" si="10"/>
        <v>#DIV/0!</v>
      </c>
      <c r="I62" s="194" t="e">
        <f t="shared" si="10"/>
        <v>#DIV/0!</v>
      </c>
      <c r="J62" s="194" t="e">
        <f t="shared" si="10"/>
        <v>#DIV/0!</v>
      </c>
    </row>
    <row r="63" spans="1:10" x14ac:dyDescent="0.25">
      <c r="A63" s="240" t="s">
        <v>846</v>
      </c>
      <c r="B63" s="193"/>
      <c r="C63" s="193"/>
      <c r="D63" s="193"/>
      <c r="E63" s="193"/>
      <c r="F63" s="193"/>
      <c r="G63" s="194" t="e">
        <f t="shared" si="10"/>
        <v>#DIV/0!</v>
      </c>
      <c r="H63" s="194" t="e">
        <f t="shared" si="10"/>
        <v>#DIV/0!</v>
      </c>
      <c r="I63" s="194" t="e">
        <f t="shared" si="10"/>
        <v>#DIV/0!</v>
      </c>
      <c r="J63" s="194" t="e">
        <f t="shared" si="10"/>
        <v>#DIV/0!</v>
      </c>
    </row>
    <row r="64" spans="1:10" x14ac:dyDescent="0.25">
      <c r="A64" s="240" t="s">
        <v>847</v>
      </c>
      <c r="B64" s="193"/>
      <c r="C64" s="193"/>
      <c r="D64" s="193"/>
      <c r="E64" s="193"/>
      <c r="F64" s="193"/>
      <c r="G64" s="194" t="e">
        <f t="shared" si="10"/>
        <v>#DIV/0!</v>
      </c>
      <c r="H64" s="194" t="e">
        <f t="shared" si="10"/>
        <v>#DIV/0!</v>
      </c>
      <c r="I64" s="194" t="e">
        <f t="shared" si="10"/>
        <v>#DIV/0!</v>
      </c>
      <c r="J64" s="194" t="e">
        <f t="shared" si="10"/>
        <v>#DIV/0!</v>
      </c>
    </row>
    <row r="65" spans="1:10" x14ac:dyDescent="0.25">
      <c r="A65" s="196" t="s">
        <v>636</v>
      </c>
      <c r="B65" s="246">
        <f>SUM(B56:B64)</f>
        <v>0</v>
      </c>
      <c r="C65" s="246">
        <f>SUM(C56:C64)</f>
        <v>0</v>
      </c>
      <c r="D65" s="246">
        <f>SUM(D56:D64)</f>
        <v>0</v>
      </c>
      <c r="E65" s="246">
        <f>SUM(E56:E64)</f>
        <v>0</v>
      </c>
      <c r="F65" s="246">
        <f>SUM(F56:F64)</f>
        <v>0</v>
      </c>
      <c r="G65" s="197" t="e">
        <f t="shared" si="10"/>
        <v>#DIV/0!</v>
      </c>
      <c r="H65" s="197" t="e">
        <f t="shared" si="10"/>
        <v>#DIV/0!</v>
      </c>
      <c r="I65" s="197" t="e">
        <f t="shared" si="10"/>
        <v>#DIV/0!</v>
      </c>
      <c r="J65" s="197" t="e">
        <f t="shared" si="10"/>
        <v>#DIV/0!</v>
      </c>
    </row>
    <row r="66" spans="1:10" x14ac:dyDescent="0.25">
      <c r="A66" s="196" t="s">
        <v>637</v>
      </c>
      <c r="B66" s="246">
        <f>B54+B65</f>
        <v>0</v>
      </c>
      <c r="C66" s="246">
        <f>C54+C65</f>
        <v>0</v>
      </c>
      <c r="D66" s="246">
        <f>D54+D65</f>
        <v>0</v>
      </c>
      <c r="E66" s="246">
        <f>E54+E65</f>
        <v>0</v>
      </c>
      <c r="F66" s="246">
        <f>F54+F65</f>
        <v>0</v>
      </c>
      <c r="G66" s="197" t="e">
        <f t="shared" si="10"/>
        <v>#DIV/0!</v>
      </c>
      <c r="H66" s="197" t="e">
        <f t="shared" si="10"/>
        <v>#DIV/0!</v>
      </c>
      <c r="I66" s="197" t="e">
        <f t="shared" si="10"/>
        <v>#DIV/0!</v>
      </c>
      <c r="J66" s="197" t="e">
        <f t="shared" si="10"/>
        <v>#DIV/0!</v>
      </c>
    </row>
    <row r="67" spans="1:10" s="184" customFormat="1" x14ac:dyDescent="0.25">
      <c r="A67" s="202" t="s">
        <v>790</v>
      </c>
      <c r="B67" s="252">
        <f>B42+B66</f>
        <v>0</v>
      </c>
      <c r="C67" s="252">
        <f>C42+C66</f>
        <v>0</v>
      </c>
      <c r="D67" s="252">
        <f>D42+D66</f>
        <v>0</v>
      </c>
      <c r="E67" s="252">
        <f>E42+E66</f>
        <v>0</v>
      </c>
      <c r="F67" s="252">
        <f>F42+F66</f>
        <v>0</v>
      </c>
      <c r="G67" s="239" t="e">
        <f t="shared" si="10"/>
        <v>#DIV/0!</v>
      </c>
      <c r="H67" s="239" t="e">
        <f t="shared" si="10"/>
        <v>#DIV/0!</v>
      </c>
      <c r="I67" s="239" t="e">
        <f t="shared" si="10"/>
        <v>#DIV/0!</v>
      </c>
      <c r="J67" s="239" t="e">
        <f t="shared" si="10"/>
        <v>#DIV/0!</v>
      </c>
    </row>
    <row r="68" spans="1:10" s="184" customFormat="1" x14ac:dyDescent="0.25">
      <c r="A68" s="561" t="s">
        <v>791</v>
      </c>
      <c r="B68" s="188" t="str">
        <f>B$3</f>
        <v>Audited</v>
      </c>
      <c r="C68" s="188">
        <f t="shared" ref="C68:F68" si="11">C$3</f>
        <v>0</v>
      </c>
      <c r="D68" s="188">
        <f t="shared" si="11"/>
        <v>0</v>
      </c>
      <c r="E68" s="188">
        <f t="shared" si="11"/>
        <v>0</v>
      </c>
      <c r="F68" s="188">
        <f t="shared" si="11"/>
        <v>0</v>
      </c>
      <c r="G68" s="563" t="s">
        <v>993</v>
      </c>
      <c r="H68" s="564"/>
      <c r="I68" s="564"/>
      <c r="J68" s="565"/>
    </row>
    <row r="69" spans="1:10" s="184" customFormat="1" x14ac:dyDescent="0.25">
      <c r="A69" s="562"/>
      <c r="B69" s="275">
        <f>B$4</f>
        <v>44197</v>
      </c>
      <c r="C69" s="275">
        <f t="shared" ref="C69:F69" si="12">C$4</f>
        <v>43861</v>
      </c>
      <c r="D69" s="275">
        <f t="shared" si="12"/>
        <v>43496</v>
      </c>
      <c r="E69" s="275">
        <f t="shared" si="12"/>
        <v>43131</v>
      </c>
      <c r="F69" s="275">
        <f t="shared" si="12"/>
        <v>42766</v>
      </c>
      <c r="G69" s="257" t="str">
        <f>G4</f>
        <v>2021-2020</v>
      </c>
      <c r="H69" s="257" t="str">
        <f t="shared" ref="H69:J69" si="13">H4</f>
        <v>2020-2019</v>
      </c>
      <c r="I69" s="257" t="str">
        <f t="shared" si="13"/>
        <v>2019-2018</v>
      </c>
      <c r="J69" s="257" t="str">
        <f t="shared" si="13"/>
        <v>2018-2017</v>
      </c>
    </row>
    <row r="70" spans="1:10" s="203" customFormat="1" ht="16.5" customHeight="1" x14ac:dyDescent="0.2">
      <c r="A70" s="240" t="s">
        <v>638</v>
      </c>
      <c r="B70" s="193"/>
      <c r="C70" s="193"/>
      <c r="D70" s="193"/>
      <c r="E70" s="193"/>
      <c r="F70" s="193"/>
      <c r="G70" s="194" t="e">
        <f t="shared" ref="G70:J92" si="14">(B70-C70)/C70</f>
        <v>#DIV/0!</v>
      </c>
      <c r="H70" s="194" t="e">
        <f t="shared" si="14"/>
        <v>#DIV/0!</v>
      </c>
      <c r="I70" s="194" t="e">
        <f t="shared" si="14"/>
        <v>#DIV/0!</v>
      </c>
      <c r="J70" s="194" t="e">
        <f t="shared" si="14"/>
        <v>#DIV/0!</v>
      </c>
    </row>
    <row r="71" spans="1:10" s="203" customFormat="1" ht="16.5" customHeight="1" x14ac:dyDescent="0.2">
      <c r="A71" s="240" t="s">
        <v>639</v>
      </c>
      <c r="B71" s="193"/>
      <c r="C71" s="193"/>
      <c r="D71" s="193"/>
      <c r="E71" s="193"/>
      <c r="F71" s="193"/>
      <c r="G71" s="194" t="e">
        <f t="shared" si="14"/>
        <v>#DIV/0!</v>
      </c>
      <c r="H71" s="194" t="e">
        <f t="shared" si="14"/>
        <v>#DIV/0!</v>
      </c>
      <c r="I71" s="194" t="e">
        <f t="shared" si="14"/>
        <v>#DIV/0!</v>
      </c>
      <c r="J71" s="194" t="e">
        <f t="shared" si="14"/>
        <v>#DIV/0!</v>
      </c>
    </row>
    <row r="72" spans="1:10" s="198" customFormat="1" ht="16.5" customHeight="1" x14ac:dyDescent="0.2">
      <c r="A72" s="196" t="s">
        <v>640</v>
      </c>
      <c r="B72" s="246">
        <f>B70-B71</f>
        <v>0</v>
      </c>
      <c r="C72" s="246">
        <f>C70-C71</f>
        <v>0</v>
      </c>
      <c r="D72" s="246">
        <f>D70-D71</f>
        <v>0</v>
      </c>
      <c r="E72" s="246">
        <f>E70-E71</f>
        <v>0</v>
      </c>
      <c r="F72" s="246">
        <f>F70-F71</f>
        <v>0</v>
      </c>
      <c r="G72" s="197" t="e">
        <f t="shared" si="14"/>
        <v>#DIV/0!</v>
      </c>
      <c r="H72" s="197" t="e">
        <f t="shared" si="14"/>
        <v>#DIV/0!</v>
      </c>
      <c r="I72" s="197" t="e">
        <f t="shared" si="14"/>
        <v>#DIV/0!</v>
      </c>
      <c r="J72" s="197" t="e">
        <f t="shared" si="14"/>
        <v>#DIV/0!</v>
      </c>
    </row>
    <row r="73" spans="1:10" s="203" customFormat="1" ht="16.5" customHeight="1" x14ac:dyDescent="0.2">
      <c r="A73" s="240" t="s">
        <v>641</v>
      </c>
      <c r="B73" s="193"/>
      <c r="C73" s="193"/>
      <c r="D73" s="193"/>
      <c r="E73" s="193"/>
      <c r="F73" s="193"/>
      <c r="G73" s="194" t="e">
        <f t="shared" si="14"/>
        <v>#DIV/0!</v>
      </c>
      <c r="H73" s="194" t="e">
        <f t="shared" si="14"/>
        <v>#DIV/0!</v>
      </c>
      <c r="I73" s="194" t="e">
        <f t="shared" si="14"/>
        <v>#DIV/0!</v>
      </c>
      <c r="J73" s="194" t="e">
        <f t="shared" si="14"/>
        <v>#DIV/0!</v>
      </c>
    </row>
    <row r="74" spans="1:10" s="203" customFormat="1" ht="16.5" customHeight="1" x14ac:dyDescent="0.2">
      <c r="A74" s="240" t="s">
        <v>642</v>
      </c>
      <c r="B74" s="193"/>
      <c r="C74" s="193"/>
      <c r="D74" s="193"/>
      <c r="E74" s="193"/>
      <c r="F74" s="193"/>
      <c r="G74" s="194" t="e">
        <f t="shared" si="14"/>
        <v>#DIV/0!</v>
      </c>
      <c r="H74" s="194" t="e">
        <f t="shared" si="14"/>
        <v>#DIV/0!</v>
      </c>
      <c r="I74" s="194" t="e">
        <f t="shared" si="14"/>
        <v>#DIV/0!</v>
      </c>
      <c r="J74" s="194" t="e">
        <f t="shared" si="14"/>
        <v>#DIV/0!</v>
      </c>
    </row>
    <row r="75" spans="1:10" s="203" customFormat="1" ht="16.5" customHeight="1" x14ac:dyDescent="0.2">
      <c r="A75" s="240" t="s">
        <v>643</v>
      </c>
      <c r="B75" s="193"/>
      <c r="C75" s="193"/>
      <c r="D75" s="193"/>
      <c r="E75" s="193"/>
      <c r="F75" s="193"/>
      <c r="G75" s="194" t="e">
        <f t="shared" si="14"/>
        <v>#DIV/0!</v>
      </c>
      <c r="H75" s="194" t="e">
        <f t="shared" si="14"/>
        <v>#DIV/0!</v>
      </c>
      <c r="I75" s="194" t="e">
        <f t="shared" si="14"/>
        <v>#DIV/0!</v>
      </c>
      <c r="J75" s="194" t="e">
        <f t="shared" si="14"/>
        <v>#DIV/0!</v>
      </c>
    </row>
    <row r="76" spans="1:10" s="198" customFormat="1" ht="16.5" customHeight="1" x14ac:dyDescent="0.2">
      <c r="A76" s="196" t="s">
        <v>998</v>
      </c>
      <c r="B76" s="246">
        <f>B77+B78+B79+B80+B81</f>
        <v>0</v>
      </c>
      <c r="C76" s="246">
        <f>C77+C78+C79+C80+C81</f>
        <v>0</v>
      </c>
      <c r="D76" s="246">
        <f>D77+D78+D79+D80+D81</f>
        <v>0</v>
      </c>
      <c r="E76" s="246">
        <f>E77+E78+E79+E80+E81</f>
        <v>0</v>
      </c>
      <c r="F76" s="246">
        <f>F77+F78+F79+F80+F81</f>
        <v>0</v>
      </c>
      <c r="G76" s="197" t="e">
        <f t="shared" si="14"/>
        <v>#DIV/0!</v>
      </c>
      <c r="H76" s="197" t="e">
        <f t="shared" si="14"/>
        <v>#DIV/0!</v>
      </c>
      <c r="I76" s="197" t="e">
        <f t="shared" si="14"/>
        <v>#DIV/0!</v>
      </c>
      <c r="J76" s="197" t="e">
        <f t="shared" si="14"/>
        <v>#DIV/0!</v>
      </c>
    </row>
    <row r="77" spans="1:10" s="203" customFormat="1" ht="16.5" customHeight="1" x14ac:dyDescent="0.2">
      <c r="A77" s="240" t="s">
        <v>648</v>
      </c>
      <c r="B77" s="193"/>
      <c r="C77" s="193"/>
      <c r="D77" s="193"/>
      <c r="E77" s="193"/>
      <c r="F77" s="193"/>
      <c r="G77" s="194" t="e">
        <f t="shared" si="14"/>
        <v>#DIV/0!</v>
      </c>
      <c r="H77" s="194" t="e">
        <f t="shared" si="14"/>
        <v>#DIV/0!</v>
      </c>
      <c r="I77" s="194" t="e">
        <f t="shared" si="14"/>
        <v>#DIV/0!</v>
      </c>
      <c r="J77" s="194" t="e">
        <f t="shared" si="14"/>
        <v>#DIV/0!</v>
      </c>
    </row>
    <row r="78" spans="1:10" s="203" customFormat="1" ht="16.5" customHeight="1" x14ac:dyDescent="0.2">
      <c r="A78" s="240" t="s">
        <v>652</v>
      </c>
      <c r="B78" s="193"/>
      <c r="C78" s="193"/>
      <c r="D78" s="193"/>
      <c r="E78" s="193"/>
      <c r="F78" s="193"/>
      <c r="G78" s="194" t="e">
        <f t="shared" si="14"/>
        <v>#DIV/0!</v>
      </c>
      <c r="H78" s="194" t="e">
        <f t="shared" si="14"/>
        <v>#DIV/0!</v>
      </c>
      <c r="I78" s="194" t="e">
        <f t="shared" si="14"/>
        <v>#DIV/0!</v>
      </c>
      <c r="J78" s="194" t="e">
        <f t="shared" si="14"/>
        <v>#DIV/0!</v>
      </c>
    </row>
    <row r="79" spans="1:10" s="203" customFormat="1" ht="16.5" customHeight="1" x14ac:dyDescent="0.2">
      <c r="A79" s="240" t="s">
        <v>999</v>
      </c>
      <c r="B79" s="193"/>
      <c r="C79" s="193"/>
      <c r="D79" s="193"/>
      <c r="E79" s="193"/>
      <c r="F79" s="193"/>
      <c r="G79" s="194" t="e">
        <f t="shared" si="14"/>
        <v>#DIV/0!</v>
      </c>
      <c r="H79" s="194" t="e">
        <f t="shared" si="14"/>
        <v>#DIV/0!</v>
      </c>
      <c r="I79" s="194" t="e">
        <f t="shared" si="14"/>
        <v>#DIV/0!</v>
      </c>
      <c r="J79" s="194" t="e">
        <f t="shared" si="14"/>
        <v>#DIV/0!</v>
      </c>
    </row>
    <row r="80" spans="1:10" s="203" customFormat="1" ht="16.5" customHeight="1" x14ac:dyDescent="0.2">
      <c r="A80" s="240" t="s">
        <v>1000</v>
      </c>
      <c r="B80" s="193"/>
      <c r="C80" s="193"/>
      <c r="D80" s="193"/>
      <c r="E80" s="193"/>
      <c r="F80" s="193"/>
      <c r="G80" s="194" t="e">
        <f t="shared" si="14"/>
        <v>#DIV/0!</v>
      </c>
      <c r="H80" s="194" t="e">
        <f t="shared" si="14"/>
        <v>#DIV/0!</v>
      </c>
      <c r="I80" s="194" t="e">
        <f t="shared" si="14"/>
        <v>#DIV/0!</v>
      </c>
      <c r="J80" s="194" t="e">
        <f t="shared" si="14"/>
        <v>#DIV/0!</v>
      </c>
    </row>
    <row r="81" spans="1:10" s="203" customFormat="1" ht="16.5" customHeight="1" x14ac:dyDescent="0.2">
      <c r="A81" s="240" t="s">
        <v>645</v>
      </c>
      <c r="B81" s="193"/>
      <c r="C81" s="193"/>
      <c r="D81" s="193"/>
      <c r="E81" s="193"/>
      <c r="F81" s="193"/>
      <c r="G81" s="194" t="e">
        <f t="shared" si="14"/>
        <v>#DIV/0!</v>
      </c>
      <c r="H81" s="194" t="e">
        <f t="shared" si="14"/>
        <v>#DIV/0!</v>
      </c>
      <c r="I81" s="194" t="e">
        <f t="shared" si="14"/>
        <v>#DIV/0!</v>
      </c>
      <c r="J81" s="194" t="e">
        <f t="shared" si="14"/>
        <v>#DIV/0!</v>
      </c>
    </row>
    <row r="82" spans="1:10" s="198" customFormat="1" ht="16.5" customHeight="1" x14ac:dyDescent="0.2">
      <c r="A82" s="196" t="s">
        <v>644</v>
      </c>
      <c r="B82" s="246">
        <f>B83+B85+B86+B87</f>
        <v>0</v>
      </c>
      <c r="C82" s="246">
        <f>C83+C85+C86+C87</f>
        <v>0</v>
      </c>
      <c r="D82" s="246">
        <f>D83+D85+D86+D87</f>
        <v>0</v>
      </c>
      <c r="E82" s="246">
        <f>E83+E85+E86+E87</f>
        <v>0</v>
      </c>
      <c r="F82" s="246">
        <f>F83+F85+F86+F87</f>
        <v>0</v>
      </c>
      <c r="G82" s="197" t="e">
        <f t="shared" si="14"/>
        <v>#DIV/0!</v>
      </c>
      <c r="H82" s="197" t="e">
        <f t="shared" si="14"/>
        <v>#DIV/0!</v>
      </c>
      <c r="I82" s="197" t="e">
        <f t="shared" si="14"/>
        <v>#DIV/0!</v>
      </c>
      <c r="J82" s="197" t="e">
        <f t="shared" si="14"/>
        <v>#DIV/0!</v>
      </c>
    </row>
    <row r="83" spans="1:10" s="203" customFormat="1" ht="16.5" customHeight="1" x14ac:dyDescent="0.2">
      <c r="A83" s="240" t="s">
        <v>646</v>
      </c>
      <c r="B83" s="193"/>
      <c r="C83" s="193"/>
      <c r="D83" s="193"/>
      <c r="E83" s="193"/>
      <c r="F83" s="193"/>
      <c r="G83" s="194" t="e">
        <f t="shared" si="14"/>
        <v>#DIV/0!</v>
      </c>
      <c r="H83" s="194" t="e">
        <f t="shared" si="14"/>
        <v>#DIV/0!</v>
      </c>
      <c r="I83" s="194" t="e">
        <f t="shared" si="14"/>
        <v>#DIV/0!</v>
      </c>
      <c r="J83" s="194" t="e">
        <f t="shared" si="14"/>
        <v>#DIV/0!</v>
      </c>
    </row>
    <row r="84" spans="1:10" s="198" customFormat="1" ht="16.5" customHeight="1" x14ac:dyDescent="0.2">
      <c r="A84" s="196" t="s">
        <v>647</v>
      </c>
      <c r="B84" s="246">
        <f>B85+B77</f>
        <v>0</v>
      </c>
      <c r="C84" s="246">
        <f>C85+C77</f>
        <v>0</v>
      </c>
      <c r="D84" s="246">
        <f>D85+D77</f>
        <v>0</v>
      </c>
      <c r="E84" s="246">
        <f>E85+E77</f>
        <v>0</v>
      </c>
      <c r="F84" s="246">
        <f>F85+F77</f>
        <v>0</v>
      </c>
      <c r="G84" s="197" t="e">
        <f t="shared" si="14"/>
        <v>#DIV/0!</v>
      </c>
      <c r="H84" s="197" t="e">
        <f t="shared" si="14"/>
        <v>#DIV/0!</v>
      </c>
      <c r="I84" s="197" t="e">
        <f t="shared" si="14"/>
        <v>#DIV/0!</v>
      </c>
      <c r="J84" s="197" t="e">
        <f t="shared" si="14"/>
        <v>#DIV/0!</v>
      </c>
    </row>
    <row r="85" spans="1:10" s="203" customFormat="1" ht="16.5" customHeight="1" x14ac:dyDescent="0.2">
      <c r="A85" s="240" t="s">
        <v>649</v>
      </c>
      <c r="B85" s="193"/>
      <c r="C85" s="193"/>
      <c r="D85" s="193"/>
      <c r="E85" s="193"/>
      <c r="F85" s="193"/>
      <c r="G85" s="194" t="e">
        <f t="shared" si="14"/>
        <v>#DIV/0!</v>
      </c>
      <c r="H85" s="194" t="e">
        <f t="shared" si="14"/>
        <v>#DIV/0!</v>
      </c>
      <c r="I85" s="194" t="e">
        <f t="shared" si="14"/>
        <v>#DIV/0!</v>
      </c>
      <c r="J85" s="194" t="e">
        <f t="shared" si="14"/>
        <v>#DIV/0!</v>
      </c>
    </row>
    <row r="86" spans="1:10" s="203" customFormat="1" ht="16.5" customHeight="1" x14ac:dyDescent="0.2">
      <c r="A86" s="240" t="s">
        <v>650</v>
      </c>
      <c r="B86" s="193"/>
      <c r="C86" s="193"/>
      <c r="D86" s="193"/>
      <c r="E86" s="193"/>
      <c r="F86" s="193"/>
      <c r="G86" s="194" t="e">
        <f t="shared" si="14"/>
        <v>#DIV/0!</v>
      </c>
      <c r="H86" s="194" t="e">
        <f t="shared" si="14"/>
        <v>#DIV/0!</v>
      </c>
      <c r="I86" s="194" t="e">
        <f t="shared" si="14"/>
        <v>#DIV/0!</v>
      </c>
      <c r="J86" s="194" t="e">
        <f t="shared" si="14"/>
        <v>#DIV/0!</v>
      </c>
    </row>
    <row r="87" spans="1:10" s="198" customFormat="1" ht="16.5" customHeight="1" x14ac:dyDescent="0.2">
      <c r="A87" s="196" t="s">
        <v>841</v>
      </c>
      <c r="B87" s="246">
        <f>B88+B89+B90+B91</f>
        <v>0</v>
      </c>
      <c r="C87" s="246">
        <f>C88+C89+C90+C91</f>
        <v>0</v>
      </c>
      <c r="D87" s="246">
        <f>D88+D89+D90+D91</f>
        <v>0</v>
      </c>
      <c r="E87" s="246">
        <f>E88+E89+E90+E91</f>
        <v>0</v>
      </c>
      <c r="F87" s="246">
        <f>F88+F89+F90+F91</f>
        <v>0</v>
      </c>
      <c r="G87" s="197" t="e">
        <f t="shared" si="14"/>
        <v>#DIV/0!</v>
      </c>
      <c r="H87" s="197" t="e">
        <f t="shared" si="14"/>
        <v>#DIV/0!</v>
      </c>
      <c r="I87" s="197" t="e">
        <f t="shared" si="14"/>
        <v>#DIV/0!</v>
      </c>
      <c r="J87" s="197" t="e">
        <f t="shared" si="14"/>
        <v>#DIV/0!</v>
      </c>
    </row>
    <row r="88" spans="1:10" s="203" customFormat="1" ht="16.5" customHeight="1" x14ac:dyDescent="0.2">
      <c r="A88" s="240" t="s">
        <v>653</v>
      </c>
      <c r="B88" s="193"/>
      <c r="C88" s="193"/>
      <c r="D88" s="193"/>
      <c r="E88" s="193"/>
      <c r="F88" s="193"/>
      <c r="G88" s="194" t="e">
        <f t="shared" si="14"/>
        <v>#DIV/0!</v>
      </c>
      <c r="H88" s="194" t="e">
        <f t="shared" si="14"/>
        <v>#DIV/0!</v>
      </c>
      <c r="I88" s="194" t="e">
        <f t="shared" si="14"/>
        <v>#DIV/0!</v>
      </c>
      <c r="J88" s="194" t="e">
        <f t="shared" si="14"/>
        <v>#DIV/0!</v>
      </c>
    </row>
    <row r="89" spans="1:10" s="203" customFormat="1" ht="16.5" customHeight="1" x14ac:dyDescent="0.2">
      <c r="A89" s="240" t="s">
        <v>842</v>
      </c>
      <c r="B89" s="193"/>
      <c r="C89" s="193"/>
      <c r="D89" s="193"/>
      <c r="E89" s="193"/>
      <c r="F89" s="193"/>
      <c r="G89" s="194" t="e">
        <f t="shared" si="14"/>
        <v>#DIV/0!</v>
      </c>
      <c r="H89" s="194" t="e">
        <f t="shared" si="14"/>
        <v>#DIV/0!</v>
      </c>
      <c r="I89" s="194" t="e">
        <f t="shared" si="14"/>
        <v>#DIV/0!</v>
      </c>
      <c r="J89" s="194" t="e">
        <f t="shared" si="14"/>
        <v>#DIV/0!</v>
      </c>
    </row>
    <row r="90" spans="1:10" s="203" customFormat="1" ht="16.5" customHeight="1" x14ac:dyDescent="0.2">
      <c r="A90" s="240" t="s">
        <v>844</v>
      </c>
      <c r="B90" s="193"/>
      <c r="C90" s="193"/>
      <c r="D90" s="193"/>
      <c r="E90" s="193"/>
      <c r="F90" s="193"/>
      <c r="G90" s="194" t="e">
        <f t="shared" si="14"/>
        <v>#DIV/0!</v>
      </c>
      <c r="H90" s="194" t="e">
        <f t="shared" si="14"/>
        <v>#DIV/0!</v>
      </c>
      <c r="I90" s="194" t="e">
        <f t="shared" si="14"/>
        <v>#DIV/0!</v>
      </c>
      <c r="J90" s="194" t="e">
        <f t="shared" si="14"/>
        <v>#DIV/0!</v>
      </c>
    </row>
    <row r="91" spans="1:10" s="203" customFormat="1" ht="16.5" customHeight="1" x14ac:dyDescent="0.2">
      <c r="A91" s="240" t="s">
        <v>843</v>
      </c>
      <c r="B91" s="193"/>
      <c r="C91" s="193"/>
      <c r="D91" s="193"/>
      <c r="E91" s="193"/>
      <c r="F91" s="193"/>
      <c r="G91" s="194" t="e">
        <f t="shared" si="14"/>
        <v>#DIV/0!</v>
      </c>
      <c r="H91" s="194" t="e">
        <f t="shared" si="14"/>
        <v>#DIV/0!</v>
      </c>
      <c r="I91" s="194" t="e">
        <f t="shared" si="14"/>
        <v>#DIV/0!</v>
      </c>
      <c r="J91" s="194" t="e">
        <f t="shared" si="14"/>
        <v>#DIV/0!</v>
      </c>
    </row>
    <row r="92" spans="1:10" s="184" customFormat="1" ht="16.5" customHeight="1" x14ac:dyDescent="0.25">
      <c r="A92" s="201" t="s">
        <v>792</v>
      </c>
      <c r="B92" s="251">
        <f>B72+B73+B74+B75+B76+B82</f>
        <v>0</v>
      </c>
      <c r="C92" s="251">
        <f>C72+C73+C74+C75+C76+C82</f>
        <v>0</v>
      </c>
      <c r="D92" s="251">
        <f>D72+D73+D74+D75+D76+D82</f>
        <v>0</v>
      </c>
      <c r="E92" s="251">
        <f>E72+E73+E74+E75+E76+E82</f>
        <v>0</v>
      </c>
      <c r="F92" s="251">
        <f>F72+F73+F74+F75+F76+F82</f>
        <v>0</v>
      </c>
      <c r="G92" s="238" t="e">
        <f t="shared" si="14"/>
        <v>#DIV/0!</v>
      </c>
      <c r="H92" s="238" t="e">
        <f t="shared" si="14"/>
        <v>#DIV/0!</v>
      </c>
      <c r="I92" s="238" t="e">
        <f t="shared" si="14"/>
        <v>#DIV/0!</v>
      </c>
      <c r="J92" s="238" t="e">
        <f t="shared" si="14"/>
        <v>#DIV/0!</v>
      </c>
    </row>
    <row r="93" spans="1:10" s="184" customFormat="1" ht="16.5" customHeight="1" x14ac:dyDescent="0.25">
      <c r="A93" s="204" t="s">
        <v>1001</v>
      </c>
      <c r="B93" s="253">
        <f>B92-B67</f>
        <v>0</v>
      </c>
      <c r="C93" s="253">
        <f>C92-C67</f>
        <v>0</v>
      </c>
      <c r="D93" s="253">
        <f>D92-D67</f>
        <v>0</v>
      </c>
      <c r="E93" s="253">
        <f>E92-E67</f>
        <v>0</v>
      </c>
      <c r="F93" s="253">
        <f>F92-F67</f>
        <v>0</v>
      </c>
      <c r="G93" s="205"/>
      <c r="H93" s="205"/>
      <c r="I93" s="205"/>
      <c r="J93" s="205"/>
    </row>
    <row r="94" spans="1:10" ht="18.75" x14ac:dyDescent="0.3">
      <c r="A94" s="206" t="s">
        <v>796</v>
      </c>
      <c r="B94" s="207"/>
      <c r="C94" s="207"/>
      <c r="D94" s="207"/>
      <c r="E94" s="207"/>
      <c r="F94" s="207"/>
      <c r="G94" s="207"/>
      <c r="H94" s="207"/>
      <c r="I94" s="207"/>
      <c r="J94" s="208"/>
    </row>
    <row r="95" spans="1:10" x14ac:dyDescent="0.25">
      <c r="A95" s="550" t="s">
        <v>793</v>
      </c>
      <c r="B95" s="188" t="str">
        <f>B$3</f>
        <v>Audited</v>
      </c>
      <c r="C95" s="188">
        <f t="shared" ref="C95:F95" si="15">C$3</f>
        <v>0</v>
      </c>
      <c r="D95" s="188">
        <f t="shared" si="15"/>
        <v>0</v>
      </c>
      <c r="E95" s="188">
        <f t="shared" si="15"/>
        <v>0</v>
      </c>
      <c r="F95" s="188">
        <f t="shared" si="15"/>
        <v>0</v>
      </c>
      <c r="G95" s="551" t="s">
        <v>588</v>
      </c>
      <c r="H95" s="551" t="s">
        <v>588</v>
      </c>
      <c r="I95" s="551" t="s">
        <v>588</v>
      </c>
      <c r="J95" s="551" t="s">
        <v>588</v>
      </c>
    </row>
    <row r="96" spans="1:10" x14ac:dyDescent="0.25">
      <c r="A96" s="550"/>
      <c r="B96" s="275">
        <f>B$4</f>
        <v>44197</v>
      </c>
      <c r="C96" s="275">
        <f t="shared" ref="C96:F96" si="16">C$4</f>
        <v>43861</v>
      </c>
      <c r="D96" s="275">
        <f t="shared" si="16"/>
        <v>43496</v>
      </c>
      <c r="E96" s="275">
        <f t="shared" si="16"/>
        <v>43131</v>
      </c>
      <c r="F96" s="275">
        <f t="shared" si="16"/>
        <v>42766</v>
      </c>
      <c r="G96" s="552"/>
      <c r="H96" s="552"/>
      <c r="I96" s="552"/>
      <c r="J96" s="552"/>
    </row>
    <row r="97" spans="1:10" x14ac:dyDescent="0.25">
      <c r="A97" s="242" t="s">
        <v>654</v>
      </c>
      <c r="B97" s="243" t="e">
        <f>(B66-B51)/(B46+B51-B78)</f>
        <v>#DIV/0!</v>
      </c>
      <c r="C97" s="243" t="e">
        <f>(C66-C51)/(C46+C51-C78)</f>
        <v>#DIV/0!</v>
      </c>
      <c r="D97" s="243" t="e">
        <f>(D66-D51)/(D46+D51-D78)</f>
        <v>#DIV/0!</v>
      </c>
      <c r="E97" s="243" t="e">
        <f>(E66-E51)/(E46+E51-E78)</f>
        <v>#DIV/0!</v>
      </c>
      <c r="F97" s="243" t="e">
        <f>(F66-F51)/(F46+F51-F78)</f>
        <v>#DIV/0!</v>
      </c>
      <c r="G97" s="244" t="e">
        <f t="shared" ref="G97:J118" si="17">(B97-C97)/C97</f>
        <v>#DIV/0!</v>
      </c>
      <c r="H97" s="244" t="e">
        <f t="shared" si="17"/>
        <v>#DIV/0!</v>
      </c>
      <c r="I97" s="244" t="e">
        <f t="shared" si="17"/>
        <v>#DIV/0!</v>
      </c>
      <c r="J97" s="244" t="e">
        <f t="shared" si="17"/>
        <v>#DIV/0!</v>
      </c>
    </row>
    <row r="98" spans="1:10" x14ac:dyDescent="0.25">
      <c r="A98" s="242" t="s">
        <v>655</v>
      </c>
      <c r="B98" s="245" t="e">
        <f>(B27+B23)/(B46+B54+B56+B58+B59+B60)</f>
        <v>#DIV/0!</v>
      </c>
      <c r="C98" s="245" t="e">
        <f>(C27+C23)/(C46+C54+C56+C58+C59+C60)</f>
        <v>#DIV/0!</v>
      </c>
      <c r="D98" s="245" t="e">
        <f>(D27+D23)/(D46+D54+D56+D58+D59+D60)</f>
        <v>#DIV/0!</v>
      </c>
      <c r="E98" s="245" t="e">
        <f>(E27+E23)/(E46+E54+E56+E58+E59+E60)</f>
        <v>#DIV/0!</v>
      </c>
      <c r="F98" s="245" t="e">
        <f>(F27+F23)/(F46+F54+F56+F58+F59+F60)</f>
        <v>#DIV/0!</v>
      </c>
      <c r="G98" s="244" t="e">
        <f t="shared" si="17"/>
        <v>#DIV/0!</v>
      </c>
      <c r="H98" s="244" t="e">
        <f t="shared" si="17"/>
        <v>#DIV/0!</v>
      </c>
      <c r="I98" s="244" t="e">
        <f t="shared" si="17"/>
        <v>#DIV/0!</v>
      </c>
      <c r="J98" s="244" t="e">
        <f t="shared" si="17"/>
        <v>#DIV/0!</v>
      </c>
    </row>
    <row r="99" spans="1:10" x14ac:dyDescent="0.25">
      <c r="A99" s="242" t="s">
        <v>656</v>
      </c>
      <c r="B99" s="245" t="e">
        <f>(B21)/B10</f>
        <v>#DIV/0!</v>
      </c>
      <c r="C99" s="245" t="e">
        <f>(C21)/C10</f>
        <v>#DIV/0!</v>
      </c>
      <c r="D99" s="245" t="e">
        <f>(D21)/D10</f>
        <v>#DIV/0!</v>
      </c>
      <c r="E99" s="245" t="e">
        <f>(E21)/E10</f>
        <v>#DIV/0!</v>
      </c>
      <c r="F99" s="245" t="e">
        <f>(F21)/F10</f>
        <v>#DIV/0!</v>
      </c>
      <c r="G99" s="244" t="e">
        <f t="shared" si="17"/>
        <v>#DIV/0!</v>
      </c>
      <c r="H99" s="244" t="e">
        <f t="shared" si="17"/>
        <v>#DIV/0!</v>
      </c>
      <c r="I99" s="244" t="e">
        <f t="shared" si="17"/>
        <v>#DIV/0!</v>
      </c>
      <c r="J99" s="244" t="e">
        <f t="shared" si="17"/>
        <v>#DIV/0!</v>
      </c>
    </row>
    <row r="100" spans="1:10" x14ac:dyDescent="0.25">
      <c r="A100" s="242" t="s">
        <v>1002</v>
      </c>
      <c r="B100" s="243" t="e">
        <f>(B21)/B23</f>
        <v>#DIV/0!</v>
      </c>
      <c r="C100" s="243" t="e">
        <f>(C21)/C23</f>
        <v>#DIV/0!</v>
      </c>
      <c r="D100" s="243" t="e">
        <f>(D21)/D23</f>
        <v>#DIV/0!</v>
      </c>
      <c r="E100" s="243" t="e">
        <f>(E21)/E23</f>
        <v>#DIV/0!</v>
      </c>
      <c r="F100" s="243" t="e">
        <f>(F21)/F23</f>
        <v>#DIV/0!</v>
      </c>
      <c r="G100" s="244" t="e">
        <f t="shared" si="17"/>
        <v>#DIV/0!</v>
      </c>
      <c r="H100" s="244" t="e">
        <f t="shared" si="17"/>
        <v>#DIV/0!</v>
      </c>
      <c r="I100" s="244" t="e">
        <f t="shared" si="17"/>
        <v>#DIV/0!</v>
      </c>
      <c r="J100" s="244" t="e">
        <f t="shared" si="17"/>
        <v>#DIV/0!</v>
      </c>
    </row>
    <row r="101" spans="1:10" x14ac:dyDescent="0.25">
      <c r="A101" s="242" t="s">
        <v>657</v>
      </c>
      <c r="B101" s="243" t="e">
        <f>B10/((C72+B72)/2)</f>
        <v>#DIV/0!</v>
      </c>
      <c r="C101" s="243" t="e">
        <f>C10/((D72+C72)/2)</f>
        <v>#DIV/0!</v>
      </c>
      <c r="D101" s="243" t="e">
        <f>D10/((E72+D72)/2)</f>
        <v>#DIV/0!</v>
      </c>
      <c r="E101" s="243" t="e">
        <f>E10/((F72+E72)/2)</f>
        <v>#DIV/0!</v>
      </c>
      <c r="F101" s="243" t="e">
        <f>F10/((F70+F72)/2)</f>
        <v>#DIV/0!</v>
      </c>
      <c r="G101" s="244" t="e">
        <f t="shared" si="17"/>
        <v>#DIV/0!</v>
      </c>
      <c r="H101" s="244" t="e">
        <f t="shared" si="17"/>
        <v>#DIV/0!</v>
      </c>
      <c r="I101" s="244" t="e">
        <f t="shared" si="17"/>
        <v>#DIV/0!</v>
      </c>
      <c r="J101" s="244" t="e">
        <f t="shared" si="17"/>
        <v>#DIV/0!</v>
      </c>
    </row>
    <row r="102" spans="1:10" x14ac:dyDescent="0.25">
      <c r="A102" s="242" t="s">
        <v>658</v>
      </c>
      <c r="B102" s="243" t="e">
        <f>B57/(B12)*365</f>
        <v>#DIV/0!</v>
      </c>
      <c r="C102" s="243" t="e">
        <f>C57/(C12)*365</f>
        <v>#DIV/0!</v>
      </c>
      <c r="D102" s="243" t="e">
        <f>D57/(D12)*365</f>
        <v>#DIV/0!</v>
      </c>
      <c r="E102" s="243" t="e">
        <f>E57/(E12)*365</f>
        <v>#DIV/0!</v>
      </c>
      <c r="F102" s="243" t="e">
        <f>F57/(F12)*365</f>
        <v>#DIV/0!</v>
      </c>
      <c r="G102" s="244" t="e">
        <f t="shared" si="17"/>
        <v>#DIV/0!</v>
      </c>
      <c r="H102" s="244" t="e">
        <f t="shared" si="17"/>
        <v>#DIV/0!</v>
      </c>
      <c r="I102" s="244" t="e">
        <f t="shared" si="17"/>
        <v>#DIV/0!</v>
      </c>
      <c r="J102" s="244" t="e">
        <f t="shared" si="17"/>
        <v>#DIV/0!</v>
      </c>
    </row>
    <row r="103" spans="1:10" x14ac:dyDescent="0.25">
      <c r="A103" s="242" t="s">
        <v>659</v>
      </c>
      <c r="B103" s="256">
        <f>B82-B65+B59</f>
        <v>0</v>
      </c>
      <c r="C103" s="256">
        <f>C82-C65+C59</f>
        <v>0</v>
      </c>
      <c r="D103" s="256">
        <f>D82-D65+D59</f>
        <v>0</v>
      </c>
      <c r="E103" s="256">
        <f>E82-E65+E59</f>
        <v>0</v>
      </c>
      <c r="F103" s="256">
        <f>F82-F65+F59</f>
        <v>0</v>
      </c>
      <c r="G103" s="244" t="e">
        <f t="shared" si="17"/>
        <v>#DIV/0!</v>
      </c>
      <c r="H103" s="244" t="e">
        <f t="shared" si="17"/>
        <v>#DIV/0!</v>
      </c>
      <c r="I103" s="244" t="e">
        <f t="shared" si="17"/>
        <v>#DIV/0!</v>
      </c>
      <c r="J103" s="244" t="e">
        <f t="shared" si="17"/>
        <v>#DIV/0!</v>
      </c>
    </row>
    <row r="104" spans="1:10" x14ac:dyDescent="0.25">
      <c r="A104" s="242" t="s">
        <v>660</v>
      </c>
      <c r="B104" s="243" t="e">
        <f>((B85+B77)/(B6)*365)</f>
        <v>#DIV/0!</v>
      </c>
      <c r="C104" s="243" t="e">
        <f>((C85+C77)/(C6)*365)</f>
        <v>#DIV/0!</v>
      </c>
      <c r="D104" s="243" t="e">
        <f>((D85+D77)/(D6)*365)</f>
        <v>#DIV/0!</v>
      </c>
      <c r="E104" s="243" t="e">
        <f>((E85+E77)/(E6)*365)</f>
        <v>#DIV/0!</v>
      </c>
      <c r="F104" s="243" t="e">
        <f>((F85+F77)/(F6)*365)</f>
        <v>#DIV/0!</v>
      </c>
      <c r="G104" s="244" t="e">
        <f t="shared" si="17"/>
        <v>#DIV/0!</v>
      </c>
      <c r="H104" s="244" t="e">
        <f t="shared" si="17"/>
        <v>#DIV/0!</v>
      </c>
      <c r="I104" s="244" t="e">
        <f t="shared" si="17"/>
        <v>#DIV/0!</v>
      </c>
      <c r="J104" s="244" t="e">
        <f t="shared" si="17"/>
        <v>#DIV/0!</v>
      </c>
    </row>
    <row r="105" spans="1:10" x14ac:dyDescent="0.25">
      <c r="A105" s="242" t="s">
        <v>661</v>
      </c>
      <c r="B105" s="243" t="e">
        <f>(B83/B6)*365</f>
        <v>#DIV/0!</v>
      </c>
      <c r="C105" s="243" t="e">
        <f>(C83/C6)*365</f>
        <v>#DIV/0!</v>
      </c>
      <c r="D105" s="243" t="e">
        <f>(D83/D6)*365</f>
        <v>#DIV/0!</v>
      </c>
      <c r="E105" s="243" t="e">
        <f>(E83/E6)*365</f>
        <v>#DIV/0!</v>
      </c>
      <c r="F105" s="243" t="e">
        <f>(F83/F6)*365</f>
        <v>#DIV/0!</v>
      </c>
      <c r="G105" s="244" t="e">
        <f t="shared" si="17"/>
        <v>#DIV/0!</v>
      </c>
      <c r="H105" s="244" t="e">
        <f t="shared" si="17"/>
        <v>#DIV/0!</v>
      </c>
      <c r="I105" s="244" t="e">
        <f t="shared" si="17"/>
        <v>#DIV/0!</v>
      </c>
      <c r="J105" s="244" t="e">
        <f t="shared" si="17"/>
        <v>#DIV/0!</v>
      </c>
    </row>
    <row r="106" spans="1:10" x14ac:dyDescent="0.25">
      <c r="A106" s="242" t="s">
        <v>662</v>
      </c>
      <c r="B106" s="243" t="e">
        <f>B83/(B15+B14)</f>
        <v>#DIV/0!</v>
      </c>
      <c r="C106" s="243" t="e">
        <f>C83/(C15+C14)</f>
        <v>#DIV/0!</v>
      </c>
      <c r="D106" s="243" t="e">
        <f>D83/(D15+D14)</f>
        <v>#DIV/0!</v>
      </c>
      <c r="E106" s="243" t="e">
        <f>E83/(E15+E14)</f>
        <v>#DIV/0!</v>
      </c>
      <c r="F106" s="243" t="e">
        <f>F83/(F15+F14)</f>
        <v>#DIV/0!</v>
      </c>
      <c r="G106" s="244" t="e">
        <f t="shared" si="17"/>
        <v>#DIV/0!</v>
      </c>
      <c r="H106" s="244" t="e">
        <f t="shared" si="17"/>
        <v>#DIV/0!</v>
      </c>
      <c r="I106" s="244" t="e">
        <f t="shared" si="17"/>
        <v>#DIV/0!</v>
      </c>
      <c r="J106" s="244" t="e">
        <f t="shared" si="17"/>
        <v>#DIV/0!</v>
      </c>
    </row>
    <row r="107" spans="1:10" x14ac:dyDescent="0.25">
      <c r="A107" s="242" t="s">
        <v>663</v>
      </c>
      <c r="B107" s="243" t="e">
        <f>B82/B65</f>
        <v>#DIV/0!</v>
      </c>
      <c r="C107" s="243" t="e">
        <f>C82/C65</f>
        <v>#DIV/0!</v>
      </c>
      <c r="D107" s="243" t="e">
        <f>D82/D65</f>
        <v>#DIV/0!</v>
      </c>
      <c r="E107" s="243" t="e">
        <f>E82/E65</f>
        <v>#DIV/0!</v>
      </c>
      <c r="F107" s="243" t="e">
        <f>F82/F65</f>
        <v>#DIV/0!</v>
      </c>
      <c r="G107" s="244" t="e">
        <f t="shared" si="17"/>
        <v>#DIV/0!</v>
      </c>
      <c r="H107" s="244" t="e">
        <f t="shared" si="17"/>
        <v>#DIV/0!</v>
      </c>
      <c r="I107" s="244" t="e">
        <f t="shared" si="17"/>
        <v>#DIV/0!</v>
      </c>
      <c r="J107" s="244" t="e">
        <f t="shared" si="17"/>
        <v>#DIV/0!</v>
      </c>
    </row>
    <row r="108" spans="1:10" x14ac:dyDescent="0.25">
      <c r="A108" s="242" t="s">
        <v>664</v>
      </c>
      <c r="B108" s="243" t="e">
        <f>(B82-B83)/B65</f>
        <v>#DIV/0!</v>
      </c>
      <c r="C108" s="243" t="e">
        <f>(C82-C83)/C65</f>
        <v>#DIV/0!</v>
      </c>
      <c r="D108" s="243" t="e">
        <f>(D82-D83)/D65</f>
        <v>#DIV/0!</v>
      </c>
      <c r="E108" s="243" t="e">
        <f>(E82-E83)/E65</f>
        <v>#DIV/0!</v>
      </c>
      <c r="F108" s="243" t="e">
        <f>(F82-F83)/F65</f>
        <v>#DIV/0!</v>
      </c>
      <c r="G108" s="244" t="e">
        <f t="shared" si="17"/>
        <v>#DIV/0!</v>
      </c>
      <c r="H108" s="244" t="e">
        <f t="shared" si="17"/>
        <v>#DIV/0!</v>
      </c>
      <c r="I108" s="244" t="e">
        <f t="shared" si="17"/>
        <v>#DIV/0!</v>
      </c>
      <c r="J108" s="244" t="e">
        <f t="shared" si="17"/>
        <v>#DIV/0!</v>
      </c>
    </row>
    <row r="109" spans="1:10" x14ac:dyDescent="0.25">
      <c r="A109" s="242" t="s">
        <v>1003</v>
      </c>
      <c r="B109" s="243" t="e">
        <f>(B54+B59-B51)/(B46+B51)</f>
        <v>#DIV/0!</v>
      </c>
      <c r="C109" s="243" t="e">
        <f>(C54+C59-C51)/(C46+C51)</f>
        <v>#DIV/0!</v>
      </c>
      <c r="D109" s="243" t="e">
        <f>(D54+D59-D51)/(D46+D51)</f>
        <v>#DIV/0!</v>
      </c>
      <c r="E109" s="243" t="e">
        <f>(E54+E59-E51)/(E46+E51)</f>
        <v>#DIV/0!</v>
      </c>
      <c r="F109" s="243" t="e">
        <f>(F54+F59-F51)/(F46+F51)</f>
        <v>#DIV/0!</v>
      </c>
      <c r="G109" s="244" t="e">
        <f t="shared" si="17"/>
        <v>#DIV/0!</v>
      </c>
      <c r="H109" s="244" t="e">
        <f t="shared" si="17"/>
        <v>#DIV/0!</v>
      </c>
      <c r="I109" s="244" t="e">
        <f t="shared" si="17"/>
        <v>#DIV/0!</v>
      </c>
      <c r="J109" s="244" t="e">
        <f t="shared" si="17"/>
        <v>#DIV/0!</v>
      </c>
    </row>
    <row r="110" spans="1:10" x14ac:dyDescent="0.25">
      <c r="A110" s="242" t="s">
        <v>1004</v>
      </c>
      <c r="B110" s="243" t="e">
        <f>(B54+B59)/B46</f>
        <v>#DIV/0!</v>
      </c>
      <c r="C110" s="243" t="e">
        <f>(C54+C59)/C46</f>
        <v>#DIV/0!</v>
      </c>
      <c r="D110" s="243" t="e">
        <f>(D54+D59)/D46</f>
        <v>#DIV/0!</v>
      </c>
      <c r="E110" s="243" t="e">
        <f>(E54+E59)/E46</f>
        <v>#DIV/0!</v>
      </c>
      <c r="F110" s="243" t="e">
        <f>(F54+F59)/F46</f>
        <v>#DIV/0!</v>
      </c>
      <c r="G110" s="244" t="e">
        <f t="shared" si="17"/>
        <v>#DIV/0!</v>
      </c>
      <c r="H110" s="244" t="e">
        <f t="shared" si="17"/>
        <v>#DIV/0!</v>
      </c>
      <c r="I110" s="244" t="e">
        <f t="shared" si="17"/>
        <v>#DIV/0!</v>
      </c>
      <c r="J110" s="244" t="e">
        <f t="shared" si="17"/>
        <v>#DIV/0!</v>
      </c>
    </row>
    <row r="111" spans="1:10" x14ac:dyDescent="0.25">
      <c r="A111" s="242" t="s">
        <v>1005</v>
      </c>
      <c r="B111" s="243" t="e">
        <f>(B21+B25-B26)/B23</f>
        <v>#DIV/0!</v>
      </c>
      <c r="C111" s="243" t="e">
        <f>(C21+C25-C26)/C23</f>
        <v>#DIV/0!</v>
      </c>
      <c r="D111" s="243" t="e">
        <f>(D21+D25-D26)/D23</f>
        <v>#DIV/0!</v>
      </c>
      <c r="E111" s="243" t="e">
        <f>(E21+E25-E26)/E23</f>
        <v>#DIV/0!</v>
      </c>
      <c r="F111" s="243" t="e">
        <f>(F21+F25-F26)/F23</f>
        <v>#DIV/0!</v>
      </c>
      <c r="G111" s="244" t="e">
        <f t="shared" si="17"/>
        <v>#DIV/0!</v>
      </c>
      <c r="H111" s="244" t="e">
        <f t="shared" si="17"/>
        <v>#DIV/0!</v>
      </c>
      <c r="I111" s="244" t="e">
        <f t="shared" si="17"/>
        <v>#DIV/0!</v>
      </c>
      <c r="J111" s="244" t="e">
        <f t="shared" si="17"/>
        <v>#DIV/0!</v>
      </c>
    </row>
    <row r="112" spans="1:10" x14ac:dyDescent="0.25">
      <c r="A112" s="242" t="s">
        <v>473</v>
      </c>
      <c r="B112" s="243" t="e">
        <f>(B21+B25-B26)/(B23+B59)</f>
        <v>#DIV/0!</v>
      </c>
      <c r="C112" s="243" t="e">
        <f>(C21+C25-C26)/(C23+C59)</f>
        <v>#DIV/0!</v>
      </c>
      <c r="D112" s="243" t="e">
        <f>(D21+D25-D26)/(D23+D59)</f>
        <v>#DIV/0!</v>
      </c>
      <c r="E112" s="243" t="e">
        <f>(E21+E25-E26)/(E23+E59)</f>
        <v>#DIV/0!</v>
      </c>
      <c r="F112" s="243" t="e">
        <f>(F21+F25-F26)/(F23+F59)</f>
        <v>#DIV/0!</v>
      </c>
      <c r="G112" s="244" t="e">
        <f t="shared" si="17"/>
        <v>#DIV/0!</v>
      </c>
      <c r="H112" s="244" t="e">
        <f t="shared" si="17"/>
        <v>#DIV/0!</v>
      </c>
      <c r="I112" s="244" t="e">
        <f t="shared" si="17"/>
        <v>#DIV/0!</v>
      </c>
      <c r="J112" s="244" t="e">
        <f t="shared" si="17"/>
        <v>#DIV/0!</v>
      </c>
    </row>
    <row r="113" spans="1:10" x14ac:dyDescent="0.25">
      <c r="A113" s="242" t="s">
        <v>665</v>
      </c>
      <c r="B113" s="245" t="e">
        <f>(B16+B14)/B10</f>
        <v>#DIV/0!</v>
      </c>
      <c r="C113" s="245" t="e">
        <f>(C16+C14)/C10</f>
        <v>#DIV/0!</v>
      </c>
      <c r="D113" s="245" t="e">
        <f>(D16+D14)/D10</f>
        <v>#DIV/0!</v>
      </c>
      <c r="E113" s="245" t="e">
        <f>(E16+E14)/E10</f>
        <v>#DIV/0!</v>
      </c>
      <c r="F113" s="245" t="e">
        <f>(F16+F14)/F10</f>
        <v>#DIV/0!</v>
      </c>
      <c r="G113" s="244" t="e">
        <f t="shared" si="17"/>
        <v>#DIV/0!</v>
      </c>
      <c r="H113" s="244" t="e">
        <f t="shared" si="17"/>
        <v>#DIV/0!</v>
      </c>
      <c r="I113" s="244" t="e">
        <f t="shared" si="17"/>
        <v>#DIV/0!</v>
      </c>
      <c r="J113" s="244" t="e">
        <f t="shared" si="17"/>
        <v>#DIV/0!</v>
      </c>
    </row>
    <row r="114" spans="1:10" x14ac:dyDescent="0.25">
      <c r="A114" s="242" t="s">
        <v>666</v>
      </c>
      <c r="B114" s="245" t="e">
        <f>(B29/B10)</f>
        <v>#DIV/0!</v>
      </c>
      <c r="C114" s="245" t="e">
        <f t="shared" ref="C114:F114" si="18">(C29/C10)</f>
        <v>#DIV/0!</v>
      </c>
      <c r="D114" s="245" t="e">
        <f t="shared" si="18"/>
        <v>#DIV/0!</v>
      </c>
      <c r="E114" s="245" t="e">
        <f t="shared" si="18"/>
        <v>#DIV/0!</v>
      </c>
      <c r="F114" s="245" t="e">
        <f t="shared" si="18"/>
        <v>#DIV/0!</v>
      </c>
      <c r="G114" s="244" t="e">
        <f t="shared" si="17"/>
        <v>#DIV/0!</v>
      </c>
      <c r="H114" s="244" t="e">
        <f t="shared" si="17"/>
        <v>#DIV/0!</v>
      </c>
      <c r="I114" s="244" t="e">
        <f t="shared" si="17"/>
        <v>#DIV/0!</v>
      </c>
      <c r="J114" s="244" t="e">
        <f t="shared" si="17"/>
        <v>#DIV/0!</v>
      </c>
    </row>
    <row r="115" spans="1:10" x14ac:dyDescent="0.25">
      <c r="A115" s="242" t="s">
        <v>667</v>
      </c>
      <c r="B115" s="245" t="e">
        <f>(B30/B10)</f>
        <v>#DIV/0!</v>
      </c>
      <c r="C115" s="245" t="e">
        <f>(C30/C10)</f>
        <v>#DIV/0!</v>
      </c>
      <c r="D115" s="245" t="e">
        <f>(D30/D10)</f>
        <v>#DIV/0!</v>
      </c>
      <c r="E115" s="245" t="e">
        <f>(E30/E10)</f>
        <v>#DIV/0!</v>
      </c>
      <c r="F115" s="245" t="e">
        <f>(F30/F10)</f>
        <v>#DIV/0!</v>
      </c>
      <c r="G115" s="244" t="e">
        <f t="shared" si="17"/>
        <v>#DIV/0!</v>
      </c>
      <c r="H115" s="244" t="e">
        <f t="shared" si="17"/>
        <v>#DIV/0!</v>
      </c>
      <c r="I115" s="244" t="e">
        <f t="shared" si="17"/>
        <v>#DIV/0!</v>
      </c>
      <c r="J115" s="244" t="e">
        <f t="shared" si="17"/>
        <v>#DIV/0!</v>
      </c>
    </row>
    <row r="116" spans="1:10" x14ac:dyDescent="0.25">
      <c r="A116" s="242" t="s">
        <v>668</v>
      </c>
      <c r="B116" s="245" t="e">
        <f>(B8-C8)/C8</f>
        <v>#DIV/0!</v>
      </c>
      <c r="C116" s="245" t="e">
        <f>(C8-D8)/D8</f>
        <v>#DIV/0!</v>
      </c>
      <c r="D116" s="245" t="e">
        <f>(D8-E8)/E8</f>
        <v>#DIV/0!</v>
      </c>
      <c r="E116" s="245" t="e">
        <f>(E8-F8)/F8</f>
        <v>#DIV/0!</v>
      </c>
      <c r="F116" s="245" t="e">
        <f>(F8-H8)/H8</f>
        <v>#DIV/0!</v>
      </c>
      <c r="G116" s="244" t="e">
        <f t="shared" si="17"/>
        <v>#DIV/0!</v>
      </c>
      <c r="H116" s="244" t="e">
        <f t="shared" si="17"/>
        <v>#DIV/0!</v>
      </c>
      <c r="I116" s="244" t="e">
        <f t="shared" si="17"/>
        <v>#DIV/0!</v>
      </c>
      <c r="J116" s="244" t="e">
        <f t="shared" si="17"/>
        <v>#DIV/0!</v>
      </c>
    </row>
    <row r="117" spans="1:10" x14ac:dyDescent="0.25">
      <c r="A117" s="242" t="s">
        <v>669</v>
      </c>
      <c r="B117" s="245" t="e">
        <f>(B29-C29)/C29</f>
        <v>#DIV/0!</v>
      </c>
      <c r="C117" s="245" t="e">
        <f>(C29-D29)/D29</f>
        <v>#DIV/0!</v>
      </c>
      <c r="D117" s="245" t="e">
        <f>(D29-E29)/E29</f>
        <v>#DIV/0!</v>
      </c>
      <c r="E117" s="245" t="e">
        <f>(E29-F29)/F29</f>
        <v>#DIV/0!</v>
      </c>
      <c r="F117" s="245" t="e">
        <f>(F29-H29)/H29</f>
        <v>#DIV/0!</v>
      </c>
      <c r="G117" s="244" t="e">
        <f t="shared" si="17"/>
        <v>#DIV/0!</v>
      </c>
      <c r="H117" s="244" t="e">
        <f t="shared" si="17"/>
        <v>#DIV/0!</v>
      </c>
      <c r="I117" s="244" t="e">
        <f t="shared" si="17"/>
        <v>#DIV/0!</v>
      </c>
      <c r="J117" s="244" t="e">
        <f t="shared" si="17"/>
        <v>#DIV/0!</v>
      </c>
    </row>
    <row r="118" spans="1:10" x14ac:dyDescent="0.25">
      <c r="A118" s="242" t="s">
        <v>670</v>
      </c>
      <c r="B118" s="256">
        <f>B29+B14</f>
        <v>0</v>
      </c>
      <c r="C118" s="256">
        <f>C29+C14</f>
        <v>0</v>
      </c>
      <c r="D118" s="243">
        <f>D29+D14</f>
        <v>0</v>
      </c>
      <c r="E118" s="243">
        <f>E29+E14</f>
        <v>0</v>
      </c>
      <c r="F118" s="243">
        <f>F29+F14</f>
        <v>0</v>
      </c>
      <c r="G118" s="244" t="e">
        <f t="shared" si="17"/>
        <v>#DIV/0!</v>
      </c>
      <c r="H118" s="244" t="e">
        <f t="shared" si="17"/>
        <v>#DIV/0!</v>
      </c>
      <c r="I118" s="244" t="e">
        <f t="shared" si="17"/>
        <v>#DIV/0!</v>
      </c>
      <c r="J118" s="244" t="e">
        <f t="shared" si="17"/>
        <v>#DIV/0!</v>
      </c>
    </row>
    <row r="119" spans="1:10" ht="18.75" x14ac:dyDescent="0.3">
      <c r="A119" s="206" t="s">
        <v>797</v>
      </c>
      <c r="B119" s="207"/>
      <c r="C119" s="207"/>
      <c r="D119" s="207"/>
      <c r="E119" s="207"/>
      <c r="F119" s="207"/>
      <c r="G119" s="207"/>
      <c r="H119" s="207"/>
      <c r="I119" s="207"/>
      <c r="J119" s="208"/>
    </row>
    <row r="120" spans="1:10" x14ac:dyDescent="0.25">
      <c r="A120" s="550" t="s">
        <v>793</v>
      </c>
      <c r="B120" s="188" t="str">
        <f>B$3</f>
        <v>Audited</v>
      </c>
      <c r="C120" s="188">
        <f t="shared" ref="C120:F120" si="19">C$3</f>
        <v>0</v>
      </c>
      <c r="D120" s="188">
        <f t="shared" si="19"/>
        <v>0</v>
      </c>
      <c r="E120" s="188">
        <f t="shared" si="19"/>
        <v>0</v>
      </c>
      <c r="F120" s="188">
        <f t="shared" si="19"/>
        <v>0</v>
      </c>
      <c r="G120" s="551" t="s">
        <v>588</v>
      </c>
      <c r="H120" s="551" t="s">
        <v>588</v>
      </c>
      <c r="I120" s="551" t="s">
        <v>588</v>
      </c>
      <c r="J120" s="551" t="s">
        <v>588</v>
      </c>
    </row>
    <row r="121" spans="1:10" x14ac:dyDescent="0.25">
      <c r="A121" s="550"/>
      <c r="B121" s="275">
        <f>B$4</f>
        <v>44197</v>
      </c>
      <c r="C121" s="275">
        <f t="shared" ref="C121:F121" si="20">C$4</f>
        <v>43861</v>
      </c>
      <c r="D121" s="275">
        <f t="shared" si="20"/>
        <v>43496</v>
      </c>
      <c r="E121" s="275">
        <f t="shared" si="20"/>
        <v>43131</v>
      </c>
      <c r="F121" s="275">
        <f t="shared" si="20"/>
        <v>42766</v>
      </c>
      <c r="G121" s="552"/>
      <c r="H121" s="552"/>
      <c r="I121" s="552"/>
      <c r="J121" s="552"/>
    </row>
    <row r="122" spans="1:10" x14ac:dyDescent="0.25">
      <c r="A122" s="209" t="s">
        <v>671</v>
      </c>
      <c r="B122" s="254">
        <f>B29</f>
        <v>0</v>
      </c>
      <c r="C122" s="254">
        <f>C29</f>
        <v>0</v>
      </c>
      <c r="D122" s="254">
        <f>D29</f>
        <v>0</v>
      </c>
      <c r="E122" s="254">
        <f>E29</f>
        <v>0</v>
      </c>
      <c r="F122" s="254">
        <f>F29</f>
        <v>0</v>
      </c>
      <c r="G122" s="210" t="e">
        <f>(B122-C122)/C122</f>
        <v>#DIV/0!</v>
      </c>
      <c r="H122" s="210" t="e">
        <f>(C122-D122)/D122</f>
        <v>#DIV/0!</v>
      </c>
      <c r="I122" s="210" t="e">
        <f>(D122-E122)/E122</f>
        <v>#DIV/0!</v>
      </c>
      <c r="J122" s="210" t="e">
        <f>(E122-F122)/F122</f>
        <v>#DIV/0!</v>
      </c>
    </row>
    <row r="123" spans="1:10" s="215" customFormat="1" ht="12.75" x14ac:dyDescent="0.2">
      <c r="A123" s="211" t="s">
        <v>798</v>
      </c>
      <c r="B123" s="212"/>
      <c r="C123" s="212"/>
      <c r="D123" s="212"/>
      <c r="E123" s="212"/>
      <c r="F123" s="212"/>
      <c r="G123" s="213"/>
      <c r="H123" s="213"/>
      <c r="I123" s="213"/>
      <c r="J123" s="214"/>
    </row>
    <row r="124" spans="1:10" x14ac:dyDescent="0.25">
      <c r="A124" s="192" t="s">
        <v>237</v>
      </c>
      <c r="B124" s="255">
        <f>B14</f>
        <v>0</v>
      </c>
      <c r="C124" s="255">
        <f>C14</f>
        <v>0</v>
      </c>
      <c r="D124" s="255">
        <f>D14</f>
        <v>0</v>
      </c>
      <c r="E124" s="255">
        <f>E14</f>
        <v>0</v>
      </c>
      <c r="F124" s="255">
        <f>F14</f>
        <v>0</v>
      </c>
      <c r="G124" s="194" t="e">
        <f t="shared" ref="G124:J129" si="21">(B124-C124)/C124</f>
        <v>#DIV/0!</v>
      </c>
      <c r="H124" s="194" t="e">
        <f t="shared" si="21"/>
        <v>#DIV/0!</v>
      </c>
      <c r="I124" s="194" t="e">
        <f t="shared" si="21"/>
        <v>#DIV/0!</v>
      </c>
      <c r="J124" s="194" t="e">
        <f t="shared" si="21"/>
        <v>#DIV/0!</v>
      </c>
    </row>
    <row r="125" spans="1:10" x14ac:dyDescent="0.25">
      <c r="A125" s="192" t="s">
        <v>672</v>
      </c>
      <c r="B125" s="255">
        <f>B19</f>
        <v>0</v>
      </c>
      <c r="C125" s="255">
        <f>C19</f>
        <v>0</v>
      </c>
      <c r="D125" s="255">
        <f>D19</f>
        <v>0</v>
      </c>
      <c r="E125" s="255">
        <f>E19</f>
        <v>0</v>
      </c>
      <c r="F125" s="255">
        <f>F19</f>
        <v>0</v>
      </c>
      <c r="G125" s="194" t="e">
        <f t="shared" si="21"/>
        <v>#DIV/0!</v>
      </c>
      <c r="H125" s="194" t="e">
        <f t="shared" si="21"/>
        <v>#DIV/0!</v>
      </c>
      <c r="I125" s="194" t="e">
        <f t="shared" si="21"/>
        <v>#DIV/0!</v>
      </c>
      <c r="J125" s="194" t="e">
        <f t="shared" si="21"/>
        <v>#DIV/0!</v>
      </c>
    </row>
    <row r="126" spans="1:10" x14ac:dyDescent="0.25">
      <c r="A126" s="192" t="s">
        <v>673</v>
      </c>
      <c r="B126" s="255">
        <f t="shared" ref="B126:F127" si="22">B32</f>
        <v>0</v>
      </c>
      <c r="C126" s="255">
        <f t="shared" si="22"/>
        <v>0</v>
      </c>
      <c r="D126" s="255">
        <f t="shared" si="22"/>
        <v>0</v>
      </c>
      <c r="E126" s="255">
        <f t="shared" si="22"/>
        <v>0</v>
      </c>
      <c r="F126" s="255">
        <f t="shared" si="22"/>
        <v>0</v>
      </c>
      <c r="G126" s="194" t="e">
        <f t="shared" si="21"/>
        <v>#DIV/0!</v>
      </c>
      <c r="H126" s="194" t="e">
        <f t="shared" si="21"/>
        <v>#DIV/0!</v>
      </c>
      <c r="I126" s="194" t="e">
        <f t="shared" si="21"/>
        <v>#DIV/0!</v>
      </c>
      <c r="J126" s="194" t="e">
        <f t="shared" si="21"/>
        <v>#DIV/0!</v>
      </c>
    </row>
    <row r="127" spans="1:10" x14ac:dyDescent="0.25">
      <c r="A127" s="192" t="s">
        <v>674</v>
      </c>
      <c r="B127" s="255">
        <f t="shared" si="22"/>
        <v>0</v>
      </c>
      <c r="C127" s="255">
        <f t="shared" si="22"/>
        <v>0</v>
      </c>
      <c r="D127" s="255">
        <f t="shared" si="22"/>
        <v>0</v>
      </c>
      <c r="E127" s="255">
        <f t="shared" si="22"/>
        <v>0</v>
      </c>
      <c r="F127" s="255">
        <f t="shared" si="22"/>
        <v>0</v>
      </c>
      <c r="G127" s="194" t="e">
        <f t="shared" si="21"/>
        <v>#DIV/0!</v>
      </c>
      <c r="H127" s="194" t="e">
        <f t="shared" si="21"/>
        <v>#DIV/0!</v>
      </c>
      <c r="I127" s="194" t="e">
        <f t="shared" si="21"/>
        <v>#DIV/0!</v>
      </c>
      <c r="J127" s="194" t="e">
        <f t="shared" si="21"/>
        <v>#DIV/0!</v>
      </c>
    </row>
    <row r="128" spans="1:10" x14ac:dyDescent="0.25">
      <c r="A128" s="192" t="s">
        <v>675</v>
      </c>
      <c r="B128" s="255">
        <f>B28</f>
        <v>0</v>
      </c>
      <c r="C128" s="255">
        <f>C28</f>
        <v>0</v>
      </c>
      <c r="D128" s="255">
        <f>D28</f>
        <v>0</v>
      </c>
      <c r="E128" s="255">
        <f>E28</f>
        <v>0</v>
      </c>
      <c r="F128" s="255">
        <f>F28</f>
        <v>0</v>
      </c>
      <c r="G128" s="194" t="e">
        <f t="shared" si="21"/>
        <v>#DIV/0!</v>
      </c>
      <c r="H128" s="194" t="e">
        <f t="shared" si="21"/>
        <v>#DIV/0!</v>
      </c>
      <c r="I128" s="194" t="e">
        <f t="shared" si="21"/>
        <v>#DIV/0!</v>
      </c>
      <c r="J128" s="194" t="e">
        <f t="shared" si="21"/>
        <v>#DIV/0!</v>
      </c>
    </row>
    <row r="129" spans="1:10" x14ac:dyDescent="0.25">
      <c r="A129" s="192" t="s">
        <v>676</v>
      </c>
      <c r="B129" s="255">
        <f>B23</f>
        <v>0</v>
      </c>
      <c r="C129" s="255">
        <f>C23</f>
        <v>0</v>
      </c>
      <c r="D129" s="255">
        <f>D23</f>
        <v>0</v>
      </c>
      <c r="E129" s="255">
        <f>E23</f>
        <v>0</v>
      </c>
      <c r="F129" s="255">
        <f>F23</f>
        <v>0</v>
      </c>
      <c r="G129" s="194" t="e">
        <f t="shared" si="21"/>
        <v>#DIV/0!</v>
      </c>
      <c r="H129" s="194" t="e">
        <f t="shared" si="21"/>
        <v>#DIV/0!</v>
      </c>
      <c r="I129" s="194" t="e">
        <f t="shared" si="21"/>
        <v>#DIV/0!</v>
      </c>
      <c r="J129" s="194" t="e">
        <f t="shared" si="21"/>
        <v>#DIV/0!</v>
      </c>
    </row>
    <row r="130" spans="1:10" s="215" customFormat="1" ht="12.75" x14ac:dyDescent="0.2">
      <c r="A130" s="211" t="s">
        <v>799</v>
      </c>
      <c r="B130" s="212"/>
      <c r="C130" s="212"/>
      <c r="D130" s="212"/>
      <c r="E130" s="212"/>
      <c r="F130" s="212"/>
      <c r="G130" s="213"/>
      <c r="H130" s="213"/>
      <c r="I130" s="213"/>
      <c r="J130" s="214"/>
    </row>
    <row r="131" spans="1:10" x14ac:dyDescent="0.25">
      <c r="A131" s="192" t="s">
        <v>800</v>
      </c>
      <c r="B131" s="255">
        <f>B25</f>
        <v>0</v>
      </c>
      <c r="C131" s="255">
        <f>C25</f>
        <v>0</v>
      </c>
      <c r="D131" s="255">
        <f>D25</f>
        <v>0</v>
      </c>
      <c r="E131" s="255">
        <f>E25</f>
        <v>0</v>
      </c>
      <c r="F131" s="255">
        <f>F25</f>
        <v>0</v>
      </c>
      <c r="G131" s="194" t="e">
        <f t="shared" ref="G131:J140" si="23">(B131-C131)/C131</f>
        <v>#DIV/0!</v>
      </c>
      <c r="H131" s="194" t="e">
        <f t="shared" si="23"/>
        <v>#DIV/0!</v>
      </c>
      <c r="I131" s="194" t="e">
        <f t="shared" si="23"/>
        <v>#DIV/0!</v>
      </c>
      <c r="J131" s="194" t="e">
        <f t="shared" si="23"/>
        <v>#DIV/0!</v>
      </c>
    </row>
    <row r="132" spans="1:10" x14ac:dyDescent="0.25">
      <c r="A132" s="201" t="s">
        <v>801</v>
      </c>
      <c r="B132" s="251">
        <f>SUM(B124:B129)+B122-B131</f>
        <v>0</v>
      </c>
      <c r="C132" s="251">
        <f>SUM(C124:C129)+C122-C131</f>
        <v>0</v>
      </c>
      <c r="D132" s="251">
        <f>SUM(D124:D129)+D122-D131</f>
        <v>0</v>
      </c>
      <c r="E132" s="251">
        <f>SUM(E124:E129)+E122-E131</f>
        <v>0</v>
      </c>
      <c r="F132" s="251">
        <f>SUM(F124:F129)+F122-F131</f>
        <v>0</v>
      </c>
      <c r="G132" s="238" t="e">
        <f t="shared" si="23"/>
        <v>#DIV/0!</v>
      </c>
      <c r="H132" s="238" t="e">
        <f t="shared" si="23"/>
        <v>#DIV/0!</v>
      </c>
      <c r="I132" s="238" t="e">
        <f t="shared" si="23"/>
        <v>#DIV/0!</v>
      </c>
      <c r="J132" s="238" t="e">
        <f t="shared" si="23"/>
        <v>#DIV/0!</v>
      </c>
    </row>
    <row r="133" spans="1:10" x14ac:dyDescent="0.25">
      <c r="A133" s="192" t="s">
        <v>677</v>
      </c>
      <c r="B133" s="255">
        <f>(C85+C77)-(B85+B77)</f>
        <v>0</v>
      </c>
      <c r="C133" s="255">
        <f>(D85+D77)-(C85+C77)</f>
        <v>0</v>
      </c>
      <c r="D133" s="255">
        <f>(E85+E77)-(D85+D77)</f>
        <v>0</v>
      </c>
      <c r="E133" s="255">
        <f>(F85+F77)-(E85+E77)</f>
        <v>0</v>
      </c>
      <c r="F133" s="255" t="e">
        <f>(H85+H77)-(F85+F77)</f>
        <v>#DIV/0!</v>
      </c>
      <c r="G133" s="194" t="e">
        <f t="shared" si="23"/>
        <v>#DIV/0!</v>
      </c>
      <c r="H133" s="194" t="e">
        <f t="shared" si="23"/>
        <v>#DIV/0!</v>
      </c>
      <c r="I133" s="194" t="e">
        <f t="shared" si="23"/>
        <v>#DIV/0!</v>
      </c>
      <c r="J133" s="194" t="e">
        <f t="shared" si="23"/>
        <v>#DIV/0!</v>
      </c>
    </row>
    <row r="134" spans="1:10" x14ac:dyDescent="0.25">
      <c r="A134" s="192" t="s">
        <v>646</v>
      </c>
      <c r="B134" s="255">
        <f>C83-B83</f>
        <v>0</v>
      </c>
      <c r="C134" s="255">
        <f>D83-C83</f>
        <v>0</v>
      </c>
      <c r="D134" s="255">
        <f>E83-D83</f>
        <v>0</v>
      </c>
      <c r="E134" s="255">
        <f>F83-E83</f>
        <v>0</v>
      </c>
      <c r="F134" s="255" t="e">
        <f>H83-F83</f>
        <v>#DIV/0!</v>
      </c>
      <c r="G134" s="194" t="e">
        <f t="shared" si="23"/>
        <v>#DIV/0!</v>
      </c>
      <c r="H134" s="194" t="e">
        <f t="shared" si="23"/>
        <v>#DIV/0!</v>
      </c>
      <c r="I134" s="194" t="e">
        <f t="shared" si="23"/>
        <v>#DIV/0!</v>
      </c>
      <c r="J134" s="194" t="e">
        <f t="shared" si="23"/>
        <v>#DIV/0!</v>
      </c>
    </row>
    <row r="135" spans="1:10" x14ac:dyDescent="0.25">
      <c r="A135" s="192" t="s">
        <v>651</v>
      </c>
      <c r="B135" s="255">
        <f>(C78+C88)-(B78+B88)</f>
        <v>0</v>
      </c>
      <c r="C135" s="255">
        <f>(D78+D88)-(C78+C88)</f>
        <v>0</v>
      </c>
      <c r="D135" s="255">
        <f>(E78+E88)-(D78+D88)</f>
        <v>0</v>
      </c>
      <c r="E135" s="255">
        <f>(F78+F88)-(E78+E88)</f>
        <v>0</v>
      </c>
      <c r="F135" s="255" t="e">
        <f>(H78+H88)-(F78+F88)</f>
        <v>#DIV/0!</v>
      </c>
      <c r="G135" s="194" t="e">
        <f t="shared" si="23"/>
        <v>#DIV/0!</v>
      </c>
      <c r="H135" s="194" t="e">
        <f t="shared" si="23"/>
        <v>#DIV/0!</v>
      </c>
      <c r="I135" s="194" t="e">
        <f t="shared" si="23"/>
        <v>#DIV/0!</v>
      </c>
      <c r="J135" s="194" t="e">
        <f t="shared" si="23"/>
        <v>#DIV/0!</v>
      </c>
    </row>
    <row r="136" spans="1:10" x14ac:dyDescent="0.25">
      <c r="A136" s="192" t="s">
        <v>678</v>
      </c>
      <c r="B136" s="255">
        <f>B65-C65</f>
        <v>0</v>
      </c>
      <c r="C136" s="255">
        <f>C65-D65</f>
        <v>0</v>
      </c>
      <c r="D136" s="255">
        <f>D65-E65</f>
        <v>0</v>
      </c>
      <c r="E136" s="255">
        <f>E65-F65</f>
        <v>0</v>
      </c>
      <c r="F136" s="255" t="e">
        <f>F65-H65</f>
        <v>#DIV/0!</v>
      </c>
      <c r="G136" s="194" t="e">
        <f t="shared" si="23"/>
        <v>#DIV/0!</v>
      </c>
      <c r="H136" s="194" t="e">
        <f t="shared" si="23"/>
        <v>#DIV/0!</v>
      </c>
      <c r="I136" s="194" t="e">
        <f t="shared" si="23"/>
        <v>#DIV/0!</v>
      </c>
      <c r="J136" s="194" t="e">
        <f t="shared" si="23"/>
        <v>#DIV/0!</v>
      </c>
    </row>
    <row r="137" spans="1:10" x14ac:dyDescent="0.25">
      <c r="A137" s="201" t="s">
        <v>802</v>
      </c>
      <c r="B137" s="251">
        <f>SUM(B133:B136)</f>
        <v>0</v>
      </c>
      <c r="C137" s="251">
        <f>SUM(C133:C136)</f>
        <v>0</v>
      </c>
      <c r="D137" s="251">
        <f>SUM(D133:D136)</f>
        <v>0</v>
      </c>
      <c r="E137" s="251">
        <f>SUM(E133:E136)</f>
        <v>0</v>
      </c>
      <c r="F137" s="251" t="e">
        <f>SUM(F133:F136)</f>
        <v>#DIV/0!</v>
      </c>
      <c r="G137" s="238" t="e">
        <f t="shared" si="23"/>
        <v>#DIV/0!</v>
      </c>
      <c r="H137" s="238" t="e">
        <f t="shared" si="23"/>
        <v>#DIV/0!</v>
      </c>
      <c r="I137" s="238" t="e">
        <f t="shared" si="23"/>
        <v>#DIV/0!</v>
      </c>
      <c r="J137" s="238" t="e">
        <f t="shared" si="23"/>
        <v>#DIV/0!</v>
      </c>
    </row>
    <row r="138" spans="1:10" x14ac:dyDescent="0.25">
      <c r="A138" s="201" t="s">
        <v>679</v>
      </c>
      <c r="B138" s="251">
        <f>B132+B137</f>
        <v>0</v>
      </c>
      <c r="C138" s="251">
        <f>C132+C137</f>
        <v>0</v>
      </c>
      <c r="D138" s="251">
        <f>D132+D137</f>
        <v>0</v>
      </c>
      <c r="E138" s="251">
        <f>E132+E137</f>
        <v>0</v>
      </c>
      <c r="F138" s="251" t="e">
        <f>F132+F137</f>
        <v>#DIV/0!</v>
      </c>
      <c r="G138" s="238" t="e">
        <f t="shared" si="23"/>
        <v>#DIV/0!</v>
      </c>
      <c r="H138" s="238" t="e">
        <f t="shared" si="23"/>
        <v>#DIV/0!</v>
      </c>
      <c r="I138" s="238" t="e">
        <f t="shared" si="23"/>
        <v>#DIV/0!</v>
      </c>
      <c r="J138" s="238" t="e">
        <f t="shared" si="23"/>
        <v>#DIV/0!</v>
      </c>
    </row>
    <row r="139" spans="1:10" x14ac:dyDescent="0.25">
      <c r="A139" s="192" t="s">
        <v>680</v>
      </c>
      <c r="B139" s="255">
        <f>B28</f>
        <v>0</v>
      </c>
      <c r="C139" s="255">
        <f>C28</f>
        <v>0</v>
      </c>
      <c r="D139" s="255">
        <f>D28</f>
        <v>0</v>
      </c>
      <c r="E139" s="255">
        <f>E28</f>
        <v>0</v>
      </c>
      <c r="F139" s="255">
        <f>F28</f>
        <v>0</v>
      </c>
      <c r="G139" s="194" t="e">
        <f t="shared" si="23"/>
        <v>#DIV/0!</v>
      </c>
      <c r="H139" s="194" t="e">
        <f t="shared" si="23"/>
        <v>#DIV/0!</v>
      </c>
      <c r="I139" s="194" t="e">
        <f t="shared" si="23"/>
        <v>#DIV/0!</v>
      </c>
      <c r="J139" s="194" t="e">
        <f t="shared" si="23"/>
        <v>#DIV/0!</v>
      </c>
    </row>
    <row r="140" spans="1:10" x14ac:dyDescent="0.25">
      <c r="A140" s="201" t="s">
        <v>681</v>
      </c>
      <c r="B140" s="251">
        <f>B138-B139</f>
        <v>0</v>
      </c>
      <c r="C140" s="251">
        <f>C138-C139</f>
        <v>0</v>
      </c>
      <c r="D140" s="251">
        <f>D138-D139</f>
        <v>0</v>
      </c>
      <c r="E140" s="251">
        <f>E138-E139</f>
        <v>0</v>
      </c>
      <c r="F140" s="251" t="e">
        <f>F138-F139</f>
        <v>#DIV/0!</v>
      </c>
      <c r="G140" s="238" t="e">
        <f t="shared" si="23"/>
        <v>#DIV/0!</v>
      </c>
      <c r="H140" s="238" t="e">
        <f t="shared" si="23"/>
        <v>#DIV/0!</v>
      </c>
      <c r="I140" s="238" t="e">
        <f t="shared" si="23"/>
        <v>#DIV/0!</v>
      </c>
      <c r="J140" s="238" t="e">
        <f t="shared" si="23"/>
        <v>#DIV/0!</v>
      </c>
    </row>
  </sheetData>
  <sheetProtection algorithmName="SHA-512" hashValue="/j+rqEMpq9hyb5Soe/rY13shs280DrVddX4pAedYrEvNh4+i22HSbA5IvbR59AkXageQKW6IR7hSsYrwh6q8BQ==" saltValue="UzERtHXwVhao5hyikzCJtw==" spinCount="100000" sheet="1" objects="1" scenarios="1" formatCells="0" formatColumns="0" formatRows="0"/>
  <mergeCells count="17">
    <mergeCell ref="A1:J1"/>
    <mergeCell ref="A95:A96"/>
    <mergeCell ref="G95:G96"/>
    <mergeCell ref="H95:H96"/>
    <mergeCell ref="I95:I96"/>
    <mergeCell ref="J95:J96"/>
    <mergeCell ref="A3:A4"/>
    <mergeCell ref="G3:J3"/>
    <mergeCell ref="A37:A38"/>
    <mergeCell ref="G37:J37"/>
    <mergeCell ref="A68:A69"/>
    <mergeCell ref="G68:J68"/>
    <mergeCell ref="A120:A121"/>
    <mergeCell ref="G120:G121"/>
    <mergeCell ref="H120:H121"/>
    <mergeCell ref="I120:I121"/>
    <mergeCell ref="J120:J121"/>
  </mergeCells>
  <dataValidations count="1">
    <dataValidation type="list" showInputMessage="1" showErrorMessage="1" sqref="B3:F3 B95:F95 B37:F37 B68:F68 B120:F120" xr:uid="{00000000-0002-0000-0C00-000000000000}">
      <formula1>$L$3:$L$5</formula1>
    </dataValidation>
  </dataValidations>
  <pageMargins left="0.7" right="0.7" top="0.75" bottom="0.75" header="0.3" footer="0.3"/>
  <pageSetup paperSize="9" orientation="portrait" horizontalDpi="4294967295" verticalDpi="4294967295"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8"/>
  <dimension ref="A1:W1048576"/>
  <sheetViews>
    <sheetView zoomScaleNormal="100" workbookViewId="0">
      <selection activeCell="A7" sqref="A7"/>
    </sheetView>
  </sheetViews>
  <sheetFormatPr defaultColWidth="0" defaultRowHeight="15" zeroHeight="1" x14ac:dyDescent="0.25"/>
  <cols>
    <col min="1" max="1" width="9.140625" style="13" customWidth="1"/>
    <col min="2" max="18" width="14.140625" style="13" customWidth="1"/>
    <col min="19" max="19" width="20.28515625" style="13" customWidth="1"/>
    <col min="20" max="20" width="1.28515625" style="13" customWidth="1"/>
    <col min="21" max="23" width="0" style="13" hidden="1" customWidth="1"/>
    <col min="24" max="16384" width="9.140625" style="13" hidden="1"/>
  </cols>
  <sheetData>
    <row r="1" spans="1:19" ht="18.75" x14ac:dyDescent="0.25">
      <c r="A1" s="566" t="s">
        <v>822</v>
      </c>
      <c r="B1" s="567"/>
      <c r="C1" s="567"/>
      <c r="D1" s="567"/>
      <c r="E1" s="567"/>
      <c r="F1" s="567"/>
      <c r="G1" s="567"/>
      <c r="H1" s="567"/>
      <c r="I1" s="567"/>
      <c r="J1" s="567"/>
      <c r="K1" s="567"/>
      <c r="L1" s="567"/>
      <c r="M1" s="567"/>
      <c r="N1" s="567"/>
      <c r="O1" s="567"/>
      <c r="P1" s="567"/>
      <c r="Q1" s="567"/>
      <c r="R1" s="567"/>
      <c r="S1" s="568"/>
    </row>
    <row r="2" spans="1:19" x14ac:dyDescent="0.25">
      <c r="A2" s="58" t="s">
        <v>492</v>
      </c>
      <c r="B2" s="57" t="s">
        <v>805</v>
      </c>
      <c r="C2" s="57" t="s">
        <v>806</v>
      </c>
      <c r="D2" s="57" t="s">
        <v>807</v>
      </c>
      <c r="E2" s="57" t="s">
        <v>808</v>
      </c>
      <c r="F2" s="57" t="s">
        <v>809</v>
      </c>
      <c r="G2" s="57" t="s">
        <v>810</v>
      </c>
      <c r="H2" s="57" t="s">
        <v>811</v>
      </c>
      <c r="I2" s="57" t="s">
        <v>812</v>
      </c>
      <c r="J2" s="57" t="s">
        <v>813</v>
      </c>
      <c r="K2" s="57" t="s">
        <v>814</v>
      </c>
      <c r="L2" s="57" t="s">
        <v>815</v>
      </c>
      <c r="M2" s="57" t="s">
        <v>816</v>
      </c>
      <c r="N2" s="57" t="s">
        <v>817</v>
      </c>
      <c r="O2" s="57" t="s">
        <v>818</v>
      </c>
      <c r="P2" s="57" t="s">
        <v>819</v>
      </c>
      <c r="Q2" s="57" t="s">
        <v>820</v>
      </c>
      <c r="R2" s="57" t="s">
        <v>821</v>
      </c>
      <c r="S2" s="57" t="s">
        <v>248</v>
      </c>
    </row>
    <row r="3" spans="1:19" x14ac:dyDescent="0.25">
      <c r="A3" s="54">
        <f>Banking!A13</f>
        <v>43922</v>
      </c>
      <c r="B3" s="55">
        <f>Banking!J13</f>
        <v>0</v>
      </c>
      <c r="C3" s="55">
        <f>Banking!$J26</f>
        <v>0</v>
      </c>
      <c r="D3" s="55">
        <f>Banking!$J39</f>
        <v>0</v>
      </c>
      <c r="E3" s="55">
        <f>Banking!$J52</f>
        <v>0</v>
      </c>
      <c r="F3" s="55">
        <f>Banking!$J65</f>
        <v>0</v>
      </c>
      <c r="G3" s="55">
        <f>Banking!$J78</f>
        <v>0</v>
      </c>
      <c r="H3" s="55">
        <f>Banking!$J91</f>
        <v>0</v>
      </c>
      <c r="I3" s="55">
        <f>Banking!$J104</f>
        <v>0</v>
      </c>
      <c r="J3" s="55">
        <f>Banking!$J117</f>
        <v>0</v>
      </c>
      <c r="K3" s="55">
        <f>Banking!$J130</f>
        <v>0</v>
      </c>
      <c r="L3" s="55">
        <f>Banking!$J143</f>
        <v>0</v>
      </c>
      <c r="M3" s="55">
        <f>Banking!$J156</f>
        <v>0</v>
      </c>
      <c r="N3" s="55">
        <f>Banking!$J169</f>
        <v>0</v>
      </c>
      <c r="O3" s="55">
        <f>Banking!$J182</f>
        <v>0</v>
      </c>
      <c r="P3" s="55">
        <f>Banking!$J195</f>
        <v>0</v>
      </c>
      <c r="Q3" s="55">
        <f>Banking!$J208</f>
        <v>0</v>
      </c>
      <c r="R3" s="55">
        <f>Banking!$J221</f>
        <v>0</v>
      </c>
      <c r="S3" s="63">
        <f t="shared" ref="S3:S8" si="0">SUM(B3:R3)</f>
        <v>0</v>
      </c>
    </row>
    <row r="4" spans="1:19" x14ac:dyDescent="0.25">
      <c r="A4" s="54">
        <f>Banking!A14</f>
        <v>43952</v>
      </c>
      <c r="B4" s="55">
        <f>Banking!J14</f>
        <v>0</v>
      </c>
      <c r="C4" s="55">
        <f>Banking!$J27</f>
        <v>0</v>
      </c>
      <c r="D4" s="55">
        <f>Banking!$J40</f>
        <v>0</v>
      </c>
      <c r="E4" s="55">
        <f>Banking!$J53</f>
        <v>0</v>
      </c>
      <c r="F4" s="55">
        <f>Banking!$J66</f>
        <v>0</v>
      </c>
      <c r="G4" s="55">
        <f>Banking!$J79</f>
        <v>0</v>
      </c>
      <c r="H4" s="55">
        <f>Banking!$J92</f>
        <v>0</v>
      </c>
      <c r="I4" s="55">
        <f>Banking!$J105</f>
        <v>0</v>
      </c>
      <c r="J4" s="55">
        <f>Banking!$J118</f>
        <v>0</v>
      </c>
      <c r="K4" s="55">
        <f>Banking!$J131</f>
        <v>0</v>
      </c>
      <c r="L4" s="55">
        <f>Banking!$J144</f>
        <v>0</v>
      </c>
      <c r="M4" s="55">
        <f>Banking!$J157</f>
        <v>0</v>
      </c>
      <c r="N4" s="55">
        <f>Banking!$J170</f>
        <v>0</v>
      </c>
      <c r="O4" s="55">
        <f>Banking!$J183</f>
        <v>0</v>
      </c>
      <c r="P4" s="55">
        <f>Banking!$J196</f>
        <v>0</v>
      </c>
      <c r="Q4" s="55">
        <f>Banking!$J209</f>
        <v>0</v>
      </c>
      <c r="R4" s="55">
        <f>Banking!$J222</f>
        <v>0</v>
      </c>
      <c r="S4" s="63">
        <f t="shared" si="0"/>
        <v>0</v>
      </c>
    </row>
    <row r="5" spans="1:19" x14ac:dyDescent="0.25">
      <c r="A5" s="54">
        <f>Banking!A15</f>
        <v>43983</v>
      </c>
      <c r="B5" s="55">
        <f>Banking!J15</f>
        <v>0</v>
      </c>
      <c r="C5" s="55">
        <f>Banking!$J28</f>
        <v>0</v>
      </c>
      <c r="D5" s="55">
        <f>Banking!$J41</f>
        <v>0</v>
      </c>
      <c r="E5" s="55">
        <f>Banking!$J54</f>
        <v>0</v>
      </c>
      <c r="F5" s="55">
        <f>Banking!$J67</f>
        <v>0</v>
      </c>
      <c r="G5" s="55">
        <f>Banking!$J80</f>
        <v>0</v>
      </c>
      <c r="H5" s="55">
        <f>Banking!$J93</f>
        <v>0</v>
      </c>
      <c r="I5" s="55">
        <f>Banking!$J106</f>
        <v>0</v>
      </c>
      <c r="J5" s="55">
        <f>Banking!$J119</f>
        <v>0</v>
      </c>
      <c r="K5" s="55">
        <f>Banking!$J132</f>
        <v>0</v>
      </c>
      <c r="L5" s="55">
        <f>Banking!$J145</f>
        <v>0</v>
      </c>
      <c r="M5" s="55">
        <f>Banking!$J158</f>
        <v>0</v>
      </c>
      <c r="N5" s="55">
        <f>Banking!$J171</f>
        <v>0</v>
      </c>
      <c r="O5" s="55">
        <f>Banking!$J184</f>
        <v>0</v>
      </c>
      <c r="P5" s="55">
        <f>Banking!$J197</f>
        <v>0</v>
      </c>
      <c r="Q5" s="55">
        <f>Banking!$J210</f>
        <v>0</v>
      </c>
      <c r="R5" s="55">
        <f>Banking!$J223</f>
        <v>0</v>
      </c>
      <c r="S5" s="63">
        <f t="shared" si="0"/>
        <v>0</v>
      </c>
    </row>
    <row r="6" spans="1:19" x14ac:dyDescent="0.25">
      <c r="A6" s="54">
        <f>Banking!A16</f>
        <v>44013</v>
      </c>
      <c r="B6" s="55">
        <f>Banking!J16</f>
        <v>0</v>
      </c>
      <c r="C6" s="55">
        <f>Banking!$J29</f>
        <v>0</v>
      </c>
      <c r="D6" s="55">
        <f>Banking!$J42</f>
        <v>0</v>
      </c>
      <c r="E6" s="55">
        <f>Banking!$J55</f>
        <v>0</v>
      </c>
      <c r="F6" s="55">
        <f>Banking!$J68</f>
        <v>0</v>
      </c>
      <c r="G6" s="55">
        <f>Banking!$J81</f>
        <v>0</v>
      </c>
      <c r="H6" s="55">
        <f>Banking!$J94</f>
        <v>0</v>
      </c>
      <c r="I6" s="55">
        <f>Banking!$J107</f>
        <v>0</v>
      </c>
      <c r="J6" s="55">
        <f>Banking!$J120</f>
        <v>0</v>
      </c>
      <c r="K6" s="55">
        <f>Banking!$J133</f>
        <v>0</v>
      </c>
      <c r="L6" s="55">
        <f>Banking!$J146</f>
        <v>0</v>
      </c>
      <c r="M6" s="55">
        <f>Banking!$J159</f>
        <v>0</v>
      </c>
      <c r="N6" s="55">
        <f>Banking!$J172</f>
        <v>0</v>
      </c>
      <c r="O6" s="55">
        <f>Banking!$J185</f>
        <v>0</v>
      </c>
      <c r="P6" s="55">
        <f>Banking!$J198</f>
        <v>0</v>
      </c>
      <c r="Q6" s="55">
        <f>Banking!$J211</f>
        <v>0</v>
      </c>
      <c r="R6" s="55">
        <f>Banking!$J224</f>
        <v>0</v>
      </c>
      <c r="S6" s="63">
        <f t="shared" si="0"/>
        <v>0</v>
      </c>
    </row>
    <row r="7" spans="1:19" x14ac:dyDescent="0.25">
      <c r="A7" s="54" t="s">
        <v>503</v>
      </c>
      <c r="B7" s="55">
        <f>Banking!J17</f>
        <v>0</v>
      </c>
      <c r="C7" s="55">
        <f>Banking!$J30</f>
        <v>0</v>
      </c>
      <c r="D7" s="55">
        <f>Banking!$J43</f>
        <v>0</v>
      </c>
      <c r="E7" s="55">
        <f>Banking!$J56</f>
        <v>0</v>
      </c>
      <c r="F7" s="55">
        <f>Banking!$J69</f>
        <v>0</v>
      </c>
      <c r="G7" s="55">
        <f>Banking!$J82</f>
        <v>0</v>
      </c>
      <c r="H7" s="55">
        <f>Banking!$J95</f>
        <v>0</v>
      </c>
      <c r="I7" s="55">
        <f>Banking!$J108</f>
        <v>0</v>
      </c>
      <c r="J7" s="55">
        <f>Banking!$J121</f>
        <v>0</v>
      </c>
      <c r="K7" s="55">
        <f>Banking!$J134</f>
        <v>0</v>
      </c>
      <c r="L7" s="55">
        <f>Banking!$J147</f>
        <v>0</v>
      </c>
      <c r="M7" s="55">
        <f>Banking!$J160</f>
        <v>0</v>
      </c>
      <c r="N7" s="55">
        <f>Banking!$J173</f>
        <v>0</v>
      </c>
      <c r="O7" s="55">
        <f>Banking!$J186</f>
        <v>0</v>
      </c>
      <c r="P7" s="55">
        <f>Banking!$J199</f>
        <v>0</v>
      </c>
      <c r="Q7" s="55">
        <f>Banking!$J212</f>
        <v>0</v>
      </c>
      <c r="R7" s="55">
        <f>Banking!$J225</f>
        <v>0</v>
      </c>
      <c r="S7" s="63">
        <f t="shared" si="0"/>
        <v>0</v>
      </c>
    </row>
    <row r="8" spans="1:19" x14ac:dyDescent="0.25">
      <c r="A8" s="54">
        <f>Banking!A18</f>
        <v>44075</v>
      </c>
      <c r="B8" s="55">
        <f>Banking!J18</f>
        <v>0</v>
      </c>
      <c r="C8" s="55">
        <f>Banking!$J31</f>
        <v>0</v>
      </c>
      <c r="D8" s="55">
        <f>Banking!$J44</f>
        <v>0</v>
      </c>
      <c r="E8" s="55">
        <f>Banking!$J57</f>
        <v>0</v>
      </c>
      <c r="F8" s="55">
        <f>Banking!$J70</f>
        <v>0</v>
      </c>
      <c r="G8" s="55">
        <f>Banking!$J83</f>
        <v>0</v>
      </c>
      <c r="H8" s="55">
        <f>Banking!$J96</f>
        <v>0</v>
      </c>
      <c r="I8" s="55">
        <f>Banking!$J109</f>
        <v>0</v>
      </c>
      <c r="J8" s="55">
        <f>Banking!$J122</f>
        <v>0</v>
      </c>
      <c r="K8" s="55">
        <f>Banking!$J135</f>
        <v>0</v>
      </c>
      <c r="L8" s="55">
        <f>Banking!$J148</f>
        <v>0</v>
      </c>
      <c r="M8" s="55">
        <f>Banking!$J161</f>
        <v>0</v>
      </c>
      <c r="N8" s="55">
        <f>Banking!$J174</f>
        <v>0</v>
      </c>
      <c r="O8" s="55">
        <f>Banking!$J187</f>
        <v>0</v>
      </c>
      <c r="P8" s="55">
        <f>Banking!$J200</f>
        <v>0</v>
      </c>
      <c r="Q8" s="55">
        <f>Banking!$J213</f>
        <v>0</v>
      </c>
      <c r="R8" s="55">
        <f>Banking!$J226</f>
        <v>0</v>
      </c>
      <c r="S8" s="63">
        <f t="shared" si="0"/>
        <v>0</v>
      </c>
    </row>
    <row r="9" spans="1:19" x14ac:dyDescent="0.25">
      <c r="A9" s="57" t="s">
        <v>505</v>
      </c>
      <c r="B9" s="42">
        <f t="shared" ref="B9:S9" si="1">SUM(B3:B8)</f>
        <v>0</v>
      </c>
      <c r="C9" s="42">
        <f t="shared" si="1"/>
        <v>0</v>
      </c>
      <c r="D9" s="42">
        <f t="shared" si="1"/>
        <v>0</v>
      </c>
      <c r="E9" s="42">
        <f t="shared" si="1"/>
        <v>0</v>
      </c>
      <c r="F9" s="42">
        <f t="shared" si="1"/>
        <v>0</v>
      </c>
      <c r="G9" s="42">
        <f t="shared" si="1"/>
        <v>0</v>
      </c>
      <c r="H9" s="42">
        <f t="shared" si="1"/>
        <v>0</v>
      </c>
      <c r="I9" s="42">
        <f t="shared" si="1"/>
        <v>0</v>
      </c>
      <c r="J9" s="42">
        <f t="shared" si="1"/>
        <v>0</v>
      </c>
      <c r="K9" s="42">
        <f t="shared" si="1"/>
        <v>0</v>
      </c>
      <c r="L9" s="42">
        <f t="shared" si="1"/>
        <v>0</v>
      </c>
      <c r="M9" s="42">
        <f t="shared" si="1"/>
        <v>0</v>
      </c>
      <c r="N9" s="42">
        <f t="shared" si="1"/>
        <v>0</v>
      </c>
      <c r="O9" s="42">
        <f t="shared" si="1"/>
        <v>0</v>
      </c>
      <c r="P9" s="42">
        <f t="shared" si="1"/>
        <v>0</v>
      </c>
      <c r="Q9" s="42">
        <f t="shared" si="1"/>
        <v>0</v>
      </c>
      <c r="R9" s="42">
        <f t="shared" si="1"/>
        <v>0</v>
      </c>
      <c r="S9" s="64">
        <f t="shared" si="1"/>
        <v>0</v>
      </c>
    </row>
    <row r="10" spans="1:19" x14ac:dyDescent="0.25">
      <c r="A10" s="57" t="s">
        <v>494</v>
      </c>
      <c r="B10" s="42">
        <f>B9/6</f>
        <v>0</v>
      </c>
      <c r="C10" s="42">
        <f>C9/6</f>
        <v>0</v>
      </c>
      <c r="D10" s="42">
        <f t="shared" ref="D10:R10" si="2">D9/6</f>
        <v>0</v>
      </c>
      <c r="E10" s="42">
        <f t="shared" si="2"/>
        <v>0</v>
      </c>
      <c r="F10" s="42">
        <f t="shared" si="2"/>
        <v>0</v>
      </c>
      <c r="G10" s="42">
        <f t="shared" si="2"/>
        <v>0</v>
      </c>
      <c r="H10" s="42">
        <f t="shared" si="2"/>
        <v>0</v>
      </c>
      <c r="I10" s="42">
        <f t="shared" si="2"/>
        <v>0</v>
      </c>
      <c r="J10" s="42">
        <f t="shared" si="2"/>
        <v>0</v>
      </c>
      <c r="K10" s="42">
        <f t="shared" si="2"/>
        <v>0</v>
      </c>
      <c r="L10" s="42">
        <f t="shared" si="2"/>
        <v>0</v>
      </c>
      <c r="M10" s="42">
        <f t="shared" si="2"/>
        <v>0</v>
      </c>
      <c r="N10" s="42">
        <f t="shared" si="2"/>
        <v>0</v>
      </c>
      <c r="O10" s="42">
        <f t="shared" si="2"/>
        <v>0</v>
      </c>
      <c r="P10" s="42">
        <f t="shared" si="2"/>
        <v>0</v>
      </c>
      <c r="Q10" s="42">
        <f t="shared" si="2"/>
        <v>0</v>
      </c>
      <c r="R10" s="42">
        <f t="shared" si="2"/>
        <v>0</v>
      </c>
      <c r="S10" s="64">
        <f>S9/6</f>
        <v>0</v>
      </c>
    </row>
    <row r="14" spans="1:19" hidden="1" x14ac:dyDescent="0.25">
      <c r="B14" s="13" t="s">
        <v>535</v>
      </c>
      <c r="C14" s="13" t="s">
        <v>567</v>
      </c>
    </row>
    <row r="15" spans="1:19" hidden="1" x14ac:dyDescent="0.25">
      <c r="B15" s="13" t="s">
        <v>537</v>
      </c>
      <c r="C15" s="13" t="s">
        <v>568</v>
      </c>
    </row>
    <row r="16" spans="1:19" hidden="1" x14ac:dyDescent="0.25">
      <c r="B16" s="13" t="s">
        <v>513</v>
      </c>
      <c r="C16" s="13" t="s">
        <v>516</v>
      </c>
    </row>
    <row r="17" spans="2:3" hidden="1" x14ac:dyDescent="0.25">
      <c r="B17" s="13" t="s">
        <v>514</v>
      </c>
      <c r="C17" s="13" t="s">
        <v>569</v>
      </c>
    </row>
    <row r="18" spans="2:3" hidden="1" x14ac:dyDescent="0.25">
      <c r="B18" s="13" t="s">
        <v>515</v>
      </c>
      <c r="C18" s="13" t="s">
        <v>570</v>
      </c>
    </row>
    <row r="19" spans="2:3" hidden="1" x14ac:dyDescent="0.25">
      <c r="B19" s="13" t="s">
        <v>502</v>
      </c>
      <c r="C19" s="13" t="s">
        <v>571</v>
      </c>
    </row>
    <row r="20" spans="2:3" hidden="1" x14ac:dyDescent="0.25">
      <c r="B20" s="13" t="s">
        <v>503</v>
      </c>
      <c r="C20" s="13" t="s">
        <v>572</v>
      </c>
    </row>
    <row r="21" spans="2:3" hidden="1" x14ac:dyDescent="0.25">
      <c r="B21" s="13" t="s">
        <v>504</v>
      </c>
      <c r="C21" s="13" t="s">
        <v>573</v>
      </c>
    </row>
    <row r="22" spans="2:3" hidden="1" x14ac:dyDescent="0.25">
      <c r="B22" s="13" t="s">
        <v>544</v>
      </c>
      <c r="C22" s="13" t="s">
        <v>574</v>
      </c>
    </row>
    <row r="23" spans="2:3" hidden="1" x14ac:dyDescent="0.25">
      <c r="B23" s="13" t="s">
        <v>546</v>
      </c>
      <c r="C23" s="13" t="s">
        <v>575</v>
      </c>
    </row>
    <row r="24" spans="2:3" hidden="1" x14ac:dyDescent="0.25">
      <c r="B24" s="13" t="s">
        <v>548</v>
      </c>
      <c r="C24" s="13" t="s">
        <v>576</v>
      </c>
    </row>
    <row r="25" spans="2:3" hidden="1" x14ac:dyDescent="0.25">
      <c r="B25" s="13" t="s">
        <v>550</v>
      </c>
      <c r="C25" s="13" t="s">
        <v>577</v>
      </c>
    </row>
    <row r="1048572" ht="9" hidden="1" customHeight="1" x14ac:dyDescent="0.25"/>
    <row r="1048573" ht="7.5" hidden="1" customHeight="1" x14ac:dyDescent="0.25"/>
    <row r="1048574" x14ac:dyDescent="0.25"/>
    <row r="1048575" x14ac:dyDescent="0.25"/>
    <row r="1048576" x14ac:dyDescent="0.25"/>
  </sheetData>
  <sheetProtection algorithmName="SHA-512" hashValue="6Ru73ybKuVRnTWC0899HewotAmulgOcfiHMhWr6q5piTA2dKm2GOa1YEpf7sx4ZKN4NUR1KAB70vViR1KL04ig==" saltValue="i9nUzZ2xfFyNn/fVGLFhsQ==" spinCount="100000" sheet="1" objects="1" scenarios="1"/>
  <mergeCells count="1">
    <mergeCell ref="A1:S1"/>
  </mergeCells>
  <dataValidations count="1">
    <dataValidation type="list" allowBlank="1" showInputMessage="1" showErrorMessage="1" sqref="A3:A8" xr:uid="{00000000-0002-0000-0D00-000000000000}">
      <formula1>$B$14:$B$25</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dimension ref="A1:N27"/>
  <sheetViews>
    <sheetView zoomScale="80" zoomScaleNormal="80" workbookViewId="0">
      <selection activeCell="A3" sqref="A3:D3"/>
    </sheetView>
  </sheetViews>
  <sheetFormatPr defaultColWidth="0" defaultRowHeight="15" zeroHeight="1" x14ac:dyDescent="0.25"/>
  <cols>
    <col min="1" max="1" width="15.5703125" style="13" bestFit="1" customWidth="1"/>
    <col min="2" max="13" width="18.140625" style="13" customWidth="1"/>
    <col min="14" max="14" width="2.140625" style="13" customWidth="1"/>
    <col min="15" max="16384" width="9.140625" style="13" hidden="1"/>
  </cols>
  <sheetData>
    <row r="1" spans="1:13" ht="20.25" x14ac:dyDescent="0.3">
      <c r="A1" s="569" t="s">
        <v>840</v>
      </c>
      <c r="B1" s="570"/>
      <c r="C1" s="570"/>
      <c r="D1" s="570"/>
      <c r="E1" s="570"/>
      <c r="F1" s="570"/>
      <c r="G1" s="570"/>
      <c r="H1" s="570"/>
      <c r="I1" s="570"/>
      <c r="J1" s="570"/>
      <c r="K1" s="570"/>
      <c r="L1" s="570"/>
      <c r="M1" s="571"/>
    </row>
    <row r="2" spans="1:13" x14ac:dyDescent="0.25">
      <c r="A2" s="443" t="s">
        <v>552</v>
      </c>
      <c r="B2" s="443"/>
      <c r="C2" s="443"/>
      <c r="D2" s="443"/>
      <c r="E2" s="514">
        <f>G25</f>
        <v>0</v>
      </c>
      <c r="F2" s="514"/>
      <c r="G2" s="514"/>
      <c r="H2" s="514"/>
      <c r="I2" s="514"/>
      <c r="J2" s="514"/>
      <c r="K2" s="514"/>
      <c r="L2" s="514"/>
      <c r="M2" s="514"/>
    </row>
    <row r="3" spans="1:13" x14ac:dyDescent="0.25">
      <c r="A3" s="443" t="s">
        <v>553</v>
      </c>
      <c r="B3" s="443"/>
      <c r="C3" s="443"/>
      <c r="D3" s="443"/>
      <c r="E3" s="381">
        <f>'Loan Details'!E15</f>
        <v>0</v>
      </c>
      <c r="F3" s="381"/>
      <c r="G3" s="381"/>
      <c r="H3" s="381"/>
      <c r="I3" s="381"/>
      <c r="J3" s="381"/>
      <c r="K3" s="381"/>
      <c r="L3" s="381"/>
      <c r="M3" s="381"/>
    </row>
    <row r="4" spans="1:13" x14ac:dyDescent="0.25">
      <c r="A4" s="443" t="s">
        <v>485</v>
      </c>
      <c r="B4" s="443"/>
      <c r="C4" s="443"/>
      <c r="D4" s="443"/>
      <c r="E4" s="572" t="e">
        <f>E2/E3</f>
        <v>#DIV/0!</v>
      </c>
      <c r="F4" s="572"/>
      <c r="G4" s="572"/>
      <c r="H4" s="572"/>
      <c r="I4" s="572"/>
      <c r="J4" s="572"/>
      <c r="K4" s="572"/>
      <c r="L4" s="572"/>
      <c r="M4" s="572"/>
    </row>
    <row r="5" spans="1:13" x14ac:dyDescent="0.25">
      <c r="A5" s="443" t="s">
        <v>554</v>
      </c>
      <c r="B5" s="443"/>
      <c r="C5" s="443"/>
      <c r="D5" s="443"/>
      <c r="E5" s="412" t="s">
        <v>764</v>
      </c>
      <c r="F5" s="412"/>
      <c r="G5" s="412"/>
      <c r="H5" s="412" t="s">
        <v>685</v>
      </c>
      <c r="I5" s="412"/>
      <c r="J5" s="412"/>
      <c r="K5" s="412" t="s">
        <v>557</v>
      </c>
      <c r="L5" s="412"/>
      <c r="M5" s="412"/>
    </row>
    <row r="6" spans="1:13" x14ac:dyDescent="0.25">
      <c r="A6" s="573" t="s">
        <v>555</v>
      </c>
      <c r="B6" s="573"/>
      <c r="C6" s="573"/>
      <c r="D6" s="573"/>
      <c r="E6" s="402">
        <f>J25</f>
        <v>0</v>
      </c>
      <c r="F6" s="401"/>
      <c r="G6" s="401"/>
      <c r="H6" s="402">
        <f>M24</f>
        <v>0</v>
      </c>
      <c r="I6" s="401"/>
      <c r="J6" s="401"/>
      <c r="K6" s="460" t="e">
        <f>E6/H6</f>
        <v>#DIV/0!</v>
      </c>
      <c r="L6" s="460"/>
      <c r="M6" s="460"/>
    </row>
    <row r="7" spans="1:13" x14ac:dyDescent="0.25">
      <c r="A7" s="573" t="s">
        <v>558</v>
      </c>
      <c r="B7" s="573"/>
      <c r="C7" s="573"/>
      <c r="D7" s="573"/>
      <c r="E7" s="402">
        <f>K25</f>
        <v>0</v>
      </c>
      <c r="F7" s="401"/>
      <c r="G7" s="401"/>
      <c r="H7" s="402">
        <f>L25</f>
        <v>0</v>
      </c>
      <c r="I7" s="401"/>
      <c r="J7" s="401"/>
      <c r="K7" s="460" t="e">
        <f>E7/H7</f>
        <v>#DIV/0!</v>
      </c>
      <c r="L7" s="460"/>
      <c r="M7" s="460"/>
    </row>
    <row r="8" spans="1:13" x14ac:dyDescent="0.25">
      <c r="A8" s="573" t="s">
        <v>248</v>
      </c>
      <c r="B8" s="573"/>
      <c r="C8" s="573"/>
      <c r="D8" s="573"/>
      <c r="E8" s="402">
        <f>E6+E7</f>
        <v>0</v>
      </c>
      <c r="F8" s="401"/>
      <c r="G8" s="401"/>
      <c r="H8" s="402">
        <f>H6+H7</f>
        <v>0</v>
      </c>
      <c r="I8" s="401"/>
      <c r="J8" s="401"/>
      <c r="K8" s="460" t="e">
        <f>E8/H8</f>
        <v>#DIV/0!</v>
      </c>
      <c r="L8" s="460"/>
      <c r="M8" s="460"/>
    </row>
    <row r="9" spans="1:13" ht="18.75" x14ac:dyDescent="0.25">
      <c r="A9" s="424" t="s">
        <v>489</v>
      </c>
      <c r="B9" s="424"/>
      <c r="C9" s="424"/>
      <c r="D9" s="424"/>
      <c r="E9" s="424"/>
      <c r="F9" s="424"/>
      <c r="G9" s="424"/>
      <c r="H9" s="424"/>
      <c r="I9" s="424"/>
      <c r="J9" s="424"/>
      <c r="K9" s="424"/>
      <c r="L9" s="424"/>
      <c r="M9" s="424"/>
    </row>
    <row r="10" spans="1:13" ht="15.75" x14ac:dyDescent="0.25">
      <c r="A10" s="574" t="s">
        <v>692</v>
      </c>
      <c r="B10" s="574"/>
      <c r="C10" s="575"/>
      <c r="D10" s="575"/>
      <c r="E10" s="48"/>
      <c r="F10" s="59" t="s">
        <v>693</v>
      </c>
      <c r="G10" s="575"/>
      <c r="H10" s="575"/>
      <c r="I10" s="575"/>
      <c r="J10" s="59" t="s">
        <v>490</v>
      </c>
      <c r="K10" s="576"/>
      <c r="L10" s="576"/>
      <c r="M10" s="576"/>
    </row>
    <row r="11" spans="1:13" x14ac:dyDescent="0.25">
      <c r="A11" s="444" t="s">
        <v>492</v>
      </c>
      <c r="B11" s="444" t="s">
        <v>493</v>
      </c>
      <c r="C11" s="444"/>
      <c r="D11" s="444"/>
      <c r="E11" s="419" t="s">
        <v>494</v>
      </c>
      <c r="F11" s="419" t="s">
        <v>683</v>
      </c>
      <c r="G11" s="419" t="s">
        <v>495</v>
      </c>
      <c r="H11" s="419" t="s">
        <v>496</v>
      </c>
      <c r="I11" s="419" t="s">
        <v>497</v>
      </c>
      <c r="J11" s="419" t="s">
        <v>498</v>
      </c>
      <c r="K11" s="419" t="s">
        <v>499</v>
      </c>
      <c r="L11" s="419" t="s">
        <v>500</v>
      </c>
      <c r="M11" s="419" t="s">
        <v>501</v>
      </c>
    </row>
    <row r="12" spans="1:13" x14ac:dyDescent="0.25">
      <c r="A12" s="444"/>
      <c r="B12" s="58">
        <v>5</v>
      </c>
      <c r="C12" s="58">
        <v>15</v>
      </c>
      <c r="D12" s="58">
        <v>25</v>
      </c>
      <c r="E12" s="419"/>
      <c r="F12" s="419"/>
      <c r="G12" s="419"/>
      <c r="H12" s="419"/>
      <c r="I12" s="419"/>
      <c r="J12" s="419"/>
      <c r="K12" s="419"/>
      <c r="L12" s="419"/>
      <c r="M12" s="419"/>
    </row>
    <row r="13" spans="1:13" x14ac:dyDescent="0.25">
      <c r="A13" s="5" t="s">
        <v>513</v>
      </c>
      <c r="B13" s="43">
        <v>0</v>
      </c>
      <c r="C13" s="43">
        <v>0</v>
      </c>
      <c r="D13" s="43">
        <v>0</v>
      </c>
      <c r="E13" s="42">
        <f>AVERAGE(B13:D13)</f>
        <v>0</v>
      </c>
      <c r="F13" s="43">
        <v>0</v>
      </c>
      <c r="G13" s="43">
        <v>0</v>
      </c>
      <c r="H13" s="44">
        <v>0</v>
      </c>
      <c r="I13" s="45">
        <f>G13-H13</f>
        <v>0</v>
      </c>
      <c r="J13" s="7">
        <v>0</v>
      </c>
      <c r="K13" s="7">
        <v>0</v>
      </c>
      <c r="L13" s="7">
        <v>0</v>
      </c>
      <c r="M13" s="7">
        <v>0</v>
      </c>
    </row>
    <row r="14" spans="1:13" x14ac:dyDescent="0.25">
      <c r="A14" s="5" t="s">
        <v>514</v>
      </c>
      <c r="B14" s="43">
        <v>0</v>
      </c>
      <c r="C14" s="43">
        <v>0</v>
      </c>
      <c r="D14" s="43">
        <v>0</v>
      </c>
      <c r="E14" s="42">
        <f t="shared" ref="E14:E24" si="0">AVERAGE(B14:D14)</f>
        <v>0</v>
      </c>
      <c r="F14" s="43">
        <v>0</v>
      </c>
      <c r="G14" s="43">
        <v>0</v>
      </c>
      <c r="H14" s="44">
        <v>0</v>
      </c>
      <c r="I14" s="45">
        <f t="shared" ref="I14:I24" si="1">G14-H14</f>
        <v>0</v>
      </c>
      <c r="J14" s="7">
        <v>0</v>
      </c>
      <c r="K14" s="7">
        <v>0</v>
      </c>
      <c r="L14" s="7">
        <v>0</v>
      </c>
      <c r="M14" s="7">
        <v>0</v>
      </c>
    </row>
    <row r="15" spans="1:13" x14ac:dyDescent="0.25">
      <c r="A15" s="5" t="s">
        <v>515</v>
      </c>
      <c r="B15" s="43">
        <v>0</v>
      </c>
      <c r="C15" s="43">
        <v>0</v>
      </c>
      <c r="D15" s="43">
        <v>0</v>
      </c>
      <c r="E15" s="42">
        <f t="shared" si="0"/>
        <v>0</v>
      </c>
      <c r="F15" s="43">
        <v>0</v>
      </c>
      <c r="G15" s="43">
        <v>0</v>
      </c>
      <c r="H15" s="44">
        <v>0</v>
      </c>
      <c r="I15" s="45">
        <f t="shared" si="1"/>
        <v>0</v>
      </c>
      <c r="J15" s="7">
        <v>0</v>
      </c>
      <c r="K15" s="7">
        <v>0</v>
      </c>
      <c r="L15" s="7">
        <v>0</v>
      </c>
      <c r="M15" s="7">
        <v>0</v>
      </c>
    </row>
    <row r="16" spans="1:13" x14ac:dyDescent="0.25">
      <c r="A16" s="5" t="s">
        <v>502</v>
      </c>
      <c r="B16" s="43">
        <v>0</v>
      </c>
      <c r="C16" s="43">
        <v>0</v>
      </c>
      <c r="D16" s="43">
        <v>0</v>
      </c>
      <c r="E16" s="42">
        <f t="shared" si="0"/>
        <v>0</v>
      </c>
      <c r="F16" s="43">
        <v>0</v>
      </c>
      <c r="G16" s="43">
        <v>0</v>
      </c>
      <c r="H16" s="44">
        <v>0</v>
      </c>
      <c r="I16" s="45">
        <f t="shared" si="1"/>
        <v>0</v>
      </c>
      <c r="J16" s="7">
        <v>0</v>
      </c>
      <c r="K16" s="7">
        <v>0</v>
      </c>
      <c r="L16" s="7">
        <v>0</v>
      </c>
      <c r="M16" s="7">
        <v>0</v>
      </c>
    </row>
    <row r="17" spans="1:13" x14ac:dyDescent="0.25">
      <c r="A17" s="5" t="s">
        <v>503</v>
      </c>
      <c r="B17" s="43">
        <v>0</v>
      </c>
      <c r="C17" s="43">
        <v>0</v>
      </c>
      <c r="D17" s="43">
        <v>0</v>
      </c>
      <c r="E17" s="42">
        <f t="shared" si="0"/>
        <v>0</v>
      </c>
      <c r="F17" s="43">
        <v>0</v>
      </c>
      <c r="G17" s="43">
        <v>0</v>
      </c>
      <c r="H17" s="44">
        <v>0</v>
      </c>
      <c r="I17" s="45">
        <f t="shared" si="1"/>
        <v>0</v>
      </c>
      <c r="J17" s="7">
        <v>0</v>
      </c>
      <c r="K17" s="7">
        <v>0</v>
      </c>
      <c r="L17" s="7">
        <v>0</v>
      </c>
      <c r="M17" s="7">
        <v>0</v>
      </c>
    </row>
    <row r="18" spans="1:13" x14ac:dyDescent="0.25">
      <c r="A18" s="5" t="s">
        <v>504</v>
      </c>
      <c r="B18" s="43">
        <v>0</v>
      </c>
      <c r="C18" s="43">
        <v>0</v>
      </c>
      <c r="D18" s="43">
        <v>0</v>
      </c>
      <c r="E18" s="42">
        <f t="shared" si="0"/>
        <v>0</v>
      </c>
      <c r="F18" s="43">
        <v>0</v>
      </c>
      <c r="G18" s="43">
        <v>0</v>
      </c>
      <c r="H18" s="44">
        <v>0</v>
      </c>
      <c r="I18" s="45">
        <f t="shared" si="1"/>
        <v>0</v>
      </c>
      <c r="J18" s="7">
        <v>0</v>
      </c>
      <c r="K18" s="7">
        <v>0</v>
      </c>
      <c r="L18" s="7">
        <v>0</v>
      </c>
      <c r="M18" s="7">
        <v>0</v>
      </c>
    </row>
    <row r="19" spans="1:13" x14ac:dyDescent="0.25">
      <c r="A19" s="5" t="s">
        <v>544</v>
      </c>
      <c r="B19" s="43">
        <v>0</v>
      </c>
      <c r="C19" s="43">
        <v>0</v>
      </c>
      <c r="D19" s="43">
        <v>0</v>
      </c>
      <c r="E19" s="42">
        <f t="shared" si="0"/>
        <v>0</v>
      </c>
      <c r="F19" s="44">
        <v>0</v>
      </c>
      <c r="G19" s="44">
        <v>0</v>
      </c>
      <c r="H19" s="44">
        <v>0</v>
      </c>
      <c r="I19" s="45">
        <f t="shared" si="1"/>
        <v>0</v>
      </c>
      <c r="J19" s="7">
        <v>0</v>
      </c>
      <c r="K19" s="7">
        <v>0</v>
      </c>
      <c r="L19" s="7">
        <v>0</v>
      </c>
      <c r="M19" s="7">
        <v>0</v>
      </c>
    </row>
    <row r="20" spans="1:13" x14ac:dyDescent="0.25">
      <c r="A20" s="5" t="s">
        <v>546</v>
      </c>
      <c r="B20" s="43">
        <v>0</v>
      </c>
      <c r="C20" s="43">
        <v>0</v>
      </c>
      <c r="D20" s="43">
        <v>0</v>
      </c>
      <c r="E20" s="42">
        <f t="shared" si="0"/>
        <v>0</v>
      </c>
      <c r="F20" s="44">
        <v>0</v>
      </c>
      <c r="G20" s="44">
        <v>0</v>
      </c>
      <c r="H20" s="44">
        <v>0</v>
      </c>
      <c r="I20" s="45">
        <f t="shared" si="1"/>
        <v>0</v>
      </c>
      <c r="J20" s="7">
        <v>0</v>
      </c>
      <c r="K20" s="7">
        <v>0</v>
      </c>
      <c r="L20" s="7">
        <v>0</v>
      </c>
      <c r="M20" s="7">
        <v>0</v>
      </c>
    </row>
    <row r="21" spans="1:13" x14ac:dyDescent="0.25">
      <c r="A21" s="5" t="s">
        <v>548</v>
      </c>
      <c r="B21" s="43">
        <v>0</v>
      </c>
      <c r="C21" s="43">
        <v>0</v>
      </c>
      <c r="D21" s="43">
        <v>0</v>
      </c>
      <c r="E21" s="42">
        <f t="shared" si="0"/>
        <v>0</v>
      </c>
      <c r="F21" s="44">
        <v>0</v>
      </c>
      <c r="G21" s="44">
        <v>0</v>
      </c>
      <c r="H21" s="44">
        <v>0</v>
      </c>
      <c r="I21" s="45">
        <f t="shared" si="1"/>
        <v>0</v>
      </c>
      <c r="J21" s="7">
        <v>0</v>
      </c>
      <c r="K21" s="7">
        <v>0</v>
      </c>
      <c r="L21" s="7">
        <v>0</v>
      </c>
      <c r="M21" s="7">
        <v>0</v>
      </c>
    </row>
    <row r="22" spans="1:13" x14ac:dyDescent="0.25">
      <c r="A22" s="5" t="s">
        <v>550</v>
      </c>
      <c r="B22" s="43">
        <v>0</v>
      </c>
      <c r="C22" s="43">
        <v>0</v>
      </c>
      <c r="D22" s="43">
        <v>0</v>
      </c>
      <c r="E22" s="42">
        <f t="shared" si="0"/>
        <v>0</v>
      </c>
      <c r="F22" s="44">
        <v>0</v>
      </c>
      <c r="G22" s="44">
        <v>0</v>
      </c>
      <c r="H22" s="44">
        <v>0</v>
      </c>
      <c r="I22" s="45">
        <f t="shared" si="1"/>
        <v>0</v>
      </c>
      <c r="J22" s="7">
        <v>0</v>
      </c>
      <c r="K22" s="7">
        <v>0</v>
      </c>
      <c r="L22" s="7">
        <v>0</v>
      </c>
      <c r="M22" s="7">
        <v>0</v>
      </c>
    </row>
    <row r="23" spans="1:13" x14ac:dyDescent="0.25">
      <c r="A23" s="5" t="s">
        <v>535</v>
      </c>
      <c r="B23" s="43">
        <v>0</v>
      </c>
      <c r="C23" s="43">
        <v>0</v>
      </c>
      <c r="D23" s="43">
        <v>0</v>
      </c>
      <c r="E23" s="42">
        <f t="shared" si="0"/>
        <v>0</v>
      </c>
      <c r="F23" s="44">
        <v>0</v>
      </c>
      <c r="G23" s="44">
        <v>0</v>
      </c>
      <c r="H23" s="44">
        <v>0</v>
      </c>
      <c r="I23" s="45">
        <f t="shared" si="1"/>
        <v>0</v>
      </c>
      <c r="J23" s="7">
        <v>0</v>
      </c>
      <c r="K23" s="7">
        <v>0</v>
      </c>
      <c r="L23" s="7">
        <v>0</v>
      </c>
      <c r="M23" s="7">
        <v>0</v>
      </c>
    </row>
    <row r="24" spans="1:13" x14ac:dyDescent="0.25">
      <c r="A24" s="5" t="s">
        <v>537</v>
      </c>
      <c r="B24" s="43">
        <v>0</v>
      </c>
      <c r="C24" s="43">
        <v>0</v>
      </c>
      <c r="D24" s="43">
        <v>0</v>
      </c>
      <c r="E24" s="42">
        <f t="shared" si="0"/>
        <v>0</v>
      </c>
      <c r="F24" s="44">
        <v>0</v>
      </c>
      <c r="G24" s="44">
        <v>0</v>
      </c>
      <c r="H24" s="44">
        <v>0</v>
      </c>
      <c r="I24" s="45">
        <f t="shared" si="1"/>
        <v>0</v>
      </c>
      <c r="J24" s="7">
        <v>0</v>
      </c>
      <c r="K24" s="7">
        <v>0</v>
      </c>
      <c r="L24" s="7">
        <v>0</v>
      </c>
      <c r="M24" s="7">
        <v>0</v>
      </c>
    </row>
    <row r="25" spans="1:13" x14ac:dyDescent="0.25">
      <c r="A25" s="57" t="s">
        <v>505</v>
      </c>
      <c r="B25" s="42">
        <f>SUM(B13:B24)</f>
        <v>0</v>
      </c>
      <c r="C25" s="42">
        <f t="shared" ref="C25:D25" si="2">SUM(C13:C24)</f>
        <v>0</v>
      </c>
      <c r="D25" s="42">
        <f t="shared" si="2"/>
        <v>0</v>
      </c>
      <c r="E25" s="42">
        <f t="shared" ref="E25:M25" si="3">SUM(E13:E24)</f>
        <v>0</v>
      </c>
      <c r="F25" s="42">
        <f t="shared" si="3"/>
        <v>0</v>
      </c>
      <c r="G25" s="42">
        <f t="shared" si="3"/>
        <v>0</v>
      </c>
      <c r="H25" s="42">
        <f t="shared" si="3"/>
        <v>0</v>
      </c>
      <c r="I25" s="42">
        <f t="shared" si="3"/>
        <v>0</v>
      </c>
      <c r="J25" s="8">
        <f t="shared" si="3"/>
        <v>0</v>
      </c>
      <c r="K25" s="8">
        <f t="shared" si="3"/>
        <v>0</v>
      </c>
      <c r="L25" s="8">
        <f t="shared" si="3"/>
        <v>0</v>
      </c>
      <c r="M25" s="8">
        <f t="shared" si="3"/>
        <v>0</v>
      </c>
    </row>
    <row r="26" spans="1:13" x14ac:dyDescent="0.25">
      <c r="A26" s="57" t="s">
        <v>494</v>
      </c>
      <c r="B26" s="42">
        <f t="shared" ref="B26:K26" si="4">AVERAGE(B13:B24)</f>
        <v>0</v>
      </c>
      <c r="C26" s="42">
        <f t="shared" si="4"/>
        <v>0</v>
      </c>
      <c r="D26" s="42">
        <f t="shared" si="4"/>
        <v>0</v>
      </c>
      <c r="E26" s="42">
        <f t="shared" si="4"/>
        <v>0</v>
      </c>
      <c r="F26" s="42">
        <f t="shared" si="4"/>
        <v>0</v>
      </c>
      <c r="G26" s="42">
        <f t="shared" si="4"/>
        <v>0</v>
      </c>
      <c r="H26" s="42">
        <f t="shared" si="4"/>
        <v>0</v>
      </c>
      <c r="I26" s="42">
        <f t="shared" si="4"/>
        <v>0</v>
      </c>
      <c r="J26" s="8">
        <f t="shared" si="4"/>
        <v>0</v>
      </c>
      <c r="K26" s="8">
        <f t="shared" si="4"/>
        <v>0</v>
      </c>
      <c r="L26" s="53" t="e">
        <f>K25/L25</f>
        <v>#DIV/0!</v>
      </c>
      <c r="M26" s="53" t="e">
        <f>J25/M25</f>
        <v>#DIV/0!</v>
      </c>
    </row>
    <row r="27" spans="1:13" ht="25.5" x14ac:dyDescent="0.25">
      <c r="A27" s="57" t="s">
        <v>506</v>
      </c>
      <c r="B27" s="42">
        <f>B26+F26</f>
        <v>0</v>
      </c>
      <c r="C27" s="42">
        <f>C26+F26</f>
        <v>0</v>
      </c>
      <c r="D27" s="42">
        <f>D26+F26</f>
        <v>0</v>
      </c>
      <c r="E27" s="42">
        <f>E26+F26</f>
        <v>0</v>
      </c>
      <c r="F27" s="577"/>
      <c r="G27" s="577"/>
      <c r="H27" s="577"/>
      <c r="I27" s="577"/>
      <c r="J27" s="577"/>
      <c r="K27" s="577"/>
      <c r="L27" s="6" t="s">
        <v>507</v>
      </c>
      <c r="M27" s="6" t="s">
        <v>508</v>
      </c>
    </row>
  </sheetData>
  <sheetProtection algorithmName="SHA-512" hashValue="LnZQVHpvEsVD8qFAA4QFi9Eqk9fErqhEPcu5vv4onC/SDPL6H1I2/0ZgQduGP+ZBDQifeqjem/gX4na3c3ccyA==" saltValue="KphswC82asbUXZCRDavHaA==" spinCount="100000" sheet="1" objects="1" scenarios="1"/>
  <mergeCells count="40">
    <mergeCell ref="F27:K27"/>
    <mergeCell ref="H11:H12"/>
    <mergeCell ref="I11:I12"/>
    <mergeCell ref="J11:J12"/>
    <mergeCell ref="K11:K12"/>
    <mergeCell ref="A8:D8"/>
    <mergeCell ref="E8:G8"/>
    <mergeCell ref="H8:J8"/>
    <mergeCell ref="K8:M8"/>
    <mergeCell ref="L11:L12"/>
    <mergeCell ref="M11:M12"/>
    <mergeCell ref="A9:M9"/>
    <mergeCell ref="A10:B10"/>
    <mergeCell ref="C10:D10"/>
    <mergeCell ref="G10:I10"/>
    <mergeCell ref="K10:M10"/>
    <mergeCell ref="A11:A12"/>
    <mergeCell ref="B11:D11"/>
    <mergeCell ref="E11:E12"/>
    <mergeCell ref="F11:F12"/>
    <mergeCell ref="G11:G12"/>
    <mergeCell ref="A6:D6"/>
    <mergeCell ref="E6:G6"/>
    <mergeCell ref="H6:J6"/>
    <mergeCell ref="K6:M6"/>
    <mergeCell ref="A7:D7"/>
    <mergeCell ref="E7:G7"/>
    <mergeCell ref="H7:J7"/>
    <mergeCell ref="K7:M7"/>
    <mergeCell ref="A4:D4"/>
    <mergeCell ref="E4:M4"/>
    <mergeCell ref="A5:D5"/>
    <mergeCell ref="E5:G5"/>
    <mergeCell ref="H5:J5"/>
    <mergeCell ref="K5:M5"/>
    <mergeCell ref="A1:M1"/>
    <mergeCell ref="A2:D2"/>
    <mergeCell ref="E2:M2"/>
    <mergeCell ref="A3:D3"/>
    <mergeCell ref="E3:M3"/>
  </mergeCells>
  <pageMargins left="0.7" right="0.7" top="0.75" bottom="0.75" header="0.3" footer="0.3"/>
  <pageSetup paperSize="9" orientation="portrait" horizontalDpi="4294967295" verticalDpi="4294967295"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E00-000000000000}">
          <x14:formula1>
            <xm:f>Banking!$S$2:$S$13</xm:f>
          </x14:formula1>
          <xm:sqref>A13:A24</xm:sqref>
        </x14:dataValidation>
        <x14:dataValidation type="list" allowBlank="1" showInputMessage="1" showErrorMessage="1" xr:uid="{00000000-0002-0000-0E00-000001000000}">
          <x14:formula1>
            <xm:f>Banking!$T$2:$T$13</xm:f>
          </x14:formula1>
          <xm:sqref>K10:M10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1"/>
  <dimension ref="A1:XEZ162"/>
  <sheetViews>
    <sheetView zoomScale="80" zoomScaleNormal="80" workbookViewId="0">
      <pane xSplit="1" ySplit="1" topLeftCell="B2" activePane="bottomRight" state="frozen"/>
      <selection activeCell="B3" sqref="B3"/>
      <selection pane="topRight" activeCell="B3" sqref="B3"/>
      <selection pane="bottomLeft" activeCell="B3" sqref="B3"/>
      <selection pane="bottomRight" activeCell="H1" sqref="H1"/>
    </sheetView>
  </sheetViews>
  <sheetFormatPr defaultColWidth="0" defaultRowHeight="15" zeroHeight="1" x14ac:dyDescent="0.25"/>
  <cols>
    <col min="1" max="1" width="6.42578125" style="13" bestFit="1" customWidth="1"/>
    <col min="2" max="2" width="32" style="13" customWidth="1"/>
    <col min="3" max="3" width="23.28515625" style="13" customWidth="1"/>
    <col min="4" max="4" width="13.85546875" style="13" customWidth="1"/>
    <col min="5" max="5" width="13.7109375" style="13" customWidth="1"/>
    <col min="6" max="6" width="19.7109375" style="13" customWidth="1"/>
    <col min="7" max="7" width="6.5703125" style="13" bestFit="1" customWidth="1"/>
    <col min="8" max="8" width="7.5703125" style="13" customWidth="1"/>
    <col min="9" max="9" width="21" style="13" customWidth="1"/>
    <col min="10" max="10" width="20.140625" style="13" customWidth="1"/>
    <col min="11" max="12" width="13.85546875" style="13" customWidth="1"/>
    <col min="13" max="14" width="9.85546875" style="13" bestFit="1" customWidth="1"/>
    <col min="15" max="15" width="21.5703125" style="13" customWidth="1"/>
    <col min="16" max="16" width="13.85546875" style="13" customWidth="1"/>
    <col min="17" max="17" width="7.42578125" style="13" bestFit="1" customWidth="1"/>
    <col min="18" max="22" width="8" style="13" bestFit="1" customWidth="1"/>
    <col min="23" max="23" width="11.28515625" style="13" hidden="1"/>
    <col min="24" max="25" width="27.5703125" style="13" hidden="1"/>
    <col min="26" max="26" width="17.7109375" style="13" hidden="1"/>
    <col min="27" max="27" width="13" style="13" hidden="1"/>
    <col min="28" max="28" width="17.140625" style="13" hidden="1"/>
    <col min="29" max="16380" width="9.140625" style="13" hidden="1"/>
    <col min="16381" max="16384" width="4.140625" style="13" hidden="1"/>
  </cols>
  <sheetData>
    <row r="1" spans="1:32" ht="41.25" customHeight="1" x14ac:dyDescent="0.25">
      <c r="A1" s="78" t="s">
        <v>527</v>
      </c>
      <c r="B1" s="78" t="s">
        <v>528</v>
      </c>
      <c r="C1" s="78" t="s">
        <v>728</v>
      </c>
      <c r="D1" s="78" t="s">
        <v>578</v>
      </c>
      <c r="E1" s="78" t="s">
        <v>529</v>
      </c>
      <c r="F1" s="78" t="s">
        <v>13</v>
      </c>
      <c r="G1" s="78" t="s">
        <v>531</v>
      </c>
      <c r="H1" s="61" t="s">
        <v>2</v>
      </c>
      <c r="I1" s="78" t="s">
        <v>12</v>
      </c>
      <c r="J1" s="78" t="s">
        <v>851</v>
      </c>
      <c r="K1" s="60" t="s">
        <v>530</v>
      </c>
      <c r="L1" s="60" t="s">
        <v>881</v>
      </c>
      <c r="M1" s="60" t="s">
        <v>532</v>
      </c>
      <c r="N1" s="60" t="s">
        <v>533</v>
      </c>
      <c r="O1" s="78" t="s">
        <v>534</v>
      </c>
      <c r="P1" s="78" t="s">
        <v>729</v>
      </c>
      <c r="Q1" s="354">
        <f t="shared" ref="Q1:T1" si="0">EDATE(R1,-1)</f>
        <v>44105</v>
      </c>
      <c r="R1" s="354">
        <f t="shared" si="0"/>
        <v>44136</v>
      </c>
      <c r="S1" s="354">
        <f t="shared" si="0"/>
        <v>44166</v>
      </c>
      <c r="T1" s="354">
        <f t="shared" si="0"/>
        <v>44197</v>
      </c>
      <c r="U1" s="354">
        <f>EDATE(V1,-1)</f>
        <v>44228</v>
      </c>
      <c r="V1" s="354">
        <v>44256</v>
      </c>
    </row>
    <row r="2" spans="1:32" x14ac:dyDescent="0.25">
      <c r="A2" s="68">
        <v>1</v>
      </c>
      <c r="B2" s="269"/>
      <c r="C2" s="269"/>
      <c r="D2" s="269"/>
      <c r="E2" s="269"/>
      <c r="F2" s="49"/>
      <c r="G2" s="269"/>
      <c r="H2" s="355"/>
      <c r="I2" s="49">
        <f>IFERROR(-PMT((H2/100)/12,G2,F2),0)</f>
        <v>0</v>
      </c>
      <c r="J2" s="70"/>
      <c r="K2" s="353"/>
      <c r="L2" s="85" t="str">
        <f>IF(K2=0,"","FY - "&amp;YEAR(K2)+(MONTH(K2)&gt;=4))</f>
        <v/>
      </c>
      <c r="M2" s="269" t="str">
        <f ca="1">IF(K2&lt;&gt;0,DATEDIF(K2,TODAY(),"M"),"")</f>
        <v/>
      </c>
      <c r="N2" s="269" t="str">
        <f ca="1">IFERROR(IF(AND(K2&lt;&gt;"",G2&lt;&gt;""),DATEDIF(TODAY(),EDATE(K2,G2),"M"),""),"")</f>
        <v/>
      </c>
      <c r="O2" s="269"/>
      <c r="P2" s="269"/>
      <c r="Q2" s="269"/>
      <c r="R2" s="269"/>
      <c r="S2" s="269"/>
      <c r="T2" s="269"/>
      <c r="U2" s="269"/>
      <c r="V2" s="269"/>
      <c r="Y2" s="13" t="s">
        <v>535</v>
      </c>
      <c r="Z2" s="13" t="s">
        <v>536</v>
      </c>
      <c r="AA2" s="13" t="s">
        <v>696</v>
      </c>
      <c r="AD2" s="13" t="s">
        <v>693</v>
      </c>
      <c r="AE2" s="13" t="s">
        <v>848</v>
      </c>
    </row>
    <row r="3" spans="1:32" x14ac:dyDescent="0.25">
      <c r="A3" s="68">
        <v>2</v>
      </c>
      <c r="B3" s="269"/>
      <c r="C3" s="269"/>
      <c r="D3" s="269"/>
      <c r="E3" s="269"/>
      <c r="F3" s="49"/>
      <c r="G3" s="269"/>
      <c r="H3" s="355"/>
      <c r="I3" s="49">
        <f t="shared" ref="I3:I51" si="1">IFERROR(-PMT((H3/100)/12,G3,F3),0)</f>
        <v>0</v>
      </c>
      <c r="J3" s="70"/>
      <c r="K3" s="353"/>
      <c r="L3" s="85" t="str">
        <f>IF(K3=0,"","FY - "&amp;YEAR(K3)+(MONTH(K3)&gt;=4))</f>
        <v/>
      </c>
      <c r="M3" s="269" t="str">
        <f t="shared" ref="M3:M51" ca="1" si="2">IF(K3&lt;&gt;0,DATEDIF(K3,TODAY(),"M"),"")</f>
        <v/>
      </c>
      <c r="N3" s="269" t="str">
        <f t="shared" ref="N3:N51" ca="1" si="3">IFERROR(IF(AND(K3&lt;&gt;"",G3&lt;&gt;""),DATEDIF(TODAY(),EDATE(K3,G3),"M"),""),"")</f>
        <v/>
      </c>
      <c r="O3" s="269" t="str">
        <f t="shared" ref="O3:O6" ca="1" si="4">IFERROR(IF(AND(K3&lt;&gt;"",G3&lt;&gt;""),DATEDIF(TODAY(),EDATE(K3,G3),"M"),""),"")</f>
        <v/>
      </c>
      <c r="P3" s="269"/>
      <c r="Q3" s="269"/>
      <c r="R3" s="269"/>
      <c r="S3" s="269"/>
      <c r="T3" s="269"/>
      <c r="U3" s="269"/>
      <c r="V3" s="269"/>
      <c r="Y3" s="13" t="s">
        <v>537</v>
      </c>
      <c r="Z3" s="13" t="s">
        <v>538</v>
      </c>
      <c r="AA3" s="13" t="s">
        <v>695</v>
      </c>
      <c r="AD3" s="65" t="str">
        <f>Banking!J10</f>
        <v>-</v>
      </c>
      <c r="AE3" s="66" t="str">
        <f>Banking!H10</f>
        <v>-</v>
      </c>
      <c r="AF3" s="13" t="str">
        <f>AD3&amp;" - "&amp;AE3</f>
        <v>- - -</v>
      </c>
    </row>
    <row r="4" spans="1:32" x14ac:dyDescent="0.25">
      <c r="A4" s="68">
        <v>3</v>
      </c>
      <c r="B4" s="269"/>
      <c r="C4" s="269"/>
      <c r="D4" s="269"/>
      <c r="E4" s="269"/>
      <c r="F4" s="49"/>
      <c r="G4" s="269"/>
      <c r="H4" s="355"/>
      <c r="I4" s="49">
        <f t="shared" si="1"/>
        <v>0</v>
      </c>
      <c r="J4" s="70"/>
      <c r="K4" s="353"/>
      <c r="L4" s="85" t="str">
        <f t="shared" ref="L4:L51" si="5">IF(K4=0,"","FY - "&amp;YEAR(K4)+(MONTH(K4)&gt;=4))</f>
        <v/>
      </c>
      <c r="M4" s="269" t="str">
        <f t="shared" ca="1" si="2"/>
        <v/>
      </c>
      <c r="N4" s="269" t="str">
        <f t="shared" ca="1" si="3"/>
        <v/>
      </c>
      <c r="O4" s="269" t="str">
        <f t="shared" ca="1" si="4"/>
        <v/>
      </c>
      <c r="P4" s="269"/>
      <c r="Q4" s="269"/>
      <c r="R4" s="269"/>
      <c r="S4" s="269"/>
      <c r="T4" s="269"/>
      <c r="U4" s="269"/>
      <c r="V4" s="269"/>
      <c r="Y4" s="13" t="s">
        <v>513</v>
      </c>
      <c r="Z4" s="13" t="s">
        <v>539</v>
      </c>
      <c r="AA4" s="13" t="s">
        <v>706</v>
      </c>
      <c r="AD4" s="65" t="str">
        <f>Banking!J23</f>
        <v>-</v>
      </c>
      <c r="AE4" s="66" t="str">
        <f>Banking!H23</f>
        <v>-</v>
      </c>
      <c r="AF4" s="13" t="str">
        <f t="shared" ref="AF4:AF22" si="6">AD4&amp;" - "&amp;AE4</f>
        <v>- - -</v>
      </c>
    </row>
    <row r="5" spans="1:32" x14ac:dyDescent="0.25">
      <c r="A5" s="68">
        <v>4</v>
      </c>
      <c r="B5" s="269"/>
      <c r="C5" s="269"/>
      <c r="D5" s="269"/>
      <c r="E5" s="269"/>
      <c r="F5" s="49"/>
      <c r="G5" s="269"/>
      <c r="H5" s="355"/>
      <c r="I5" s="49">
        <f t="shared" si="1"/>
        <v>0</v>
      </c>
      <c r="J5" s="70"/>
      <c r="K5" s="353"/>
      <c r="L5" s="85" t="str">
        <f t="shared" si="5"/>
        <v/>
      </c>
      <c r="M5" s="269" t="str">
        <f t="shared" ca="1" si="2"/>
        <v/>
      </c>
      <c r="N5" s="269" t="str">
        <f t="shared" ca="1" si="3"/>
        <v/>
      </c>
      <c r="O5" s="269" t="str">
        <f t="shared" ca="1" si="4"/>
        <v/>
      </c>
      <c r="P5" s="269"/>
      <c r="Q5" s="269"/>
      <c r="R5" s="269"/>
      <c r="S5" s="269"/>
      <c r="T5" s="269"/>
      <c r="U5" s="269"/>
      <c r="V5" s="269"/>
      <c r="Y5" s="13" t="s">
        <v>514</v>
      </c>
      <c r="Z5" s="13" t="s">
        <v>540</v>
      </c>
      <c r="AA5" s="13" t="s">
        <v>702</v>
      </c>
      <c r="AD5" s="65" t="str">
        <f>Banking!J36</f>
        <v>-</v>
      </c>
      <c r="AE5" s="66" t="str">
        <f>Banking!H36</f>
        <v>-</v>
      </c>
      <c r="AF5" s="13" t="str">
        <f t="shared" si="6"/>
        <v>- - -</v>
      </c>
    </row>
    <row r="6" spans="1:32" x14ac:dyDescent="0.25">
      <c r="A6" s="68">
        <v>5</v>
      </c>
      <c r="B6" s="269"/>
      <c r="C6" s="269"/>
      <c r="D6" s="269"/>
      <c r="E6" s="269"/>
      <c r="F6" s="49"/>
      <c r="G6" s="269"/>
      <c r="H6" s="355"/>
      <c r="I6" s="49">
        <f t="shared" si="1"/>
        <v>0</v>
      </c>
      <c r="J6" s="70"/>
      <c r="K6" s="353"/>
      <c r="L6" s="85" t="str">
        <f t="shared" si="5"/>
        <v/>
      </c>
      <c r="M6" s="269" t="str">
        <f t="shared" ca="1" si="2"/>
        <v/>
      </c>
      <c r="N6" s="269" t="str">
        <f t="shared" ca="1" si="3"/>
        <v/>
      </c>
      <c r="O6" s="269" t="str">
        <f t="shared" ca="1" si="4"/>
        <v/>
      </c>
      <c r="P6" s="269"/>
      <c r="Q6" s="269"/>
      <c r="R6" s="269"/>
      <c r="S6" s="269"/>
      <c r="T6" s="269"/>
      <c r="U6" s="269"/>
      <c r="V6" s="269"/>
      <c r="Y6" s="13" t="s">
        <v>515</v>
      </c>
      <c r="Z6" s="13" t="s">
        <v>541</v>
      </c>
      <c r="AA6" s="13" t="s">
        <v>703</v>
      </c>
      <c r="AD6" s="65" t="str">
        <f>Banking!J49</f>
        <v>-</v>
      </c>
      <c r="AE6" s="66" t="str">
        <f>Banking!H49</f>
        <v>-</v>
      </c>
      <c r="AF6" s="13" t="str">
        <f t="shared" si="6"/>
        <v>- - -</v>
      </c>
    </row>
    <row r="7" spans="1:32" x14ac:dyDescent="0.25">
      <c r="A7" s="68">
        <v>6</v>
      </c>
      <c r="B7" s="269"/>
      <c r="C7" s="269"/>
      <c r="D7" s="269"/>
      <c r="E7" s="269"/>
      <c r="F7" s="49"/>
      <c r="G7" s="269"/>
      <c r="H7" s="355"/>
      <c r="I7" s="49">
        <f t="shared" si="1"/>
        <v>0</v>
      </c>
      <c r="J7" s="70"/>
      <c r="K7" s="353"/>
      <c r="L7" s="85" t="str">
        <f t="shared" si="5"/>
        <v/>
      </c>
      <c r="M7" s="269" t="str">
        <f t="shared" ca="1" si="2"/>
        <v/>
      </c>
      <c r="N7" s="269" t="str">
        <f t="shared" ca="1" si="3"/>
        <v/>
      </c>
      <c r="O7" s="269"/>
      <c r="P7" s="269"/>
      <c r="Q7" s="269"/>
      <c r="R7" s="269"/>
      <c r="S7" s="269"/>
      <c r="T7" s="269"/>
      <c r="U7" s="269"/>
      <c r="V7" s="269"/>
      <c r="Y7" s="13" t="s">
        <v>502</v>
      </c>
      <c r="Z7" s="13" t="s">
        <v>491</v>
      </c>
      <c r="AA7" s="13" t="s">
        <v>698</v>
      </c>
      <c r="AD7" s="65" t="str">
        <f>Banking!J62</f>
        <v>-</v>
      </c>
      <c r="AE7" s="66" t="str">
        <f>Banking!H62</f>
        <v>-</v>
      </c>
      <c r="AF7" s="13" t="str">
        <f t="shared" si="6"/>
        <v>- - -</v>
      </c>
    </row>
    <row r="8" spans="1:32" x14ac:dyDescent="0.25">
      <c r="A8" s="68">
        <v>7</v>
      </c>
      <c r="B8" s="269"/>
      <c r="C8" s="269"/>
      <c r="D8" s="269"/>
      <c r="E8" s="269"/>
      <c r="F8" s="49"/>
      <c r="G8" s="269"/>
      <c r="H8" s="355"/>
      <c r="I8" s="49">
        <f t="shared" si="1"/>
        <v>0</v>
      </c>
      <c r="J8" s="70"/>
      <c r="K8" s="353"/>
      <c r="L8" s="85" t="str">
        <f t="shared" si="5"/>
        <v/>
      </c>
      <c r="M8" s="269" t="str">
        <f t="shared" ca="1" si="2"/>
        <v/>
      </c>
      <c r="N8" s="269" t="str">
        <f t="shared" ca="1" si="3"/>
        <v/>
      </c>
      <c r="O8" s="269"/>
      <c r="P8" s="269"/>
      <c r="Q8" s="269"/>
      <c r="R8" s="269"/>
      <c r="S8" s="269"/>
      <c r="T8" s="269"/>
      <c r="U8" s="269"/>
      <c r="V8" s="269"/>
      <c r="Y8" s="13" t="s">
        <v>503</v>
      </c>
      <c r="Z8" s="13" t="s">
        <v>542</v>
      </c>
      <c r="AA8" s="13" t="s">
        <v>699</v>
      </c>
      <c r="AD8" s="65" t="str">
        <f>Banking!J75</f>
        <v>-</v>
      </c>
      <c r="AE8" s="66" t="str">
        <f>Banking!H75</f>
        <v>-</v>
      </c>
      <c r="AF8" s="13" t="str">
        <f t="shared" si="6"/>
        <v>- - -</v>
      </c>
    </row>
    <row r="9" spans="1:32" x14ac:dyDescent="0.25">
      <c r="A9" s="68">
        <v>8</v>
      </c>
      <c r="B9" s="269"/>
      <c r="C9" s="269"/>
      <c r="D9" s="269"/>
      <c r="E9" s="269"/>
      <c r="F9" s="49"/>
      <c r="G9" s="269"/>
      <c r="H9" s="355"/>
      <c r="I9" s="49">
        <f t="shared" si="1"/>
        <v>0</v>
      </c>
      <c r="J9" s="70"/>
      <c r="K9" s="353"/>
      <c r="L9" s="85" t="str">
        <f t="shared" si="5"/>
        <v/>
      </c>
      <c r="M9" s="269" t="str">
        <f t="shared" ca="1" si="2"/>
        <v/>
      </c>
      <c r="N9" s="269" t="str">
        <f t="shared" ca="1" si="3"/>
        <v/>
      </c>
      <c r="O9" s="269"/>
      <c r="P9" s="269"/>
      <c r="Q9" s="269"/>
      <c r="R9" s="269"/>
      <c r="S9" s="269"/>
      <c r="T9" s="269"/>
      <c r="U9" s="269"/>
      <c r="V9" s="269"/>
      <c r="Y9" s="13" t="s">
        <v>504</v>
      </c>
      <c r="Z9" s="13" t="s">
        <v>543</v>
      </c>
      <c r="AA9" s="13" t="s">
        <v>697</v>
      </c>
      <c r="AD9" s="65" t="str">
        <f>Banking!J88</f>
        <v>-</v>
      </c>
      <c r="AE9" s="66" t="str">
        <f>Banking!H88</f>
        <v>-</v>
      </c>
      <c r="AF9" s="13" t="str">
        <f t="shared" si="6"/>
        <v>- - -</v>
      </c>
    </row>
    <row r="10" spans="1:32" x14ac:dyDescent="0.25">
      <c r="A10" s="68">
        <v>9</v>
      </c>
      <c r="B10" s="269"/>
      <c r="C10" s="269"/>
      <c r="D10" s="269"/>
      <c r="E10" s="269"/>
      <c r="F10" s="49"/>
      <c r="G10" s="269"/>
      <c r="H10" s="355"/>
      <c r="I10" s="49">
        <f t="shared" si="1"/>
        <v>0</v>
      </c>
      <c r="J10" s="70"/>
      <c r="K10" s="353"/>
      <c r="L10" s="85" t="str">
        <f t="shared" si="5"/>
        <v/>
      </c>
      <c r="M10" s="269" t="str">
        <f t="shared" ca="1" si="2"/>
        <v/>
      </c>
      <c r="N10" s="269" t="str">
        <f t="shared" ca="1" si="3"/>
        <v/>
      </c>
      <c r="O10" s="269"/>
      <c r="P10" s="269"/>
      <c r="Q10" s="269"/>
      <c r="R10" s="269"/>
      <c r="S10" s="269"/>
      <c r="T10" s="269"/>
      <c r="U10" s="269"/>
      <c r="V10" s="269"/>
      <c r="Y10" s="13" t="s">
        <v>544</v>
      </c>
      <c r="Z10" s="13" t="s">
        <v>545</v>
      </c>
      <c r="AA10" s="13" t="s">
        <v>701</v>
      </c>
      <c r="AD10" s="65" t="str">
        <f>Banking!J101</f>
        <v>-</v>
      </c>
      <c r="AE10" s="66" t="str">
        <f>Banking!H101</f>
        <v>-</v>
      </c>
      <c r="AF10" s="13" t="str">
        <f t="shared" si="6"/>
        <v>- - -</v>
      </c>
    </row>
    <row r="11" spans="1:32" x14ac:dyDescent="0.25">
      <c r="A11" s="68">
        <v>10</v>
      </c>
      <c r="B11" s="269"/>
      <c r="C11" s="269"/>
      <c r="D11" s="269"/>
      <c r="E11" s="269"/>
      <c r="F11" s="49"/>
      <c r="G11" s="269"/>
      <c r="H11" s="355"/>
      <c r="I11" s="49">
        <f t="shared" si="1"/>
        <v>0</v>
      </c>
      <c r="J11" s="70"/>
      <c r="K11" s="353"/>
      <c r="L11" s="85" t="str">
        <f t="shared" si="5"/>
        <v/>
      </c>
      <c r="M11" s="269" t="str">
        <f t="shared" ca="1" si="2"/>
        <v/>
      </c>
      <c r="N11" s="269" t="str">
        <f t="shared" ca="1" si="3"/>
        <v/>
      </c>
      <c r="O11" s="269"/>
      <c r="P11" s="269"/>
      <c r="Q11" s="269"/>
      <c r="R11" s="269"/>
      <c r="S11" s="269"/>
      <c r="T11" s="269"/>
      <c r="U11" s="269"/>
      <c r="V11" s="269"/>
      <c r="Y11" s="13" t="s">
        <v>546</v>
      </c>
      <c r="Z11" s="13" t="s">
        <v>547</v>
      </c>
      <c r="AA11" s="13" t="s">
        <v>707</v>
      </c>
      <c r="AD11" s="65" t="str">
        <f>Banking!J114</f>
        <v>-</v>
      </c>
      <c r="AE11" s="66" t="str">
        <f>Banking!H114</f>
        <v>-</v>
      </c>
      <c r="AF11" s="13" t="str">
        <f t="shared" si="6"/>
        <v>- - -</v>
      </c>
    </row>
    <row r="12" spans="1:32" x14ac:dyDescent="0.25">
      <c r="A12" s="68">
        <v>11</v>
      </c>
      <c r="B12" s="269"/>
      <c r="C12" s="269"/>
      <c r="D12" s="269"/>
      <c r="E12" s="269"/>
      <c r="F12" s="49"/>
      <c r="G12" s="269"/>
      <c r="H12" s="355"/>
      <c r="I12" s="49">
        <f t="shared" si="1"/>
        <v>0</v>
      </c>
      <c r="J12" s="70"/>
      <c r="K12" s="353"/>
      <c r="L12" s="85" t="str">
        <f t="shared" si="5"/>
        <v/>
      </c>
      <c r="M12" s="269" t="str">
        <f t="shared" ca="1" si="2"/>
        <v/>
      </c>
      <c r="N12" s="269" t="str">
        <f t="shared" ca="1" si="3"/>
        <v/>
      </c>
      <c r="O12" s="269"/>
      <c r="P12" s="269"/>
      <c r="Q12" s="269"/>
      <c r="R12" s="269"/>
      <c r="S12" s="269"/>
      <c r="T12" s="269"/>
      <c r="U12" s="269"/>
      <c r="V12" s="269"/>
      <c r="Y12" s="13" t="s">
        <v>548</v>
      </c>
      <c r="Z12" s="13" t="s">
        <v>549</v>
      </c>
      <c r="AA12" s="13" t="s">
        <v>705</v>
      </c>
      <c r="AD12" s="65" t="str">
        <f>Banking!J127</f>
        <v>-</v>
      </c>
      <c r="AE12" s="66" t="str">
        <f>Banking!H127</f>
        <v>-</v>
      </c>
      <c r="AF12" s="13" t="str">
        <f t="shared" si="6"/>
        <v>- - -</v>
      </c>
    </row>
    <row r="13" spans="1:32" x14ac:dyDescent="0.25">
      <c r="A13" s="68">
        <v>12</v>
      </c>
      <c r="B13" s="269"/>
      <c r="C13" s="269"/>
      <c r="D13" s="269"/>
      <c r="E13" s="269"/>
      <c r="F13" s="49"/>
      <c r="G13" s="269"/>
      <c r="H13" s="355"/>
      <c r="I13" s="49">
        <f t="shared" si="1"/>
        <v>0</v>
      </c>
      <c r="J13" s="70"/>
      <c r="K13" s="353"/>
      <c r="L13" s="85" t="str">
        <f t="shared" si="5"/>
        <v/>
      </c>
      <c r="M13" s="269" t="str">
        <f t="shared" ca="1" si="2"/>
        <v/>
      </c>
      <c r="N13" s="269" t="str">
        <f t="shared" ca="1" si="3"/>
        <v/>
      </c>
      <c r="O13" s="269"/>
      <c r="P13" s="269"/>
      <c r="Q13" s="269"/>
      <c r="R13" s="269"/>
      <c r="S13" s="269"/>
      <c r="T13" s="269"/>
      <c r="U13" s="269"/>
      <c r="V13" s="269"/>
      <c r="Y13" s="13" t="s">
        <v>550</v>
      </c>
      <c r="Z13" s="13" t="s">
        <v>551</v>
      </c>
      <c r="AA13" s="13" t="s">
        <v>694</v>
      </c>
      <c r="AD13" s="65" t="str">
        <f>Banking!J140</f>
        <v>-</v>
      </c>
      <c r="AE13" s="66" t="str">
        <f>Banking!H140</f>
        <v>-</v>
      </c>
      <c r="AF13" s="13" t="str">
        <f t="shared" si="6"/>
        <v>- - -</v>
      </c>
    </row>
    <row r="14" spans="1:32" x14ac:dyDescent="0.25">
      <c r="A14" s="68">
        <v>13</v>
      </c>
      <c r="B14" s="269"/>
      <c r="C14" s="269"/>
      <c r="D14" s="269"/>
      <c r="E14" s="269"/>
      <c r="F14" s="49"/>
      <c r="G14" s="269"/>
      <c r="H14" s="355"/>
      <c r="I14" s="49">
        <f t="shared" si="1"/>
        <v>0</v>
      </c>
      <c r="J14" s="70"/>
      <c r="K14" s="353"/>
      <c r="L14" s="85" t="str">
        <f t="shared" si="5"/>
        <v/>
      </c>
      <c r="M14" s="269" t="str">
        <f t="shared" ca="1" si="2"/>
        <v/>
      </c>
      <c r="N14" s="269" t="str">
        <f t="shared" ca="1" si="3"/>
        <v/>
      </c>
      <c r="O14" s="269"/>
      <c r="P14" s="269"/>
      <c r="Q14" s="269"/>
      <c r="R14" s="269"/>
      <c r="S14" s="269"/>
      <c r="T14" s="269"/>
      <c r="U14" s="269"/>
      <c r="V14" s="269"/>
      <c r="AA14" s="13" t="s">
        <v>704</v>
      </c>
      <c r="AD14" s="65" t="str">
        <f>Banking!J153</f>
        <v>-</v>
      </c>
      <c r="AE14" s="66" t="str">
        <f>Banking!H153</f>
        <v>-</v>
      </c>
      <c r="AF14" s="13" t="str">
        <f t="shared" si="6"/>
        <v>- - -</v>
      </c>
    </row>
    <row r="15" spans="1:32" x14ac:dyDescent="0.25">
      <c r="A15" s="68">
        <v>14</v>
      </c>
      <c r="B15" s="269"/>
      <c r="C15" s="269"/>
      <c r="D15" s="269"/>
      <c r="E15" s="269"/>
      <c r="F15" s="49"/>
      <c r="G15" s="269"/>
      <c r="H15" s="355"/>
      <c r="I15" s="49">
        <f t="shared" si="1"/>
        <v>0</v>
      </c>
      <c r="J15" s="70"/>
      <c r="K15" s="353"/>
      <c r="L15" s="85" t="str">
        <f t="shared" si="5"/>
        <v/>
      </c>
      <c r="M15" s="269" t="str">
        <f t="shared" ca="1" si="2"/>
        <v/>
      </c>
      <c r="N15" s="269" t="str">
        <f t="shared" ca="1" si="3"/>
        <v/>
      </c>
      <c r="O15" s="269"/>
      <c r="P15" s="269"/>
      <c r="Q15" s="269"/>
      <c r="R15" s="269"/>
      <c r="S15" s="269"/>
      <c r="T15" s="269"/>
      <c r="U15" s="269"/>
      <c r="V15" s="269"/>
      <c r="AA15" s="13" t="s">
        <v>700</v>
      </c>
      <c r="AD15" s="65" t="str">
        <f>Banking!J166</f>
        <v>-</v>
      </c>
      <c r="AE15" s="66" t="str">
        <f>Banking!H166</f>
        <v>-</v>
      </c>
      <c r="AF15" s="13" t="str">
        <f t="shared" si="6"/>
        <v>- - -</v>
      </c>
    </row>
    <row r="16" spans="1:32" x14ac:dyDescent="0.25">
      <c r="A16" s="68">
        <v>15</v>
      </c>
      <c r="B16" s="269"/>
      <c r="C16" s="269"/>
      <c r="D16" s="269"/>
      <c r="E16" s="269"/>
      <c r="F16" s="49"/>
      <c r="G16" s="269"/>
      <c r="H16" s="355"/>
      <c r="I16" s="49">
        <f t="shared" si="1"/>
        <v>0</v>
      </c>
      <c r="J16" s="70"/>
      <c r="K16" s="353"/>
      <c r="L16" s="85" t="str">
        <f t="shared" si="5"/>
        <v/>
      </c>
      <c r="M16" s="269" t="str">
        <f t="shared" ca="1" si="2"/>
        <v/>
      </c>
      <c r="N16" s="269" t="str">
        <f t="shared" ca="1" si="3"/>
        <v/>
      </c>
      <c r="O16" s="269"/>
      <c r="P16" s="269"/>
      <c r="Q16" s="269"/>
      <c r="R16" s="269"/>
      <c r="S16" s="269"/>
      <c r="T16" s="269"/>
      <c r="U16" s="269"/>
      <c r="V16" s="269"/>
      <c r="AD16" s="65" t="str">
        <f>Banking!J179</f>
        <v>-</v>
      </c>
      <c r="AE16" s="66" t="str">
        <f>Banking!H179</f>
        <v>-</v>
      </c>
      <c r="AF16" s="13" t="str">
        <f t="shared" si="6"/>
        <v>- - -</v>
      </c>
    </row>
    <row r="17" spans="1:32" x14ac:dyDescent="0.25">
      <c r="A17" s="68">
        <v>16</v>
      </c>
      <c r="B17" s="269"/>
      <c r="C17" s="269"/>
      <c r="D17" s="269"/>
      <c r="E17" s="269"/>
      <c r="F17" s="49"/>
      <c r="G17" s="269"/>
      <c r="H17" s="355"/>
      <c r="I17" s="49">
        <f t="shared" si="1"/>
        <v>0</v>
      </c>
      <c r="J17" s="70"/>
      <c r="K17" s="353"/>
      <c r="L17" s="85" t="str">
        <f t="shared" si="5"/>
        <v/>
      </c>
      <c r="M17" s="269" t="str">
        <f t="shared" ca="1" si="2"/>
        <v/>
      </c>
      <c r="N17" s="269" t="str">
        <f t="shared" ca="1" si="3"/>
        <v/>
      </c>
      <c r="O17" s="269"/>
      <c r="P17" s="269"/>
      <c r="Q17" s="269"/>
      <c r="R17" s="269"/>
      <c r="S17" s="269"/>
      <c r="T17" s="269"/>
      <c r="U17" s="269"/>
      <c r="V17" s="269"/>
      <c r="AD17" s="65" t="str">
        <f>Banking!J192</f>
        <v>-</v>
      </c>
      <c r="AE17" s="66" t="str">
        <f>Banking!H192</f>
        <v>-</v>
      </c>
      <c r="AF17" s="13" t="str">
        <f t="shared" si="6"/>
        <v>- - -</v>
      </c>
    </row>
    <row r="18" spans="1:32" x14ac:dyDescent="0.25">
      <c r="A18" s="68">
        <v>17</v>
      </c>
      <c r="B18" s="269"/>
      <c r="C18" s="269"/>
      <c r="D18" s="269"/>
      <c r="E18" s="269"/>
      <c r="F18" s="49"/>
      <c r="G18" s="269"/>
      <c r="H18" s="355"/>
      <c r="I18" s="49">
        <f t="shared" si="1"/>
        <v>0</v>
      </c>
      <c r="J18" s="70"/>
      <c r="K18" s="353"/>
      <c r="L18" s="85" t="str">
        <f t="shared" si="5"/>
        <v/>
      </c>
      <c r="M18" s="269" t="str">
        <f t="shared" ca="1" si="2"/>
        <v/>
      </c>
      <c r="N18" s="269" t="str">
        <f t="shared" ca="1" si="3"/>
        <v/>
      </c>
      <c r="O18" s="269"/>
      <c r="P18" s="269"/>
      <c r="Q18" s="269"/>
      <c r="R18" s="269"/>
      <c r="S18" s="269"/>
      <c r="T18" s="269"/>
      <c r="U18" s="269"/>
      <c r="V18" s="269"/>
      <c r="AD18" s="65" t="str">
        <f>Banking!J205</f>
        <v>-</v>
      </c>
      <c r="AE18" s="66" t="str">
        <f>Banking!H205</f>
        <v>-</v>
      </c>
      <c r="AF18" s="13" t="str">
        <f t="shared" si="6"/>
        <v>- - -</v>
      </c>
    </row>
    <row r="19" spans="1:32" x14ac:dyDescent="0.25">
      <c r="A19" s="68">
        <v>18</v>
      </c>
      <c r="B19" s="269"/>
      <c r="C19" s="269"/>
      <c r="D19" s="269"/>
      <c r="E19" s="269"/>
      <c r="F19" s="49"/>
      <c r="G19" s="269"/>
      <c r="H19" s="355"/>
      <c r="I19" s="49">
        <f t="shared" si="1"/>
        <v>0</v>
      </c>
      <c r="J19" s="70"/>
      <c r="K19" s="353"/>
      <c r="L19" s="85" t="str">
        <f t="shared" si="5"/>
        <v/>
      </c>
      <c r="M19" s="269" t="str">
        <f t="shared" ca="1" si="2"/>
        <v/>
      </c>
      <c r="N19" s="269" t="str">
        <f t="shared" ca="1" si="3"/>
        <v/>
      </c>
      <c r="O19" s="269"/>
      <c r="P19" s="269"/>
      <c r="Q19" s="269"/>
      <c r="R19" s="269"/>
      <c r="S19" s="269"/>
      <c r="T19" s="269"/>
      <c r="U19" s="269"/>
      <c r="V19" s="269"/>
      <c r="AD19" s="65" t="str">
        <f>Banking!J218</f>
        <v>-</v>
      </c>
      <c r="AE19" s="66" t="str">
        <f>Banking!H218</f>
        <v>-</v>
      </c>
      <c r="AF19" s="13" t="str">
        <f t="shared" si="6"/>
        <v>- - -</v>
      </c>
    </row>
    <row r="20" spans="1:32" x14ac:dyDescent="0.25">
      <c r="A20" s="68">
        <v>19</v>
      </c>
      <c r="B20" s="269"/>
      <c r="C20" s="269"/>
      <c r="D20" s="269"/>
      <c r="E20" s="269"/>
      <c r="F20" s="49"/>
      <c r="G20" s="269"/>
      <c r="H20" s="355"/>
      <c r="I20" s="49">
        <f t="shared" si="1"/>
        <v>0</v>
      </c>
      <c r="J20" s="70"/>
      <c r="K20" s="353"/>
      <c r="L20" s="85" t="str">
        <f t="shared" si="5"/>
        <v/>
      </c>
      <c r="M20" s="269" t="str">
        <f t="shared" ca="1" si="2"/>
        <v/>
      </c>
      <c r="N20" s="269" t="str">
        <f t="shared" ca="1" si="3"/>
        <v/>
      </c>
      <c r="O20" s="269"/>
      <c r="P20" s="269"/>
      <c r="Q20" s="269"/>
      <c r="R20" s="269"/>
      <c r="S20" s="269"/>
      <c r="T20" s="269"/>
      <c r="U20" s="269"/>
      <c r="V20" s="269"/>
      <c r="AD20" s="65" t="str">
        <f>Banking!J231</f>
        <v>-</v>
      </c>
      <c r="AE20" s="66" t="str">
        <f>Banking!H231</f>
        <v>-</v>
      </c>
      <c r="AF20" s="13" t="str">
        <f t="shared" si="6"/>
        <v>- - -</v>
      </c>
    </row>
    <row r="21" spans="1:32" x14ac:dyDescent="0.25">
      <c r="A21" s="68">
        <v>20</v>
      </c>
      <c r="B21" s="269"/>
      <c r="C21" s="269"/>
      <c r="D21" s="269"/>
      <c r="E21" s="269"/>
      <c r="F21" s="49"/>
      <c r="G21" s="269"/>
      <c r="H21" s="355"/>
      <c r="I21" s="49">
        <f t="shared" si="1"/>
        <v>0</v>
      </c>
      <c r="J21" s="70"/>
      <c r="K21" s="353"/>
      <c r="L21" s="85" t="str">
        <f t="shared" si="5"/>
        <v/>
      </c>
      <c r="M21" s="269" t="str">
        <f t="shared" ca="1" si="2"/>
        <v/>
      </c>
      <c r="N21" s="269" t="str">
        <f t="shared" ca="1" si="3"/>
        <v/>
      </c>
      <c r="O21" s="269"/>
      <c r="P21" s="269"/>
      <c r="Q21" s="269"/>
      <c r="R21" s="269"/>
      <c r="S21" s="269"/>
      <c r="T21" s="269"/>
      <c r="U21" s="269"/>
      <c r="V21" s="269"/>
      <c r="AD21" s="65" t="str">
        <f>Banking!J244</f>
        <v>-</v>
      </c>
      <c r="AE21" s="66" t="str">
        <f>Banking!H244</f>
        <v>-</v>
      </c>
      <c r="AF21" s="13" t="str">
        <f t="shared" si="6"/>
        <v>- - -</v>
      </c>
    </row>
    <row r="22" spans="1:32" x14ac:dyDescent="0.25">
      <c r="A22" s="68">
        <v>21</v>
      </c>
      <c r="B22" s="269"/>
      <c r="C22" s="269"/>
      <c r="D22" s="269"/>
      <c r="E22" s="269"/>
      <c r="F22" s="49"/>
      <c r="G22" s="269"/>
      <c r="H22" s="355"/>
      <c r="I22" s="49">
        <f t="shared" si="1"/>
        <v>0</v>
      </c>
      <c r="J22" s="70"/>
      <c r="K22" s="353"/>
      <c r="L22" s="85" t="str">
        <f t="shared" si="5"/>
        <v/>
      </c>
      <c r="M22" s="269" t="str">
        <f t="shared" ca="1" si="2"/>
        <v/>
      </c>
      <c r="N22" s="269" t="str">
        <f t="shared" ca="1" si="3"/>
        <v/>
      </c>
      <c r="O22" s="269"/>
      <c r="P22" s="269"/>
      <c r="Q22" s="269"/>
      <c r="R22" s="269"/>
      <c r="S22" s="269"/>
      <c r="T22" s="269"/>
      <c r="U22" s="269"/>
      <c r="V22" s="269"/>
      <c r="AD22" s="65" t="str">
        <f>Banking!J257</f>
        <v>-</v>
      </c>
      <c r="AE22" s="66" t="str">
        <f>Banking!H257</f>
        <v>-</v>
      </c>
      <c r="AF22" s="13" t="str">
        <f t="shared" si="6"/>
        <v>- - -</v>
      </c>
    </row>
    <row r="23" spans="1:32" x14ac:dyDescent="0.25">
      <c r="A23" s="68">
        <v>22</v>
      </c>
      <c r="B23" s="269"/>
      <c r="C23" s="269"/>
      <c r="D23" s="269"/>
      <c r="E23" s="269"/>
      <c r="F23" s="49"/>
      <c r="G23" s="269"/>
      <c r="H23" s="355"/>
      <c r="I23" s="49">
        <f t="shared" si="1"/>
        <v>0</v>
      </c>
      <c r="J23" s="70"/>
      <c r="K23" s="353"/>
      <c r="L23" s="85" t="str">
        <f t="shared" si="5"/>
        <v/>
      </c>
      <c r="M23" s="269" t="str">
        <f t="shared" ca="1" si="2"/>
        <v/>
      </c>
      <c r="N23" s="269" t="str">
        <f t="shared" ca="1" si="3"/>
        <v/>
      </c>
      <c r="O23" s="269"/>
      <c r="P23" s="269"/>
      <c r="Q23" s="269"/>
      <c r="R23" s="269"/>
      <c r="S23" s="269"/>
      <c r="T23" s="269"/>
      <c r="U23" s="269"/>
      <c r="V23" s="269"/>
    </row>
    <row r="24" spans="1:32" x14ac:dyDescent="0.25">
      <c r="A24" s="68">
        <v>23</v>
      </c>
      <c r="B24" s="269"/>
      <c r="C24" s="269"/>
      <c r="D24" s="269"/>
      <c r="E24" s="269"/>
      <c r="F24" s="49"/>
      <c r="G24" s="269"/>
      <c r="H24" s="355"/>
      <c r="I24" s="49">
        <f t="shared" si="1"/>
        <v>0</v>
      </c>
      <c r="J24" s="70"/>
      <c r="K24" s="353"/>
      <c r="L24" s="85" t="str">
        <f t="shared" si="5"/>
        <v/>
      </c>
      <c r="M24" s="269" t="str">
        <f t="shared" ca="1" si="2"/>
        <v/>
      </c>
      <c r="N24" s="269" t="str">
        <f t="shared" ca="1" si="3"/>
        <v/>
      </c>
      <c r="O24" s="269"/>
      <c r="P24" s="269"/>
      <c r="Q24" s="269"/>
      <c r="R24" s="269"/>
      <c r="S24" s="269"/>
      <c r="T24" s="269"/>
      <c r="U24" s="269"/>
      <c r="V24" s="269"/>
    </row>
    <row r="25" spans="1:32" x14ac:dyDescent="0.25">
      <c r="A25" s="68">
        <v>24</v>
      </c>
      <c r="B25" s="269"/>
      <c r="C25" s="269"/>
      <c r="D25" s="269"/>
      <c r="E25" s="269"/>
      <c r="F25" s="49"/>
      <c r="G25" s="269"/>
      <c r="H25" s="355"/>
      <c r="I25" s="49">
        <f t="shared" si="1"/>
        <v>0</v>
      </c>
      <c r="J25" s="70"/>
      <c r="K25" s="353"/>
      <c r="L25" s="85" t="str">
        <f t="shared" si="5"/>
        <v/>
      </c>
      <c r="M25" s="269" t="str">
        <f t="shared" ca="1" si="2"/>
        <v/>
      </c>
      <c r="N25" s="269" t="str">
        <f t="shared" ca="1" si="3"/>
        <v/>
      </c>
      <c r="O25" s="269"/>
      <c r="P25" s="269"/>
      <c r="Q25" s="269"/>
      <c r="R25" s="269"/>
      <c r="S25" s="269"/>
      <c r="T25" s="269"/>
      <c r="U25" s="269"/>
      <c r="V25" s="269"/>
    </row>
    <row r="26" spans="1:32" x14ac:dyDescent="0.25">
      <c r="A26" s="68">
        <v>25</v>
      </c>
      <c r="B26" s="269"/>
      <c r="C26" s="269"/>
      <c r="D26" s="269"/>
      <c r="E26" s="269"/>
      <c r="F26" s="49"/>
      <c r="G26" s="269"/>
      <c r="H26" s="355"/>
      <c r="I26" s="49">
        <f t="shared" si="1"/>
        <v>0</v>
      </c>
      <c r="J26" s="70"/>
      <c r="K26" s="353"/>
      <c r="L26" s="85" t="str">
        <f t="shared" si="5"/>
        <v/>
      </c>
      <c r="M26" s="269" t="str">
        <f t="shared" ca="1" si="2"/>
        <v/>
      </c>
      <c r="N26" s="269" t="str">
        <f t="shared" ca="1" si="3"/>
        <v/>
      </c>
      <c r="O26" s="269"/>
      <c r="P26" s="269"/>
      <c r="Q26" s="269"/>
      <c r="R26" s="269"/>
      <c r="S26" s="269"/>
      <c r="T26" s="269"/>
      <c r="U26" s="269"/>
      <c r="V26" s="269"/>
    </row>
    <row r="27" spans="1:32" x14ac:dyDescent="0.25">
      <c r="A27" s="68">
        <v>26</v>
      </c>
      <c r="B27" s="269"/>
      <c r="C27" s="269"/>
      <c r="D27" s="269"/>
      <c r="E27" s="269"/>
      <c r="F27" s="49"/>
      <c r="G27" s="269"/>
      <c r="H27" s="355"/>
      <c r="I27" s="49">
        <f t="shared" si="1"/>
        <v>0</v>
      </c>
      <c r="J27" s="70"/>
      <c r="K27" s="353"/>
      <c r="L27" s="85" t="str">
        <f t="shared" si="5"/>
        <v/>
      </c>
      <c r="M27" s="269" t="str">
        <f t="shared" ca="1" si="2"/>
        <v/>
      </c>
      <c r="N27" s="269" t="str">
        <f t="shared" ca="1" si="3"/>
        <v/>
      </c>
      <c r="O27" s="269"/>
      <c r="P27" s="269"/>
      <c r="Q27" s="269"/>
      <c r="R27" s="269"/>
      <c r="S27" s="269"/>
      <c r="T27" s="269"/>
      <c r="U27" s="269"/>
      <c r="V27" s="269"/>
    </row>
    <row r="28" spans="1:32" x14ac:dyDescent="0.25">
      <c r="A28" s="68">
        <v>27</v>
      </c>
      <c r="B28" s="269"/>
      <c r="C28" s="269"/>
      <c r="D28" s="269"/>
      <c r="E28" s="269"/>
      <c r="F28" s="49"/>
      <c r="G28" s="269"/>
      <c r="H28" s="355"/>
      <c r="I28" s="49">
        <f t="shared" si="1"/>
        <v>0</v>
      </c>
      <c r="J28" s="70"/>
      <c r="K28" s="353"/>
      <c r="L28" s="85" t="str">
        <f t="shared" si="5"/>
        <v/>
      </c>
      <c r="M28" s="269" t="str">
        <f t="shared" ca="1" si="2"/>
        <v/>
      </c>
      <c r="N28" s="269" t="str">
        <f t="shared" ca="1" si="3"/>
        <v/>
      </c>
      <c r="O28" s="269"/>
      <c r="P28" s="269"/>
      <c r="Q28" s="269"/>
      <c r="R28" s="269"/>
      <c r="S28" s="269"/>
      <c r="T28" s="269"/>
      <c r="U28" s="269"/>
      <c r="V28" s="269"/>
    </row>
    <row r="29" spans="1:32" x14ac:dyDescent="0.25">
      <c r="A29" s="68">
        <v>28</v>
      </c>
      <c r="B29" s="269"/>
      <c r="C29" s="269"/>
      <c r="D29" s="269"/>
      <c r="E29" s="269"/>
      <c r="F29" s="49"/>
      <c r="G29" s="269"/>
      <c r="H29" s="355"/>
      <c r="I29" s="49">
        <f t="shared" si="1"/>
        <v>0</v>
      </c>
      <c r="J29" s="70"/>
      <c r="K29" s="353"/>
      <c r="L29" s="85" t="str">
        <f t="shared" si="5"/>
        <v/>
      </c>
      <c r="M29" s="269" t="str">
        <f t="shared" ca="1" si="2"/>
        <v/>
      </c>
      <c r="N29" s="269" t="str">
        <f t="shared" ca="1" si="3"/>
        <v/>
      </c>
      <c r="O29" s="269"/>
      <c r="P29" s="269"/>
      <c r="Q29" s="269"/>
      <c r="R29" s="269"/>
      <c r="S29" s="269"/>
      <c r="T29" s="269"/>
      <c r="U29" s="269"/>
      <c r="V29" s="269"/>
    </row>
    <row r="30" spans="1:32" x14ac:dyDescent="0.25">
      <c r="A30" s="68">
        <v>29</v>
      </c>
      <c r="B30" s="269"/>
      <c r="C30" s="269"/>
      <c r="D30" s="269"/>
      <c r="E30" s="269"/>
      <c r="F30" s="49"/>
      <c r="G30" s="269"/>
      <c r="H30" s="355"/>
      <c r="I30" s="49">
        <f t="shared" si="1"/>
        <v>0</v>
      </c>
      <c r="J30" s="70"/>
      <c r="K30" s="353"/>
      <c r="L30" s="85" t="str">
        <f t="shared" si="5"/>
        <v/>
      </c>
      <c r="M30" s="269" t="str">
        <f t="shared" ca="1" si="2"/>
        <v/>
      </c>
      <c r="N30" s="269" t="str">
        <f t="shared" ca="1" si="3"/>
        <v/>
      </c>
      <c r="O30" s="269"/>
      <c r="P30" s="269"/>
      <c r="Q30" s="269"/>
      <c r="R30" s="269"/>
      <c r="S30" s="269"/>
      <c r="T30" s="269"/>
      <c r="U30" s="269"/>
      <c r="V30" s="269"/>
    </row>
    <row r="31" spans="1:32" x14ac:dyDescent="0.25">
      <c r="A31" s="68">
        <v>30</v>
      </c>
      <c r="B31" s="269"/>
      <c r="C31" s="269"/>
      <c r="D31" s="269"/>
      <c r="E31" s="269"/>
      <c r="F31" s="49"/>
      <c r="G31" s="269"/>
      <c r="H31" s="355"/>
      <c r="I31" s="49">
        <f t="shared" si="1"/>
        <v>0</v>
      </c>
      <c r="J31" s="70"/>
      <c r="K31" s="353"/>
      <c r="L31" s="85" t="str">
        <f t="shared" si="5"/>
        <v/>
      </c>
      <c r="M31" s="269" t="str">
        <f t="shared" ca="1" si="2"/>
        <v/>
      </c>
      <c r="N31" s="269" t="str">
        <f t="shared" ca="1" si="3"/>
        <v/>
      </c>
      <c r="O31" s="269"/>
      <c r="P31" s="269"/>
      <c r="Q31" s="269"/>
      <c r="R31" s="269"/>
      <c r="S31" s="269"/>
      <c r="T31" s="269"/>
      <c r="U31" s="269"/>
      <c r="V31" s="269"/>
    </row>
    <row r="32" spans="1:32" x14ac:dyDescent="0.25">
      <c r="A32" s="68">
        <v>31</v>
      </c>
      <c r="B32" s="269"/>
      <c r="C32" s="269"/>
      <c r="D32" s="269"/>
      <c r="E32" s="269"/>
      <c r="F32" s="49"/>
      <c r="G32" s="269"/>
      <c r="H32" s="355"/>
      <c r="I32" s="49">
        <f t="shared" si="1"/>
        <v>0</v>
      </c>
      <c r="J32" s="70"/>
      <c r="K32" s="353"/>
      <c r="L32" s="85" t="str">
        <f t="shared" si="5"/>
        <v/>
      </c>
      <c r="M32" s="269" t="str">
        <f t="shared" ca="1" si="2"/>
        <v/>
      </c>
      <c r="N32" s="269" t="str">
        <f t="shared" ca="1" si="3"/>
        <v/>
      </c>
      <c r="O32" s="269"/>
      <c r="P32" s="269"/>
      <c r="Q32" s="269"/>
      <c r="R32" s="269"/>
      <c r="S32" s="269"/>
      <c r="T32" s="269"/>
      <c r="U32" s="269"/>
      <c r="V32" s="269"/>
    </row>
    <row r="33" spans="1:22" x14ac:dyDescent="0.25">
      <c r="A33" s="68">
        <v>32</v>
      </c>
      <c r="B33" s="269"/>
      <c r="C33" s="269"/>
      <c r="D33" s="269"/>
      <c r="E33" s="269"/>
      <c r="F33" s="49"/>
      <c r="G33" s="269"/>
      <c r="H33" s="355"/>
      <c r="I33" s="49">
        <f t="shared" si="1"/>
        <v>0</v>
      </c>
      <c r="J33" s="70"/>
      <c r="K33" s="353"/>
      <c r="L33" s="85" t="str">
        <f t="shared" si="5"/>
        <v/>
      </c>
      <c r="M33" s="269" t="str">
        <f t="shared" ca="1" si="2"/>
        <v/>
      </c>
      <c r="N33" s="269" t="str">
        <f t="shared" ca="1" si="3"/>
        <v/>
      </c>
      <c r="O33" s="269"/>
      <c r="P33" s="269"/>
      <c r="Q33" s="269"/>
      <c r="R33" s="269"/>
      <c r="S33" s="269"/>
      <c r="T33" s="269"/>
      <c r="U33" s="269"/>
      <c r="V33" s="269"/>
    </row>
    <row r="34" spans="1:22" x14ac:dyDescent="0.25">
      <c r="A34" s="68">
        <v>33</v>
      </c>
      <c r="B34" s="269"/>
      <c r="C34" s="269"/>
      <c r="D34" s="269"/>
      <c r="E34" s="269"/>
      <c r="F34" s="49"/>
      <c r="G34" s="269"/>
      <c r="H34" s="355"/>
      <c r="I34" s="49">
        <f t="shared" si="1"/>
        <v>0</v>
      </c>
      <c r="J34" s="70"/>
      <c r="K34" s="353"/>
      <c r="L34" s="85" t="str">
        <f t="shared" si="5"/>
        <v/>
      </c>
      <c r="M34" s="269" t="str">
        <f t="shared" ca="1" si="2"/>
        <v/>
      </c>
      <c r="N34" s="269" t="str">
        <f t="shared" ca="1" si="3"/>
        <v/>
      </c>
      <c r="O34" s="269"/>
      <c r="P34" s="269"/>
      <c r="Q34" s="269"/>
      <c r="R34" s="269"/>
      <c r="S34" s="269"/>
      <c r="T34" s="269"/>
      <c r="U34" s="269"/>
      <c r="V34" s="269"/>
    </row>
    <row r="35" spans="1:22" x14ac:dyDescent="0.25">
      <c r="A35" s="68">
        <v>34</v>
      </c>
      <c r="B35" s="269"/>
      <c r="C35" s="269"/>
      <c r="D35" s="269"/>
      <c r="E35" s="269"/>
      <c r="F35" s="49"/>
      <c r="G35" s="269"/>
      <c r="H35" s="355"/>
      <c r="I35" s="49">
        <f t="shared" si="1"/>
        <v>0</v>
      </c>
      <c r="J35" s="70"/>
      <c r="K35" s="353"/>
      <c r="L35" s="85" t="str">
        <f t="shared" si="5"/>
        <v/>
      </c>
      <c r="M35" s="269" t="str">
        <f t="shared" ca="1" si="2"/>
        <v/>
      </c>
      <c r="N35" s="269" t="str">
        <f t="shared" ca="1" si="3"/>
        <v/>
      </c>
      <c r="O35" s="269"/>
      <c r="P35" s="269"/>
      <c r="Q35" s="269"/>
      <c r="R35" s="269"/>
      <c r="S35" s="269"/>
      <c r="T35" s="269"/>
      <c r="U35" s="269"/>
      <c r="V35" s="269"/>
    </row>
    <row r="36" spans="1:22" x14ac:dyDescent="0.25">
      <c r="A36" s="68">
        <v>35</v>
      </c>
      <c r="B36" s="269"/>
      <c r="C36" s="269"/>
      <c r="D36" s="269"/>
      <c r="E36" s="269"/>
      <c r="F36" s="49"/>
      <c r="G36" s="269"/>
      <c r="H36" s="355"/>
      <c r="I36" s="49">
        <f t="shared" si="1"/>
        <v>0</v>
      </c>
      <c r="J36" s="70"/>
      <c r="K36" s="353"/>
      <c r="L36" s="85" t="str">
        <f t="shared" si="5"/>
        <v/>
      </c>
      <c r="M36" s="269" t="str">
        <f t="shared" ca="1" si="2"/>
        <v/>
      </c>
      <c r="N36" s="269" t="str">
        <f t="shared" ca="1" si="3"/>
        <v/>
      </c>
      <c r="O36" s="269"/>
      <c r="P36" s="269"/>
      <c r="Q36" s="269"/>
      <c r="R36" s="269"/>
      <c r="S36" s="269"/>
      <c r="T36" s="269"/>
      <c r="U36" s="269"/>
      <c r="V36" s="269"/>
    </row>
    <row r="37" spans="1:22" x14ac:dyDescent="0.25">
      <c r="A37" s="68">
        <v>36</v>
      </c>
      <c r="B37" s="269"/>
      <c r="C37" s="269"/>
      <c r="D37" s="269"/>
      <c r="E37" s="269"/>
      <c r="F37" s="49"/>
      <c r="G37" s="269"/>
      <c r="H37" s="355"/>
      <c r="I37" s="49">
        <f t="shared" si="1"/>
        <v>0</v>
      </c>
      <c r="J37" s="70"/>
      <c r="K37" s="353"/>
      <c r="L37" s="85" t="str">
        <f t="shared" si="5"/>
        <v/>
      </c>
      <c r="M37" s="269" t="str">
        <f t="shared" ca="1" si="2"/>
        <v/>
      </c>
      <c r="N37" s="269" t="str">
        <f t="shared" ca="1" si="3"/>
        <v/>
      </c>
      <c r="O37" s="269"/>
      <c r="P37" s="269"/>
      <c r="Q37" s="269"/>
      <c r="R37" s="269"/>
      <c r="S37" s="269"/>
      <c r="T37" s="269"/>
      <c r="U37" s="269"/>
      <c r="V37" s="269"/>
    </row>
    <row r="38" spans="1:22" x14ac:dyDescent="0.25">
      <c r="A38" s="68">
        <v>37</v>
      </c>
      <c r="B38" s="269"/>
      <c r="C38" s="269"/>
      <c r="D38" s="269"/>
      <c r="E38" s="269"/>
      <c r="F38" s="49"/>
      <c r="G38" s="269"/>
      <c r="H38" s="355"/>
      <c r="I38" s="49">
        <f t="shared" si="1"/>
        <v>0</v>
      </c>
      <c r="J38" s="70"/>
      <c r="K38" s="353"/>
      <c r="L38" s="85" t="str">
        <f t="shared" si="5"/>
        <v/>
      </c>
      <c r="M38" s="269" t="str">
        <f t="shared" ca="1" si="2"/>
        <v/>
      </c>
      <c r="N38" s="269" t="str">
        <f t="shared" ca="1" si="3"/>
        <v/>
      </c>
      <c r="O38" s="269"/>
      <c r="P38" s="269"/>
      <c r="Q38" s="269"/>
      <c r="R38" s="269"/>
      <c r="S38" s="269"/>
      <c r="T38" s="269"/>
      <c r="U38" s="269"/>
      <c r="V38" s="269"/>
    </row>
    <row r="39" spans="1:22" x14ac:dyDescent="0.25">
      <c r="A39" s="68">
        <v>38</v>
      </c>
      <c r="B39" s="269"/>
      <c r="C39" s="269"/>
      <c r="D39" s="269"/>
      <c r="E39" s="269"/>
      <c r="F39" s="49"/>
      <c r="G39" s="269"/>
      <c r="H39" s="355"/>
      <c r="I39" s="49">
        <f t="shared" si="1"/>
        <v>0</v>
      </c>
      <c r="J39" s="70"/>
      <c r="K39" s="353"/>
      <c r="L39" s="85" t="str">
        <f t="shared" si="5"/>
        <v/>
      </c>
      <c r="M39" s="269" t="str">
        <f t="shared" ca="1" si="2"/>
        <v/>
      </c>
      <c r="N39" s="269" t="str">
        <f t="shared" ca="1" si="3"/>
        <v/>
      </c>
      <c r="O39" s="269"/>
      <c r="P39" s="269"/>
      <c r="Q39" s="269"/>
      <c r="R39" s="269"/>
      <c r="S39" s="269"/>
      <c r="T39" s="269"/>
      <c r="U39" s="269"/>
      <c r="V39" s="269"/>
    </row>
    <row r="40" spans="1:22" x14ac:dyDescent="0.25">
      <c r="A40" s="68">
        <v>39</v>
      </c>
      <c r="B40" s="269"/>
      <c r="C40" s="269"/>
      <c r="D40" s="269"/>
      <c r="E40" s="269"/>
      <c r="F40" s="49"/>
      <c r="G40" s="269"/>
      <c r="H40" s="355"/>
      <c r="I40" s="49">
        <f t="shared" si="1"/>
        <v>0</v>
      </c>
      <c r="J40" s="70"/>
      <c r="K40" s="353"/>
      <c r="L40" s="85" t="str">
        <f t="shared" si="5"/>
        <v/>
      </c>
      <c r="M40" s="269" t="str">
        <f t="shared" ca="1" si="2"/>
        <v/>
      </c>
      <c r="N40" s="269" t="str">
        <f t="shared" ca="1" si="3"/>
        <v/>
      </c>
      <c r="O40" s="269"/>
      <c r="P40" s="269"/>
      <c r="Q40" s="269"/>
      <c r="R40" s="269"/>
      <c r="S40" s="269"/>
      <c r="T40" s="269"/>
      <c r="U40" s="269"/>
      <c r="V40" s="269"/>
    </row>
    <row r="41" spans="1:22" x14ac:dyDescent="0.25">
      <c r="A41" s="68">
        <v>40</v>
      </c>
      <c r="B41" s="269"/>
      <c r="C41" s="269"/>
      <c r="D41" s="269"/>
      <c r="E41" s="269"/>
      <c r="F41" s="49"/>
      <c r="G41" s="269"/>
      <c r="H41" s="355"/>
      <c r="I41" s="49">
        <f t="shared" si="1"/>
        <v>0</v>
      </c>
      <c r="J41" s="70"/>
      <c r="K41" s="353"/>
      <c r="L41" s="85" t="str">
        <f t="shared" si="5"/>
        <v/>
      </c>
      <c r="M41" s="269" t="str">
        <f t="shared" ca="1" si="2"/>
        <v/>
      </c>
      <c r="N41" s="269" t="str">
        <f t="shared" ca="1" si="3"/>
        <v/>
      </c>
      <c r="O41" s="269"/>
      <c r="P41" s="269"/>
      <c r="Q41" s="269"/>
      <c r="R41" s="269"/>
      <c r="S41" s="269"/>
      <c r="T41" s="269"/>
      <c r="U41" s="269"/>
      <c r="V41" s="269"/>
    </row>
    <row r="42" spans="1:22" x14ac:dyDescent="0.25">
      <c r="A42" s="68">
        <v>41</v>
      </c>
      <c r="B42" s="269"/>
      <c r="C42" s="269"/>
      <c r="D42" s="269"/>
      <c r="E42" s="269"/>
      <c r="F42" s="49"/>
      <c r="G42" s="269"/>
      <c r="H42" s="355"/>
      <c r="I42" s="49">
        <f t="shared" si="1"/>
        <v>0</v>
      </c>
      <c r="J42" s="70"/>
      <c r="K42" s="353"/>
      <c r="L42" s="85" t="str">
        <f t="shared" si="5"/>
        <v/>
      </c>
      <c r="M42" s="269" t="str">
        <f t="shared" ca="1" si="2"/>
        <v/>
      </c>
      <c r="N42" s="269" t="str">
        <f t="shared" ca="1" si="3"/>
        <v/>
      </c>
      <c r="O42" s="269"/>
      <c r="P42" s="269"/>
      <c r="Q42" s="269"/>
      <c r="R42" s="269"/>
      <c r="S42" s="269"/>
      <c r="T42" s="269"/>
      <c r="U42" s="269"/>
      <c r="V42" s="269"/>
    </row>
    <row r="43" spans="1:22" x14ac:dyDescent="0.25">
      <c r="A43" s="68">
        <v>42</v>
      </c>
      <c r="B43" s="269"/>
      <c r="C43" s="269"/>
      <c r="D43" s="269"/>
      <c r="E43" s="269"/>
      <c r="F43" s="49"/>
      <c r="G43" s="269"/>
      <c r="H43" s="355"/>
      <c r="I43" s="49">
        <f t="shared" si="1"/>
        <v>0</v>
      </c>
      <c r="J43" s="70"/>
      <c r="K43" s="353"/>
      <c r="L43" s="85" t="str">
        <f t="shared" si="5"/>
        <v/>
      </c>
      <c r="M43" s="269" t="str">
        <f t="shared" ca="1" si="2"/>
        <v/>
      </c>
      <c r="N43" s="269" t="str">
        <f t="shared" ca="1" si="3"/>
        <v/>
      </c>
      <c r="O43" s="269"/>
      <c r="P43" s="269"/>
      <c r="Q43" s="269"/>
      <c r="R43" s="269"/>
      <c r="S43" s="269"/>
      <c r="T43" s="269"/>
      <c r="U43" s="269"/>
      <c r="V43" s="269"/>
    </row>
    <row r="44" spans="1:22" x14ac:dyDescent="0.25">
      <c r="A44" s="68">
        <v>43</v>
      </c>
      <c r="B44" s="269"/>
      <c r="C44" s="269"/>
      <c r="D44" s="269"/>
      <c r="E44" s="269"/>
      <c r="F44" s="49"/>
      <c r="G44" s="269"/>
      <c r="H44" s="355"/>
      <c r="I44" s="49">
        <f t="shared" si="1"/>
        <v>0</v>
      </c>
      <c r="J44" s="70"/>
      <c r="K44" s="353"/>
      <c r="L44" s="85" t="str">
        <f t="shared" si="5"/>
        <v/>
      </c>
      <c r="M44" s="269" t="str">
        <f t="shared" ca="1" si="2"/>
        <v/>
      </c>
      <c r="N44" s="269" t="str">
        <f t="shared" ca="1" si="3"/>
        <v/>
      </c>
      <c r="O44" s="269"/>
      <c r="P44" s="269"/>
      <c r="Q44" s="269"/>
      <c r="R44" s="269"/>
      <c r="S44" s="269"/>
      <c r="T44" s="269"/>
      <c r="U44" s="269"/>
      <c r="V44" s="269"/>
    </row>
    <row r="45" spans="1:22" x14ac:dyDescent="0.25">
      <c r="A45" s="68">
        <v>44</v>
      </c>
      <c r="B45" s="269"/>
      <c r="C45" s="269"/>
      <c r="D45" s="269"/>
      <c r="E45" s="269"/>
      <c r="F45" s="49"/>
      <c r="G45" s="269"/>
      <c r="H45" s="355"/>
      <c r="I45" s="49">
        <f t="shared" si="1"/>
        <v>0</v>
      </c>
      <c r="J45" s="70"/>
      <c r="K45" s="353"/>
      <c r="L45" s="85" t="str">
        <f t="shared" si="5"/>
        <v/>
      </c>
      <c r="M45" s="269" t="str">
        <f t="shared" ca="1" si="2"/>
        <v/>
      </c>
      <c r="N45" s="269" t="str">
        <f t="shared" ca="1" si="3"/>
        <v/>
      </c>
      <c r="O45" s="269"/>
      <c r="P45" s="269"/>
      <c r="Q45" s="269"/>
      <c r="R45" s="269"/>
      <c r="S45" s="269"/>
      <c r="T45" s="269"/>
      <c r="U45" s="269"/>
      <c r="V45" s="269"/>
    </row>
    <row r="46" spans="1:22" x14ac:dyDescent="0.25">
      <c r="A46" s="68">
        <v>45</v>
      </c>
      <c r="B46" s="269"/>
      <c r="C46" s="269"/>
      <c r="D46" s="269"/>
      <c r="E46" s="269"/>
      <c r="F46" s="49"/>
      <c r="G46" s="269"/>
      <c r="H46" s="355"/>
      <c r="I46" s="49">
        <f t="shared" si="1"/>
        <v>0</v>
      </c>
      <c r="J46" s="70"/>
      <c r="K46" s="353"/>
      <c r="L46" s="85" t="str">
        <f t="shared" si="5"/>
        <v/>
      </c>
      <c r="M46" s="269" t="str">
        <f t="shared" ca="1" si="2"/>
        <v/>
      </c>
      <c r="N46" s="269" t="str">
        <f t="shared" ca="1" si="3"/>
        <v/>
      </c>
      <c r="O46" s="269"/>
      <c r="P46" s="269"/>
      <c r="Q46" s="269"/>
      <c r="R46" s="269"/>
      <c r="S46" s="269"/>
      <c r="T46" s="269"/>
      <c r="U46" s="269"/>
      <c r="V46" s="269"/>
    </row>
    <row r="47" spans="1:22" x14ac:dyDescent="0.25">
      <c r="A47" s="68">
        <v>46</v>
      </c>
      <c r="B47" s="269"/>
      <c r="C47" s="269"/>
      <c r="D47" s="269"/>
      <c r="E47" s="269"/>
      <c r="F47" s="49"/>
      <c r="G47" s="269"/>
      <c r="H47" s="355"/>
      <c r="I47" s="49">
        <f t="shared" si="1"/>
        <v>0</v>
      </c>
      <c r="J47" s="70"/>
      <c r="K47" s="353"/>
      <c r="L47" s="85" t="str">
        <f t="shared" si="5"/>
        <v/>
      </c>
      <c r="M47" s="269" t="str">
        <f t="shared" ca="1" si="2"/>
        <v/>
      </c>
      <c r="N47" s="269" t="str">
        <f t="shared" ca="1" si="3"/>
        <v/>
      </c>
      <c r="O47" s="269"/>
      <c r="P47" s="269"/>
      <c r="Q47" s="269"/>
      <c r="R47" s="269"/>
      <c r="S47" s="269"/>
      <c r="T47" s="269"/>
      <c r="U47" s="269"/>
      <c r="V47" s="269"/>
    </row>
    <row r="48" spans="1:22" x14ac:dyDescent="0.25">
      <c r="A48" s="68">
        <v>47</v>
      </c>
      <c r="B48" s="269"/>
      <c r="C48" s="269"/>
      <c r="D48" s="269"/>
      <c r="E48" s="269"/>
      <c r="F48" s="49"/>
      <c r="G48" s="269"/>
      <c r="H48" s="355"/>
      <c r="I48" s="49">
        <f t="shared" si="1"/>
        <v>0</v>
      </c>
      <c r="J48" s="70"/>
      <c r="K48" s="353"/>
      <c r="L48" s="85" t="str">
        <f t="shared" si="5"/>
        <v/>
      </c>
      <c r="M48" s="269" t="str">
        <f t="shared" ca="1" si="2"/>
        <v/>
      </c>
      <c r="N48" s="269" t="str">
        <f t="shared" ca="1" si="3"/>
        <v/>
      </c>
      <c r="O48" s="269"/>
      <c r="P48" s="269"/>
      <c r="Q48" s="269"/>
      <c r="R48" s="269"/>
      <c r="S48" s="269"/>
      <c r="T48" s="269"/>
      <c r="U48" s="269"/>
      <c r="V48" s="269"/>
    </row>
    <row r="49" spans="1:22" x14ac:dyDescent="0.25">
      <c r="A49" s="68">
        <v>48</v>
      </c>
      <c r="B49" s="269"/>
      <c r="C49" s="269"/>
      <c r="D49" s="269"/>
      <c r="E49" s="269"/>
      <c r="F49" s="49"/>
      <c r="G49" s="269"/>
      <c r="H49" s="355"/>
      <c r="I49" s="49">
        <f t="shared" si="1"/>
        <v>0</v>
      </c>
      <c r="J49" s="70"/>
      <c r="K49" s="353"/>
      <c r="L49" s="85" t="str">
        <f t="shared" si="5"/>
        <v/>
      </c>
      <c r="M49" s="269" t="str">
        <f t="shared" ca="1" si="2"/>
        <v/>
      </c>
      <c r="N49" s="269" t="str">
        <f t="shared" ca="1" si="3"/>
        <v/>
      </c>
      <c r="O49" s="269"/>
      <c r="P49" s="269"/>
      <c r="Q49" s="269"/>
      <c r="R49" s="269"/>
      <c r="S49" s="269"/>
      <c r="T49" s="269"/>
      <c r="U49" s="269"/>
      <c r="V49" s="269"/>
    </row>
    <row r="50" spans="1:22" x14ac:dyDescent="0.25">
      <c r="A50" s="68">
        <v>49</v>
      </c>
      <c r="B50" s="269"/>
      <c r="C50" s="269"/>
      <c r="D50" s="269"/>
      <c r="E50" s="269"/>
      <c r="F50" s="49"/>
      <c r="G50" s="269"/>
      <c r="H50" s="355"/>
      <c r="I50" s="49">
        <f t="shared" si="1"/>
        <v>0</v>
      </c>
      <c r="J50" s="70"/>
      <c r="K50" s="353"/>
      <c r="L50" s="85" t="str">
        <f t="shared" si="5"/>
        <v/>
      </c>
      <c r="M50" s="269" t="str">
        <f t="shared" ca="1" si="2"/>
        <v/>
      </c>
      <c r="N50" s="269" t="str">
        <f t="shared" ca="1" si="3"/>
        <v/>
      </c>
      <c r="O50" s="269"/>
      <c r="P50" s="269"/>
      <c r="Q50" s="269"/>
      <c r="R50" s="269"/>
      <c r="S50" s="269"/>
      <c r="T50" s="269"/>
      <c r="U50" s="269"/>
      <c r="V50" s="269"/>
    </row>
    <row r="51" spans="1:22" x14ac:dyDescent="0.25">
      <c r="A51" s="68">
        <v>50</v>
      </c>
      <c r="B51" s="269"/>
      <c r="C51" s="269"/>
      <c r="D51" s="269"/>
      <c r="E51" s="269"/>
      <c r="F51" s="49"/>
      <c r="G51" s="269"/>
      <c r="H51" s="355"/>
      <c r="I51" s="49">
        <f t="shared" si="1"/>
        <v>0</v>
      </c>
      <c r="J51" s="70"/>
      <c r="K51" s="353"/>
      <c r="L51" s="85" t="str">
        <f t="shared" si="5"/>
        <v/>
      </c>
      <c r="M51" s="269" t="str">
        <f t="shared" ca="1" si="2"/>
        <v/>
      </c>
      <c r="N51" s="269" t="str">
        <f t="shared" ca="1" si="3"/>
        <v/>
      </c>
      <c r="O51" s="269"/>
      <c r="P51" s="269"/>
      <c r="Q51" s="269"/>
      <c r="R51" s="269"/>
      <c r="S51" s="269"/>
      <c r="T51" s="269"/>
      <c r="U51" s="269"/>
      <c r="V51" s="269"/>
    </row>
    <row r="52" spans="1:22" x14ac:dyDescent="0.25">
      <c r="A52" s="17"/>
      <c r="B52" s="17"/>
      <c r="C52" s="17"/>
      <c r="D52" s="17"/>
      <c r="E52" s="78" t="s">
        <v>248</v>
      </c>
      <c r="F52" s="80">
        <f>SUM(F2:F51)</f>
        <v>0</v>
      </c>
      <c r="G52" s="81"/>
      <c r="H52" s="82"/>
      <c r="I52" s="80">
        <f>SUM(I2:I51)</f>
        <v>0</v>
      </c>
      <c r="J52" s="80">
        <f>SUM(J2:J51)</f>
        <v>0</v>
      </c>
      <c r="K52" s="81"/>
      <c r="L52" s="83"/>
      <c r="M52" s="83"/>
      <c r="N52" s="83"/>
      <c r="O52" s="83"/>
      <c r="P52" s="82"/>
      <c r="Q52" s="84"/>
      <c r="R52" s="84"/>
      <c r="S52" s="84"/>
      <c r="T52" s="84"/>
      <c r="U52" s="84"/>
      <c r="V52" s="84"/>
    </row>
    <row r="53" spans="1:22" ht="12.75" customHeight="1" x14ac:dyDescent="0.25"/>
    <row r="54" spans="1:22" ht="12" hidden="1" customHeight="1" x14ac:dyDescent="0.25"/>
    <row r="154" ht="19.5" customHeight="1" x14ac:dyDescent="0.25"/>
    <row r="155" ht="21.75" customHeight="1" x14ac:dyDescent="0.25"/>
    <row r="156" x14ac:dyDescent="0.25"/>
    <row r="157" x14ac:dyDescent="0.25"/>
    <row r="158" x14ac:dyDescent="0.25"/>
    <row r="159" x14ac:dyDescent="0.25"/>
    <row r="160" x14ac:dyDescent="0.25"/>
    <row r="161" x14ac:dyDescent="0.25"/>
    <row r="162" x14ac:dyDescent="0.25"/>
  </sheetData>
  <sheetProtection algorithmName="SHA-512" hashValue="vAMqLO/vhHDWHooQCKv1N8MskLVD2BJIG/6uMUxnwhuxvvJzegrGlARBdQ2bh7ilGenZ2RZl3Tp51H9qbY2iKQ==" saltValue="lXEmUjL/bnzyfep7g2PmJg==" spinCount="100000" sheet="1" objects="1" scenarios="1" formatCells="0" formatColumns="0" formatRows="0" insertRows="0"/>
  <protectedRanges>
    <protectedRange algorithmName="SHA-512" hashValue="jnRiNYpsQTHZNeAEj8tz6qY9xaNCE1cGmPx5ob+KcmAi+8jfn/XcWuroGKJtUZaR5+HBo+tzYRjOaW6p/bX4Lw==" saltValue="juDAkr0xgh1VvkwtDZXhag==" spinCount="100000" sqref="A1:V52" name="Range1"/>
  </protectedRanges>
  <sortState xmlns:xlrd2="http://schemas.microsoft.com/office/spreadsheetml/2017/richdata2" ref="AA4:AA17">
    <sortCondition ref="AA4"/>
  </sortState>
  <dataValidations count="3">
    <dataValidation type="list" allowBlank="1" showInputMessage="1" showErrorMessage="1" sqref="D2:D51" xr:uid="{00000000-0002-0000-0F00-000000000000}">
      <formula1>"Sanction Letter,Individual CIBIL,Commercial CIBIL,Bank Statement,Other (mention in remark)"</formula1>
    </dataValidation>
    <dataValidation type="list" allowBlank="1" showInputMessage="1" showErrorMessage="1" sqref="E2:E51" xr:uid="{00000000-0002-0000-0F00-000001000000}">
      <formula1>$AA$2:$AA$15</formula1>
    </dataValidation>
    <dataValidation type="list" allowBlank="1" showInputMessage="1" showErrorMessage="1" sqref="P2:P51" xr:uid="{00000000-0002-0000-0F00-000002000000}">
      <formula1>$AF$3:$AF$22</formula1>
    </dataValidation>
  </dataValidations>
  <pageMargins left="0.7" right="0.7" top="0.75" bottom="0.75" header="0.3" footer="0.3"/>
  <pageSetup paperSize="9" orientation="portrait" horizontalDpi="4294967295" verticalDpi="4294967295"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AF99F-1DCF-4D1A-AE5E-5A2A87EBE739}">
  <sheetPr codeName="Sheet27">
    <tabColor theme="3" tint="-0.499984740745262"/>
  </sheetPr>
  <dimension ref="A1:BD30"/>
  <sheetViews>
    <sheetView zoomScale="90" zoomScaleNormal="90" workbookViewId="0"/>
  </sheetViews>
  <sheetFormatPr defaultRowHeight="15" customHeight="1" outlineLevelRow="1" x14ac:dyDescent="0.2"/>
  <cols>
    <col min="1" max="1" width="1.7109375" style="313" customWidth="1"/>
    <col min="2" max="2" width="4.5703125" style="314" customWidth="1"/>
    <col min="3" max="3" width="22.5703125" style="314" customWidth="1"/>
    <col min="4" max="4" width="20.7109375" style="314" customWidth="1"/>
    <col min="5" max="5" width="14.140625" style="314" customWidth="1"/>
    <col min="6" max="7" width="11.7109375" style="314" customWidth="1"/>
    <col min="8" max="8" width="11.140625" style="314" customWidth="1"/>
    <col min="9" max="9" width="14.140625" style="314" customWidth="1"/>
    <col min="10" max="11" width="7.7109375" style="314" customWidth="1"/>
    <col min="12" max="12" width="4" style="314" customWidth="1"/>
    <col min="13" max="13" width="9.7109375" style="314" customWidth="1"/>
    <col min="14" max="14" width="12" style="314" customWidth="1"/>
    <col min="15" max="15" width="5.7109375" style="314" customWidth="1"/>
    <col min="16" max="16" width="7.28515625" style="314" customWidth="1"/>
    <col min="17" max="17" width="9.7109375" style="314" customWidth="1"/>
    <col min="18" max="18" width="13.7109375" style="314" customWidth="1"/>
    <col min="19" max="19" width="5.140625" style="314" customWidth="1"/>
    <col min="20" max="20" width="9.7109375" style="314" customWidth="1"/>
    <col min="21" max="21" width="12.5703125" style="314" customWidth="1"/>
    <col min="22" max="22" width="5.140625" style="314" customWidth="1"/>
    <col min="23" max="23" width="9.7109375" style="314" customWidth="1"/>
    <col min="24" max="24" width="12.7109375" style="314" customWidth="1"/>
    <col min="25" max="25" width="5.140625" style="314" customWidth="1"/>
    <col min="26" max="26" width="9.7109375" style="314" customWidth="1"/>
    <col min="27" max="27" width="12.7109375" style="314" customWidth="1"/>
    <col min="28" max="28" width="5.140625" style="314" customWidth="1"/>
    <col min="29" max="29" width="9.7109375" style="314" customWidth="1"/>
    <col min="30" max="30" width="12.7109375" style="314" customWidth="1"/>
    <col min="31" max="31" width="5.140625" style="314" customWidth="1"/>
    <col min="32" max="32" width="9.7109375" style="314" customWidth="1"/>
    <col min="33" max="33" width="12.7109375" style="314" customWidth="1"/>
    <col min="34" max="34" width="5.140625" style="314" customWidth="1"/>
    <col min="35" max="35" width="9.7109375" style="314" customWidth="1"/>
    <col min="36" max="36" width="12.7109375" style="314" customWidth="1"/>
    <col min="37" max="37" width="5.140625" style="314" customWidth="1"/>
    <col min="38" max="38" width="9.7109375" style="314" customWidth="1"/>
    <col min="39" max="39" width="12.7109375" style="314" customWidth="1"/>
    <col min="40" max="40" width="5.140625" style="314" customWidth="1"/>
    <col min="41" max="41" width="9.7109375" style="314" customWidth="1"/>
    <col min="42" max="42" width="12.7109375" style="314" customWidth="1"/>
    <col min="43" max="43" width="5.140625" style="314" customWidth="1"/>
    <col min="44" max="44" width="9.7109375" style="314" customWidth="1"/>
    <col min="45" max="45" width="12.7109375" style="314" customWidth="1"/>
    <col min="46" max="46" width="5.140625" style="314" customWidth="1"/>
    <col min="47" max="47" width="9.7109375" style="314" customWidth="1"/>
    <col min="48" max="48" width="12.7109375" style="314" customWidth="1"/>
    <col min="49" max="49" width="5.140625" style="314" customWidth="1"/>
    <col min="50" max="50" width="9.7109375" style="314" customWidth="1"/>
    <col min="51" max="51" width="12.7109375" style="314" customWidth="1"/>
    <col min="52" max="52" width="5.140625" style="314" customWidth="1"/>
    <col min="53" max="53" width="9.7109375" style="314" customWidth="1"/>
    <col min="54" max="54" width="12.7109375" style="314" customWidth="1"/>
    <col min="55" max="55" width="37.7109375" style="314" customWidth="1"/>
    <col min="56" max="56" width="9.140625" style="314"/>
    <col min="57" max="16384" width="9.140625" style="315"/>
  </cols>
  <sheetData>
    <row r="1" spans="1:56" ht="13.5" thickBot="1" x14ac:dyDescent="0.25">
      <c r="A1" s="313">
        <v>130</v>
      </c>
    </row>
    <row r="2" spans="1:56" ht="18.75" customHeight="1" outlineLevel="1" thickBot="1" x14ac:dyDescent="0.25">
      <c r="B2" s="621" t="s">
        <v>1061</v>
      </c>
      <c r="C2" s="622"/>
      <c r="D2" s="622"/>
      <c r="E2" s="622"/>
      <c r="F2" s="622"/>
      <c r="G2" s="622"/>
      <c r="H2" s="622"/>
      <c r="I2" s="622"/>
      <c r="J2" s="622"/>
      <c r="K2" s="622"/>
      <c r="L2" s="622"/>
      <c r="M2" s="622"/>
      <c r="N2" s="622"/>
      <c r="O2" s="622"/>
      <c r="P2" s="622"/>
      <c r="Q2" s="622"/>
      <c r="R2" s="622"/>
      <c r="S2" s="622"/>
      <c r="T2" s="622"/>
      <c r="U2" s="622"/>
      <c r="V2" s="622"/>
      <c r="W2" s="622"/>
      <c r="X2" s="622"/>
      <c r="Y2" s="622"/>
      <c r="Z2" s="623"/>
      <c r="BC2" s="315"/>
      <c r="BD2" s="315"/>
    </row>
    <row r="3" spans="1:56" s="318" customFormat="1" ht="17.25" customHeight="1" outlineLevel="1" x14ac:dyDescent="0.25">
      <c r="A3" s="316"/>
      <c r="B3" s="624" t="s">
        <v>863</v>
      </c>
      <c r="C3" s="625"/>
      <c r="D3" s="625"/>
      <c r="E3" s="626" t="s">
        <v>1062</v>
      </c>
      <c r="F3" s="626"/>
      <c r="G3" s="626"/>
      <c r="H3" s="626" t="s">
        <v>1063</v>
      </c>
      <c r="I3" s="626"/>
      <c r="J3" s="626"/>
      <c r="K3" s="626" t="s">
        <v>1064</v>
      </c>
      <c r="L3" s="626"/>
      <c r="M3" s="626"/>
      <c r="N3" s="626"/>
      <c r="O3" s="626" t="s">
        <v>1065</v>
      </c>
      <c r="P3" s="626"/>
      <c r="Q3" s="626"/>
      <c r="R3" s="626"/>
      <c r="S3" s="626" t="s">
        <v>1066</v>
      </c>
      <c r="T3" s="626"/>
      <c r="U3" s="626"/>
      <c r="V3" s="626"/>
      <c r="W3" s="626" t="s">
        <v>1067</v>
      </c>
      <c r="X3" s="626"/>
      <c r="Y3" s="626"/>
      <c r="Z3" s="627"/>
      <c r="AA3" s="317"/>
      <c r="AB3" s="317"/>
      <c r="AC3" s="317"/>
      <c r="AD3" s="317"/>
      <c r="AE3" s="317"/>
      <c r="AF3" s="317"/>
      <c r="AG3" s="317"/>
      <c r="AH3" s="317"/>
      <c r="AI3" s="317"/>
      <c r="AJ3" s="317"/>
      <c r="AK3" s="317"/>
      <c r="AL3" s="317"/>
      <c r="AM3" s="317"/>
      <c r="AN3" s="317"/>
      <c r="AO3" s="317"/>
      <c r="AP3" s="317"/>
      <c r="AQ3" s="317"/>
      <c r="AR3" s="317"/>
      <c r="AS3" s="317"/>
      <c r="AT3" s="317"/>
      <c r="AU3" s="317"/>
      <c r="AV3" s="317"/>
      <c r="AW3" s="317"/>
      <c r="AX3" s="317"/>
      <c r="AY3" s="317"/>
      <c r="AZ3" s="317"/>
      <c r="BA3" s="317"/>
      <c r="BB3" s="317"/>
    </row>
    <row r="4" spans="1:56" ht="15" customHeight="1" outlineLevel="1" x14ac:dyDescent="0.2">
      <c r="B4" s="609" t="s">
        <v>1068</v>
      </c>
      <c r="C4" s="610"/>
      <c r="D4" s="610"/>
      <c r="E4" s="611"/>
      <c r="F4" s="611"/>
      <c r="G4" s="611"/>
      <c r="H4" s="611"/>
      <c r="I4" s="611"/>
      <c r="J4" s="611"/>
      <c r="K4" s="611"/>
      <c r="L4" s="611"/>
      <c r="M4" s="611"/>
      <c r="N4" s="611"/>
      <c r="O4" s="611"/>
      <c r="P4" s="611"/>
      <c r="Q4" s="611"/>
      <c r="R4" s="611"/>
      <c r="S4" s="611"/>
      <c r="T4" s="611"/>
      <c r="U4" s="611"/>
      <c r="V4" s="611"/>
      <c r="W4" s="611"/>
      <c r="X4" s="611"/>
      <c r="Y4" s="611"/>
      <c r="Z4" s="612"/>
      <c r="BA4" s="315"/>
      <c r="BB4" s="315"/>
      <c r="BC4" s="315"/>
      <c r="BD4" s="315"/>
    </row>
    <row r="5" spans="1:56" ht="15" customHeight="1" outlineLevel="1" x14ac:dyDescent="0.2">
      <c r="B5" s="609" t="s">
        <v>966</v>
      </c>
      <c r="C5" s="610"/>
      <c r="D5" s="610"/>
      <c r="E5" s="611"/>
      <c r="F5" s="611"/>
      <c r="G5" s="611"/>
      <c r="H5" s="611"/>
      <c r="I5" s="611"/>
      <c r="J5" s="611"/>
      <c r="K5" s="611"/>
      <c r="L5" s="611"/>
      <c r="M5" s="611"/>
      <c r="N5" s="611"/>
      <c r="O5" s="611"/>
      <c r="P5" s="611"/>
      <c r="Q5" s="611"/>
      <c r="R5" s="611"/>
      <c r="S5" s="611"/>
      <c r="T5" s="611"/>
      <c r="U5" s="611"/>
      <c r="V5" s="611"/>
      <c r="W5" s="611"/>
      <c r="X5" s="611"/>
      <c r="Y5" s="611"/>
      <c r="Z5" s="612"/>
      <c r="BA5" s="315"/>
      <c r="BB5" s="315"/>
      <c r="BC5" s="315"/>
      <c r="BD5" s="315"/>
    </row>
    <row r="6" spans="1:56" ht="15" customHeight="1" outlineLevel="1" x14ac:dyDescent="0.2">
      <c r="B6" s="609" t="s">
        <v>1069</v>
      </c>
      <c r="C6" s="610"/>
      <c r="D6" s="610"/>
      <c r="E6" s="619"/>
      <c r="F6" s="619"/>
      <c r="G6" s="619"/>
      <c r="H6" s="619"/>
      <c r="I6" s="619"/>
      <c r="J6" s="619"/>
      <c r="K6" s="619"/>
      <c r="L6" s="619"/>
      <c r="M6" s="619"/>
      <c r="N6" s="619"/>
      <c r="O6" s="619"/>
      <c r="P6" s="619"/>
      <c r="Q6" s="619"/>
      <c r="R6" s="619"/>
      <c r="S6" s="619"/>
      <c r="T6" s="619"/>
      <c r="U6" s="619"/>
      <c r="V6" s="619"/>
      <c r="W6" s="619"/>
      <c r="X6" s="619"/>
      <c r="Y6" s="619"/>
      <c r="Z6" s="620"/>
      <c r="BA6" s="315"/>
      <c r="BB6" s="315"/>
      <c r="BC6" s="315"/>
      <c r="BD6" s="315"/>
    </row>
    <row r="7" spans="1:56" ht="15" customHeight="1" outlineLevel="1" x14ac:dyDescent="0.2">
      <c r="B7" s="609" t="s">
        <v>1070</v>
      </c>
      <c r="C7" s="610"/>
      <c r="D7" s="610"/>
      <c r="E7" s="611"/>
      <c r="F7" s="611"/>
      <c r="G7" s="611"/>
      <c r="H7" s="611"/>
      <c r="I7" s="611"/>
      <c r="J7" s="611"/>
      <c r="K7" s="611"/>
      <c r="L7" s="611"/>
      <c r="M7" s="611"/>
      <c r="N7" s="611"/>
      <c r="O7" s="611"/>
      <c r="P7" s="611"/>
      <c r="Q7" s="611"/>
      <c r="R7" s="611"/>
      <c r="S7" s="611"/>
      <c r="T7" s="611"/>
      <c r="U7" s="611"/>
      <c r="V7" s="611"/>
      <c r="W7" s="611"/>
      <c r="X7" s="611"/>
      <c r="Y7" s="611"/>
      <c r="Z7" s="612"/>
      <c r="BA7" s="315"/>
      <c r="BB7" s="315"/>
      <c r="BC7" s="315"/>
      <c r="BD7" s="315"/>
    </row>
    <row r="8" spans="1:56" s="321" customFormat="1" ht="21" customHeight="1" outlineLevel="1" x14ac:dyDescent="0.25">
      <c r="A8" s="319"/>
      <c r="B8" s="609" t="s">
        <v>462</v>
      </c>
      <c r="C8" s="610"/>
      <c r="D8" s="610"/>
      <c r="E8" s="617"/>
      <c r="F8" s="617"/>
      <c r="G8" s="617"/>
      <c r="H8" s="617"/>
      <c r="I8" s="617"/>
      <c r="J8" s="617"/>
      <c r="K8" s="617"/>
      <c r="L8" s="617"/>
      <c r="M8" s="617"/>
      <c r="N8" s="617"/>
      <c r="O8" s="617"/>
      <c r="P8" s="617"/>
      <c r="Q8" s="617"/>
      <c r="R8" s="617"/>
      <c r="S8" s="617"/>
      <c r="T8" s="617"/>
      <c r="U8" s="617"/>
      <c r="V8" s="617"/>
      <c r="W8" s="617"/>
      <c r="X8" s="617"/>
      <c r="Y8" s="617"/>
      <c r="Z8" s="618"/>
      <c r="AA8" s="320"/>
      <c r="AB8" s="320"/>
      <c r="AC8" s="320"/>
      <c r="AD8" s="320"/>
      <c r="AE8" s="320"/>
      <c r="AF8" s="320"/>
      <c r="AG8" s="320"/>
      <c r="AH8" s="320"/>
      <c r="AI8" s="320"/>
      <c r="AJ8" s="320"/>
      <c r="AK8" s="320"/>
      <c r="AL8" s="320"/>
      <c r="AM8" s="320"/>
      <c r="AN8" s="320"/>
      <c r="AO8" s="320"/>
      <c r="AP8" s="320"/>
      <c r="AQ8" s="320"/>
      <c r="AR8" s="320"/>
      <c r="AS8" s="320"/>
      <c r="AT8" s="320"/>
      <c r="AU8" s="320"/>
      <c r="AV8" s="320"/>
      <c r="AW8" s="320"/>
      <c r="AX8" s="320"/>
      <c r="AY8" s="320"/>
      <c r="AZ8" s="320"/>
    </row>
    <row r="9" spans="1:56" ht="15" customHeight="1" outlineLevel="1" x14ac:dyDescent="0.2">
      <c r="B9" s="609" t="s">
        <v>1071</v>
      </c>
      <c r="C9" s="610"/>
      <c r="D9" s="610"/>
      <c r="E9" s="611"/>
      <c r="F9" s="611"/>
      <c r="G9" s="611"/>
      <c r="H9" s="611"/>
      <c r="I9" s="611"/>
      <c r="J9" s="611"/>
      <c r="K9" s="611"/>
      <c r="L9" s="611"/>
      <c r="M9" s="611"/>
      <c r="N9" s="611"/>
      <c r="O9" s="611"/>
      <c r="P9" s="611"/>
      <c r="Q9" s="611"/>
      <c r="R9" s="611"/>
      <c r="S9" s="611"/>
      <c r="T9" s="611"/>
      <c r="U9" s="611"/>
      <c r="V9" s="611"/>
      <c r="W9" s="611"/>
      <c r="X9" s="611"/>
      <c r="Y9" s="611"/>
      <c r="Z9" s="612"/>
      <c r="BA9" s="315"/>
      <c r="BB9" s="315"/>
      <c r="BC9" s="315"/>
      <c r="BD9" s="315"/>
    </row>
    <row r="10" spans="1:56" ht="15" customHeight="1" outlineLevel="1" x14ac:dyDescent="0.2">
      <c r="B10" s="609" t="s">
        <v>1072</v>
      </c>
      <c r="C10" s="610"/>
      <c r="D10" s="610"/>
      <c r="E10" s="611"/>
      <c r="F10" s="611"/>
      <c r="G10" s="611"/>
      <c r="H10" s="611"/>
      <c r="I10" s="611"/>
      <c r="J10" s="611"/>
      <c r="K10" s="611"/>
      <c r="L10" s="611"/>
      <c r="M10" s="611"/>
      <c r="N10" s="611"/>
      <c r="O10" s="611"/>
      <c r="P10" s="611"/>
      <c r="Q10" s="611"/>
      <c r="R10" s="611"/>
      <c r="S10" s="611"/>
      <c r="T10" s="611"/>
      <c r="U10" s="611"/>
      <c r="V10" s="611"/>
      <c r="W10" s="611"/>
      <c r="X10" s="611"/>
      <c r="Y10" s="611"/>
      <c r="Z10" s="612"/>
      <c r="BA10" s="315"/>
      <c r="BB10" s="315"/>
      <c r="BC10" s="315"/>
      <c r="BD10" s="315"/>
    </row>
    <row r="11" spans="1:56" ht="15" customHeight="1" outlineLevel="1" x14ac:dyDescent="0.2">
      <c r="B11" s="609" t="s">
        <v>1073</v>
      </c>
      <c r="C11" s="610"/>
      <c r="D11" s="610"/>
      <c r="E11" s="613"/>
      <c r="F11" s="613"/>
      <c r="G11" s="613"/>
      <c r="H11" s="613"/>
      <c r="I11" s="613"/>
      <c r="J11" s="613"/>
      <c r="K11" s="613"/>
      <c r="L11" s="613"/>
      <c r="M11" s="613"/>
      <c r="N11" s="613"/>
      <c r="O11" s="613"/>
      <c r="P11" s="613"/>
      <c r="Q11" s="613"/>
      <c r="R11" s="613"/>
      <c r="S11" s="613"/>
      <c r="T11" s="613"/>
      <c r="U11" s="613"/>
      <c r="V11" s="613"/>
      <c r="W11" s="613"/>
      <c r="X11" s="613"/>
      <c r="Y11" s="613"/>
      <c r="Z11" s="614"/>
      <c r="BA11" s="315"/>
      <c r="BB11" s="315"/>
      <c r="BC11" s="315"/>
      <c r="BD11" s="315"/>
    </row>
    <row r="12" spans="1:56" ht="15" customHeight="1" outlineLevel="1" x14ac:dyDescent="0.2">
      <c r="B12" s="609" t="s">
        <v>1074</v>
      </c>
      <c r="C12" s="610"/>
      <c r="D12" s="610"/>
      <c r="E12" s="613"/>
      <c r="F12" s="613"/>
      <c r="G12" s="613"/>
      <c r="H12" s="613"/>
      <c r="I12" s="613"/>
      <c r="J12" s="613"/>
      <c r="K12" s="613"/>
      <c r="L12" s="613"/>
      <c r="M12" s="613"/>
      <c r="N12" s="613"/>
      <c r="O12" s="613"/>
      <c r="P12" s="613"/>
      <c r="Q12" s="613"/>
      <c r="R12" s="613"/>
      <c r="S12" s="613"/>
      <c r="T12" s="613"/>
      <c r="U12" s="613"/>
      <c r="V12" s="613"/>
      <c r="W12" s="613"/>
      <c r="X12" s="613"/>
      <c r="Y12" s="613"/>
      <c r="Z12" s="614"/>
      <c r="BA12" s="315"/>
      <c r="BB12" s="315"/>
      <c r="BC12" s="315"/>
      <c r="BD12" s="315"/>
    </row>
    <row r="13" spans="1:56" ht="15" customHeight="1" outlineLevel="1" x14ac:dyDescent="0.2">
      <c r="B13" s="609" t="s">
        <v>1075</v>
      </c>
      <c r="C13" s="610"/>
      <c r="D13" s="610"/>
      <c r="E13" s="615" t="str">
        <f>IFERROR(E11/E12,"")</f>
        <v/>
      </c>
      <c r="F13" s="615" t="str">
        <f>IFERROR(F11/F12,"")</f>
        <v/>
      </c>
      <c r="G13" s="615" t="str">
        <f>IFERROR(G11/G12,"")</f>
        <v/>
      </c>
      <c r="H13" s="615" t="str">
        <f>IFERROR(H11/H12,"")</f>
        <v/>
      </c>
      <c r="I13" s="615"/>
      <c r="J13" s="615"/>
      <c r="K13" s="615" t="str">
        <f>IFERROR(K11/K12,"")</f>
        <v/>
      </c>
      <c r="L13" s="615"/>
      <c r="M13" s="615"/>
      <c r="N13" s="615"/>
      <c r="O13" s="615" t="str">
        <f>IFERROR(O11/O12,"")</f>
        <v/>
      </c>
      <c r="P13" s="615"/>
      <c r="Q13" s="615"/>
      <c r="R13" s="615"/>
      <c r="S13" s="615" t="str">
        <f>IFERROR(S11/S12,"")</f>
        <v/>
      </c>
      <c r="T13" s="615"/>
      <c r="U13" s="615"/>
      <c r="V13" s="615"/>
      <c r="W13" s="615" t="str">
        <f>IFERROR(W11/W12,"")</f>
        <v/>
      </c>
      <c r="X13" s="615"/>
      <c r="Y13" s="615"/>
      <c r="Z13" s="616"/>
      <c r="BA13" s="315"/>
      <c r="BB13" s="315"/>
      <c r="BC13" s="315"/>
      <c r="BD13" s="315"/>
    </row>
    <row r="14" spans="1:56" ht="15" customHeight="1" outlineLevel="1" x14ac:dyDescent="0.2">
      <c r="B14" s="609" t="s">
        <v>1076</v>
      </c>
      <c r="C14" s="610"/>
      <c r="D14" s="610"/>
      <c r="E14" s="611"/>
      <c r="F14" s="611"/>
      <c r="G14" s="611"/>
      <c r="H14" s="611"/>
      <c r="I14" s="611"/>
      <c r="J14" s="611"/>
      <c r="K14" s="611"/>
      <c r="L14" s="611"/>
      <c r="M14" s="611"/>
      <c r="N14" s="611"/>
      <c r="O14" s="611"/>
      <c r="P14" s="611"/>
      <c r="Q14" s="611"/>
      <c r="R14" s="611"/>
      <c r="S14" s="611"/>
      <c r="T14" s="611"/>
      <c r="U14" s="611"/>
      <c r="V14" s="611"/>
      <c r="W14" s="611"/>
      <c r="X14" s="611"/>
      <c r="Y14" s="611"/>
      <c r="Z14" s="612"/>
      <c r="BA14" s="315"/>
      <c r="BB14" s="315"/>
      <c r="BC14" s="315"/>
      <c r="BD14" s="315"/>
    </row>
    <row r="15" spans="1:56" ht="15" customHeight="1" outlineLevel="1" x14ac:dyDescent="0.2">
      <c r="B15" s="609" t="s">
        <v>1077</v>
      </c>
      <c r="C15" s="610"/>
      <c r="D15" s="610"/>
      <c r="E15" s="611"/>
      <c r="F15" s="611"/>
      <c r="G15" s="611"/>
      <c r="H15" s="611"/>
      <c r="I15" s="611"/>
      <c r="J15" s="611"/>
      <c r="K15" s="611"/>
      <c r="L15" s="611"/>
      <c r="M15" s="611"/>
      <c r="N15" s="611"/>
      <c r="O15" s="611"/>
      <c r="P15" s="611"/>
      <c r="Q15" s="611"/>
      <c r="R15" s="611"/>
      <c r="S15" s="611"/>
      <c r="T15" s="611"/>
      <c r="U15" s="611"/>
      <c r="V15" s="611"/>
      <c r="W15" s="611"/>
      <c r="X15" s="611"/>
      <c r="Y15" s="611"/>
      <c r="Z15" s="612"/>
      <c r="BA15" s="315"/>
      <c r="BB15" s="315"/>
      <c r="BC15" s="315"/>
      <c r="BD15" s="315"/>
    </row>
    <row r="16" spans="1:56" ht="15" customHeight="1" outlineLevel="1" x14ac:dyDescent="0.2">
      <c r="B16" s="609" t="s">
        <v>1078</v>
      </c>
      <c r="C16" s="610"/>
      <c r="D16" s="610"/>
      <c r="E16" s="603"/>
      <c r="F16" s="603"/>
      <c r="G16" s="603"/>
      <c r="H16" s="603"/>
      <c r="I16" s="603"/>
      <c r="J16" s="603"/>
      <c r="K16" s="603"/>
      <c r="L16" s="603"/>
      <c r="M16" s="603"/>
      <c r="N16" s="603"/>
      <c r="O16" s="603"/>
      <c r="P16" s="603"/>
      <c r="Q16" s="603"/>
      <c r="R16" s="603"/>
      <c r="S16" s="603"/>
      <c r="T16" s="603"/>
      <c r="U16" s="603"/>
      <c r="V16" s="603"/>
      <c r="W16" s="603"/>
      <c r="X16" s="603"/>
      <c r="Y16" s="603"/>
      <c r="Z16" s="604"/>
      <c r="BA16" s="315"/>
      <c r="BB16" s="315"/>
      <c r="BC16" s="315"/>
      <c r="BD16" s="315"/>
    </row>
    <row r="17" spans="1:56" ht="15" customHeight="1" outlineLevel="1" x14ac:dyDescent="0.2">
      <c r="B17" s="609" t="s">
        <v>1079</v>
      </c>
      <c r="C17" s="610"/>
      <c r="D17" s="610"/>
      <c r="E17" s="603"/>
      <c r="F17" s="603"/>
      <c r="G17" s="603"/>
      <c r="H17" s="603"/>
      <c r="I17" s="603"/>
      <c r="J17" s="603"/>
      <c r="K17" s="603"/>
      <c r="L17" s="603"/>
      <c r="M17" s="603"/>
      <c r="N17" s="603"/>
      <c r="O17" s="603"/>
      <c r="P17" s="603"/>
      <c r="Q17" s="603"/>
      <c r="R17" s="603"/>
      <c r="S17" s="603"/>
      <c r="T17" s="603"/>
      <c r="U17" s="603"/>
      <c r="V17" s="603"/>
      <c r="W17" s="603"/>
      <c r="X17" s="603"/>
      <c r="Y17" s="603"/>
      <c r="Z17" s="604"/>
      <c r="BA17" s="315"/>
      <c r="BB17" s="315"/>
      <c r="BC17" s="315"/>
      <c r="BD17" s="315"/>
    </row>
    <row r="18" spans="1:56" ht="15" customHeight="1" outlineLevel="1" x14ac:dyDescent="0.2">
      <c r="B18" s="609" t="s">
        <v>1080</v>
      </c>
      <c r="C18" s="610"/>
      <c r="D18" s="610"/>
      <c r="E18" s="603"/>
      <c r="F18" s="603"/>
      <c r="G18" s="603"/>
      <c r="H18" s="603"/>
      <c r="I18" s="603"/>
      <c r="J18" s="603"/>
      <c r="K18" s="603"/>
      <c r="L18" s="603"/>
      <c r="M18" s="603"/>
      <c r="N18" s="603"/>
      <c r="O18" s="603"/>
      <c r="P18" s="603"/>
      <c r="Q18" s="603"/>
      <c r="R18" s="603"/>
      <c r="S18" s="603"/>
      <c r="T18" s="603"/>
      <c r="U18" s="603"/>
      <c r="V18" s="603"/>
      <c r="W18" s="603"/>
      <c r="X18" s="603"/>
      <c r="Y18" s="603"/>
      <c r="Z18" s="604"/>
      <c r="BA18" s="315"/>
      <c r="BB18" s="315"/>
      <c r="BC18" s="315"/>
      <c r="BD18" s="315"/>
    </row>
    <row r="19" spans="1:56" ht="15" customHeight="1" outlineLevel="1" x14ac:dyDescent="0.2">
      <c r="B19" s="609" t="s">
        <v>1081</v>
      </c>
      <c r="C19" s="610"/>
      <c r="D19" s="610"/>
      <c r="E19" s="603"/>
      <c r="F19" s="603"/>
      <c r="G19" s="603"/>
      <c r="H19" s="603"/>
      <c r="I19" s="603"/>
      <c r="J19" s="603"/>
      <c r="K19" s="603"/>
      <c r="L19" s="603"/>
      <c r="M19" s="603"/>
      <c r="N19" s="603"/>
      <c r="O19" s="603"/>
      <c r="P19" s="603"/>
      <c r="Q19" s="603"/>
      <c r="R19" s="603"/>
      <c r="S19" s="603"/>
      <c r="T19" s="603"/>
      <c r="U19" s="603"/>
      <c r="V19" s="603"/>
      <c r="W19" s="603"/>
      <c r="X19" s="603"/>
      <c r="Y19" s="603"/>
      <c r="Z19" s="604"/>
      <c r="BA19" s="315"/>
      <c r="BB19" s="315"/>
      <c r="BC19" s="315"/>
      <c r="BD19" s="315"/>
    </row>
    <row r="20" spans="1:56" ht="15" customHeight="1" outlineLevel="1" x14ac:dyDescent="0.2">
      <c r="B20" s="609" t="s">
        <v>1082</v>
      </c>
      <c r="C20" s="610"/>
      <c r="D20" s="610"/>
      <c r="E20" s="603"/>
      <c r="F20" s="603"/>
      <c r="G20" s="603"/>
      <c r="H20" s="603"/>
      <c r="I20" s="603"/>
      <c r="J20" s="603"/>
      <c r="K20" s="603"/>
      <c r="L20" s="603"/>
      <c r="M20" s="603"/>
      <c r="N20" s="603"/>
      <c r="O20" s="603"/>
      <c r="P20" s="603"/>
      <c r="Q20" s="603"/>
      <c r="R20" s="603"/>
      <c r="S20" s="603"/>
      <c r="T20" s="603"/>
      <c r="U20" s="603"/>
      <c r="V20" s="603"/>
      <c r="W20" s="603"/>
      <c r="X20" s="603"/>
      <c r="Y20" s="603"/>
      <c r="Z20" s="604"/>
      <c r="BA20" s="315"/>
      <c r="BB20" s="315"/>
      <c r="BC20" s="315"/>
      <c r="BD20" s="315"/>
    </row>
    <row r="21" spans="1:56" ht="15" customHeight="1" outlineLevel="1" thickBot="1" x14ac:dyDescent="0.25">
      <c r="B21" s="605" t="s">
        <v>1083</v>
      </c>
      <c r="C21" s="606"/>
      <c r="D21" s="606"/>
      <c r="E21" s="607"/>
      <c r="F21" s="607"/>
      <c r="G21" s="607"/>
      <c r="H21" s="607"/>
      <c r="I21" s="607"/>
      <c r="J21" s="607"/>
      <c r="K21" s="607"/>
      <c r="L21" s="607"/>
      <c r="M21" s="607"/>
      <c r="N21" s="607"/>
      <c r="O21" s="607"/>
      <c r="P21" s="607"/>
      <c r="Q21" s="607"/>
      <c r="R21" s="607"/>
      <c r="S21" s="607"/>
      <c r="T21" s="607"/>
      <c r="U21" s="607"/>
      <c r="V21" s="607"/>
      <c r="W21" s="607"/>
      <c r="X21" s="607"/>
      <c r="Y21" s="607"/>
      <c r="Z21" s="608"/>
      <c r="BA21" s="315"/>
      <c r="BB21" s="315"/>
      <c r="BC21" s="315"/>
      <c r="BD21" s="315"/>
    </row>
    <row r="22" spans="1:56" ht="15" customHeight="1" outlineLevel="1" thickBot="1" x14ac:dyDescent="0.25"/>
    <row r="23" spans="1:56" ht="19.5" thickBot="1" x14ac:dyDescent="0.25">
      <c r="A23" s="314"/>
      <c r="B23" s="588" t="s">
        <v>523</v>
      </c>
      <c r="C23" s="589"/>
      <c r="D23" s="589"/>
      <c r="E23" s="589"/>
      <c r="F23" s="589"/>
      <c r="G23" s="589"/>
      <c r="H23" s="589"/>
      <c r="I23" s="589"/>
      <c r="J23" s="589"/>
      <c r="K23" s="589"/>
      <c r="L23" s="589"/>
      <c r="M23" s="589"/>
      <c r="N23" s="590"/>
      <c r="O23" s="588" t="s">
        <v>1084</v>
      </c>
      <c r="P23" s="589"/>
      <c r="Q23" s="589"/>
      <c r="R23" s="589"/>
      <c r="S23" s="589"/>
      <c r="T23" s="589"/>
      <c r="U23" s="589"/>
      <c r="V23" s="589"/>
      <c r="W23" s="589"/>
      <c r="X23" s="589"/>
      <c r="Y23" s="589"/>
      <c r="Z23" s="589"/>
      <c r="AA23" s="589"/>
      <c r="AB23" s="589"/>
      <c r="AC23" s="589"/>
      <c r="AD23" s="589"/>
      <c r="AE23" s="589"/>
      <c r="AF23" s="589"/>
      <c r="AG23" s="589"/>
      <c r="AH23" s="589"/>
      <c r="AI23" s="589"/>
      <c r="AJ23" s="589"/>
      <c r="AK23" s="589"/>
      <c r="AL23" s="589"/>
      <c r="AM23" s="589"/>
      <c r="AN23" s="589"/>
      <c r="AO23" s="589"/>
      <c r="AP23" s="589"/>
      <c r="AQ23" s="589"/>
      <c r="AR23" s="589"/>
      <c r="AS23" s="589"/>
      <c r="AT23" s="589"/>
      <c r="AU23" s="589"/>
      <c r="AV23" s="589"/>
      <c r="AW23" s="589"/>
      <c r="AX23" s="589"/>
      <c r="AY23" s="589"/>
      <c r="AZ23" s="589"/>
      <c r="BA23" s="589"/>
      <c r="BB23" s="589"/>
      <c r="BC23" s="590"/>
    </row>
    <row r="24" spans="1:56" s="318" customFormat="1" x14ac:dyDescent="0.25">
      <c r="A24" s="317"/>
      <c r="B24" s="591" t="s">
        <v>1046</v>
      </c>
      <c r="C24" s="593" t="s">
        <v>1085</v>
      </c>
      <c r="D24" s="593" t="s">
        <v>1086</v>
      </c>
      <c r="E24" s="595" t="s">
        <v>1087</v>
      </c>
      <c r="F24" s="597" t="s">
        <v>1088</v>
      </c>
      <c r="G24" s="597" t="s">
        <v>12</v>
      </c>
      <c r="H24" s="593" t="s">
        <v>1089</v>
      </c>
      <c r="I24" s="599" t="s">
        <v>1090</v>
      </c>
      <c r="J24" s="593" t="s">
        <v>531</v>
      </c>
      <c r="K24" s="595" t="s">
        <v>1091</v>
      </c>
      <c r="L24" s="578" t="s">
        <v>1092</v>
      </c>
      <c r="M24" s="579"/>
      <c r="N24" s="580" t="s">
        <v>1093</v>
      </c>
      <c r="O24" s="582" t="s">
        <v>1094</v>
      </c>
      <c r="P24" s="582"/>
      <c r="Q24" s="583"/>
      <c r="R24" s="584"/>
      <c r="S24" s="585"/>
      <c r="T24" s="586"/>
      <c r="U24" s="587"/>
      <c r="V24" s="601" t="e">
        <f>EDATE(S24,-1)</f>
        <v>#NUM!</v>
      </c>
      <c r="W24" s="586"/>
      <c r="X24" s="587"/>
      <c r="Y24" s="601" t="e">
        <f>EDATE(V24,-1)</f>
        <v>#NUM!</v>
      </c>
      <c r="Z24" s="586"/>
      <c r="AA24" s="587"/>
      <c r="AB24" s="601" t="e">
        <f>EDATE(Y24,-1)</f>
        <v>#NUM!</v>
      </c>
      <c r="AC24" s="586"/>
      <c r="AD24" s="587"/>
      <c r="AE24" s="601" t="e">
        <f>EDATE(AB24,-1)</f>
        <v>#NUM!</v>
      </c>
      <c r="AF24" s="586"/>
      <c r="AG24" s="587"/>
      <c r="AH24" s="601" t="e">
        <f>EDATE(AE24,-1)</f>
        <v>#NUM!</v>
      </c>
      <c r="AI24" s="586"/>
      <c r="AJ24" s="587"/>
      <c r="AK24" s="601" t="e">
        <f>EDATE(AH24,-1)</f>
        <v>#NUM!</v>
      </c>
      <c r="AL24" s="586"/>
      <c r="AM24" s="587"/>
      <c r="AN24" s="601" t="e">
        <f>EDATE(AK24,-1)</f>
        <v>#NUM!</v>
      </c>
      <c r="AO24" s="586"/>
      <c r="AP24" s="587"/>
      <c r="AQ24" s="601" t="e">
        <f>EDATE(AN24,-1)</f>
        <v>#NUM!</v>
      </c>
      <c r="AR24" s="586"/>
      <c r="AS24" s="587"/>
      <c r="AT24" s="601" t="e">
        <f>EDATE(AQ24,-1)</f>
        <v>#NUM!</v>
      </c>
      <c r="AU24" s="586"/>
      <c r="AV24" s="587"/>
      <c r="AW24" s="601" t="e">
        <f>EDATE(AT24,-1)</f>
        <v>#NUM!</v>
      </c>
      <c r="AX24" s="586"/>
      <c r="AY24" s="587"/>
      <c r="AZ24" s="601" t="e">
        <f>EDATE(AW24,-1)</f>
        <v>#NUM!</v>
      </c>
      <c r="BA24" s="586"/>
      <c r="BB24" s="587"/>
      <c r="BC24" s="602" t="s">
        <v>1095</v>
      </c>
      <c r="BD24" s="317"/>
    </row>
    <row r="25" spans="1:56" s="318" customFormat="1" ht="45" x14ac:dyDescent="0.25">
      <c r="A25" s="317"/>
      <c r="B25" s="592"/>
      <c r="C25" s="594"/>
      <c r="D25" s="594"/>
      <c r="E25" s="596"/>
      <c r="F25" s="598"/>
      <c r="G25" s="598"/>
      <c r="H25" s="594"/>
      <c r="I25" s="600"/>
      <c r="J25" s="594"/>
      <c r="K25" s="596"/>
      <c r="L25" s="578"/>
      <c r="M25" s="579"/>
      <c r="N25" s="581"/>
      <c r="O25" s="322" t="s">
        <v>1096</v>
      </c>
      <c r="P25" s="322" t="s">
        <v>1097</v>
      </c>
      <c r="Q25" s="323" t="s">
        <v>1098</v>
      </c>
      <c r="R25" s="324" t="s">
        <v>1099</v>
      </c>
      <c r="S25" s="325" t="s">
        <v>1100</v>
      </c>
      <c r="T25" s="326" t="s">
        <v>12</v>
      </c>
      <c r="U25" s="324" t="s">
        <v>1101</v>
      </c>
      <c r="V25" s="327" t="s">
        <v>1100</v>
      </c>
      <c r="W25" s="326" t="s">
        <v>12</v>
      </c>
      <c r="X25" s="324" t="s">
        <v>1101</v>
      </c>
      <c r="Y25" s="327" t="s">
        <v>1100</v>
      </c>
      <c r="Z25" s="326" t="s">
        <v>12</v>
      </c>
      <c r="AA25" s="324" t="s">
        <v>1101</v>
      </c>
      <c r="AB25" s="327" t="s">
        <v>1100</v>
      </c>
      <c r="AC25" s="326" t="s">
        <v>12</v>
      </c>
      <c r="AD25" s="324" t="s">
        <v>1101</v>
      </c>
      <c r="AE25" s="327" t="s">
        <v>1100</v>
      </c>
      <c r="AF25" s="326" t="s">
        <v>12</v>
      </c>
      <c r="AG25" s="328" t="s">
        <v>1102</v>
      </c>
      <c r="AH25" s="327" t="s">
        <v>1100</v>
      </c>
      <c r="AI25" s="326" t="s">
        <v>12</v>
      </c>
      <c r="AJ25" s="324" t="s">
        <v>1101</v>
      </c>
      <c r="AK25" s="327" t="s">
        <v>1100</v>
      </c>
      <c r="AL25" s="326" t="s">
        <v>12</v>
      </c>
      <c r="AM25" s="324" t="s">
        <v>1101</v>
      </c>
      <c r="AN25" s="327" t="s">
        <v>1100</v>
      </c>
      <c r="AO25" s="326" t="s">
        <v>12</v>
      </c>
      <c r="AP25" s="324" t="s">
        <v>1101</v>
      </c>
      <c r="AQ25" s="327" t="s">
        <v>1100</v>
      </c>
      <c r="AR25" s="326" t="s">
        <v>12</v>
      </c>
      <c r="AS25" s="324" t="s">
        <v>1101</v>
      </c>
      <c r="AT25" s="327" t="s">
        <v>1100</v>
      </c>
      <c r="AU25" s="326" t="s">
        <v>12</v>
      </c>
      <c r="AV25" s="324" t="s">
        <v>1101</v>
      </c>
      <c r="AW25" s="327" t="s">
        <v>1100</v>
      </c>
      <c r="AX25" s="326" t="s">
        <v>12</v>
      </c>
      <c r="AY25" s="324" t="s">
        <v>1101</v>
      </c>
      <c r="AZ25" s="327" t="s">
        <v>1100</v>
      </c>
      <c r="BA25" s="326" t="s">
        <v>12</v>
      </c>
      <c r="BB25" s="324" t="s">
        <v>1101</v>
      </c>
      <c r="BC25" s="602"/>
      <c r="BD25" s="317"/>
    </row>
    <row r="26" spans="1:56" ht="15" customHeight="1" x14ac:dyDescent="0.2">
      <c r="B26" s="329"/>
      <c r="C26" s="330"/>
      <c r="D26" s="330"/>
      <c r="E26" s="331"/>
      <c r="F26" s="331"/>
      <c r="G26" s="332"/>
      <c r="H26" s="333"/>
      <c r="I26" s="331"/>
      <c r="J26" s="330"/>
      <c r="K26" s="334" t="str">
        <f ca="1">IFERROR(IF(J26&lt;(TODAY()-H26)/30,"",J26-((TODAY()-H26)/30)+1),"")</f>
        <v/>
      </c>
      <c r="L26" s="335"/>
      <c r="M26" s="336" t="str">
        <f t="shared" ref="M26:M29" ca="1" si="0">IF(OR(L26="Yes",AND(K26&gt;1,K26&lt;&gt;"")),G26,"")</f>
        <v/>
      </c>
      <c r="N26" s="330"/>
      <c r="O26" s="337" t="str">
        <f t="shared" ref="O26:O29" si="1">IF($G26&lt;&gt;"",COUNT($S26,$V26,$Y26,$AB26,$AE26,$AH26,$AK26,$AN26,$AQ26,$AT26,$AW26,$AZ26),"")</f>
        <v/>
      </c>
      <c r="P26" s="337"/>
      <c r="Q26" s="338" t="str">
        <f t="shared" ref="Q26:Q29" si="2">IF($G26&lt;&gt;"",SUM($T26,$W26,$Z26,$AC26,$AF26,$AI26,$AL26,$AO26,$AR26,$AU26,$AX26,$BA26),"")</f>
        <v/>
      </c>
      <c r="R26" s="339" t="str">
        <f t="shared" ref="R26:R29" si="3">IF($G26&lt;&gt;"",IFERROR(AVERAGE($U26,$X26,$AA26,$AD26,$AG26,$AJ26,$AM26,$AP26,$AS26,$AV26,$AY26,$BB26),""),"")</f>
        <v/>
      </c>
      <c r="S26" s="330"/>
      <c r="T26" s="331"/>
      <c r="U26" s="338"/>
      <c r="V26" s="330"/>
      <c r="W26" s="331"/>
      <c r="X26" s="338"/>
      <c r="Y26" s="330"/>
      <c r="Z26" s="331"/>
      <c r="AA26" s="338"/>
      <c r="AB26" s="330"/>
      <c r="AC26" s="331"/>
      <c r="AD26" s="338"/>
      <c r="AE26" s="330"/>
      <c r="AF26" s="331"/>
      <c r="AG26" s="338"/>
      <c r="AH26" s="330"/>
      <c r="AI26" s="331"/>
      <c r="AJ26" s="338"/>
      <c r="AK26" s="330"/>
      <c r="AL26" s="331"/>
      <c r="AM26" s="338"/>
      <c r="AN26" s="330"/>
      <c r="AO26" s="331"/>
      <c r="AP26" s="338"/>
      <c r="AQ26" s="330"/>
      <c r="AR26" s="331"/>
      <c r="AS26" s="338"/>
      <c r="AT26" s="330"/>
      <c r="AU26" s="331"/>
      <c r="AV26" s="338"/>
      <c r="AW26" s="330"/>
      <c r="AX26" s="331"/>
      <c r="AY26" s="338"/>
      <c r="AZ26" s="330"/>
      <c r="BA26" s="331"/>
      <c r="BB26" s="338"/>
      <c r="BC26" s="340"/>
    </row>
    <row r="27" spans="1:56" ht="15" customHeight="1" x14ac:dyDescent="0.2">
      <c r="B27" s="329"/>
      <c r="C27" s="341"/>
      <c r="D27" s="330"/>
      <c r="E27" s="342"/>
      <c r="F27" s="331"/>
      <c r="G27" s="343"/>
      <c r="H27" s="344"/>
      <c r="I27" s="342"/>
      <c r="J27" s="341"/>
      <c r="K27" s="334" t="str">
        <f ca="1">IFERROR(IF(J27&lt;(TODAY()-H27)/30,"",J27-((TODAY()-H27)/30)+1),"")</f>
        <v/>
      </c>
      <c r="L27" s="345"/>
      <c r="M27" s="336" t="str">
        <f t="shared" ca="1" si="0"/>
        <v/>
      </c>
      <c r="N27" s="341"/>
      <c r="O27" s="337" t="str">
        <f t="shared" si="1"/>
        <v/>
      </c>
      <c r="P27" s="337"/>
      <c r="Q27" s="338" t="str">
        <f t="shared" si="2"/>
        <v/>
      </c>
      <c r="R27" s="339" t="str">
        <f t="shared" si="3"/>
        <v/>
      </c>
      <c r="S27" s="330"/>
      <c r="T27" s="331"/>
      <c r="U27" s="338"/>
      <c r="V27" s="330"/>
      <c r="W27" s="331"/>
      <c r="X27" s="338"/>
      <c r="Y27" s="330"/>
      <c r="Z27" s="331"/>
      <c r="AA27" s="338"/>
      <c r="AB27" s="330"/>
      <c r="AC27" s="331"/>
      <c r="AD27" s="338"/>
      <c r="AE27" s="330"/>
      <c r="AF27" s="331"/>
      <c r="AG27" s="338"/>
      <c r="AH27" s="330"/>
      <c r="AI27" s="331"/>
      <c r="AJ27" s="338"/>
      <c r="AK27" s="330"/>
      <c r="AL27" s="331"/>
      <c r="AM27" s="338"/>
      <c r="AN27" s="330"/>
      <c r="AO27" s="331"/>
      <c r="AP27" s="338"/>
      <c r="AQ27" s="330"/>
      <c r="AR27" s="331"/>
      <c r="AS27" s="338"/>
      <c r="AT27" s="330"/>
      <c r="AU27" s="331"/>
      <c r="AV27" s="338"/>
      <c r="AW27" s="330"/>
      <c r="AX27" s="331"/>
      <c r="AY27" s="338"/>
      <c r="AZ27" s="330"/>
      <c r="BA27" s="331"/>
      <c r="BB27" s="338"/>
      <c r="BC27" s="346"/>
    </row>
    <row r="28" spans="1:56" ht="15" customHeight="1" x14ac:dyDescent="0.2">
      <c r="B28" s="329"/>
      <c r="C28" s="341"/>
      <c r="D28" s="330"/>
      <c r="E28" s="342"/>
      <c r="F28" s="331"/>
      <c r="G28" s="343"/>
      <c r="H28" s="344"/>
      <c r="I28" s="342"/>
      <c r="J28" s="341"/>
      <c r="K28" s="334" t="str">
        <f ca="1">IFERROR(IF(J28&lt;(TODAY()-H28)/30,"",J28-((TODAY()-H28)/30)+1),"")</f>
        <v/>
      </c>
      <c r="L28" s="345"/>
      <c r="M28" s="336" t="str">
        <f t="shared" ca="1" si="0"/>
        <v/>
      </c>
      <c r="N28" s="341"/>
      <c r="O28" s="337" t="str">
        <f t="shared" si="1"/>
        <v/>
      </c>
      <c r="P28" s="337"/>
      <c r="Q28" s="338" t="str">
        <f t="shared" si="2"/>
        <v/>
      </c>
      <c r="R28" s="338" t="str">
        <f t="shared" si="3"/>
        <v/>
      </c>
      <c r="S28" s="330"/>
      <c r="T28" s="331"/>
      <c r="U28" s="338"/>
      <c r="V28" s="330"/>
      <c r="W28" s="331"/>
      <c r="X28" s="338"/>
      <c r="Y28" s="330"/>
      <c r="Z28" s="331"/>
      <c r="AA28" s="338"/>
      <c r="AB28" s="330"/>
      <c r="AC28" s="331"/>
      <c r="AD28" s="338"/>
      <c r="AE28" s="330"/>
      <c r="AF28" s="331"/>
      <c r="AG28" s="338"/>
      <c r="AH28" s="330"/>
      <c r="AI28" s="331"/>
      <c r="AJ28" s="338"/>
      <c r="AK28" s="330"/>
      <c r="AL28" s="331"/>
      <c r="AM28" s="338"/>
      <c r="AN28" s="330"/>
      <c r="AO28" s="331"/>
      <c r="AP28" s="338"/>
      <c r="AQ28" s="330"/>
      <c r="AR28" s="331"/>
      <c r="AS28" s="338"/>
      <c r="AT28" s="330"/>
      <c r="AU28" s="331"/>
      <c r="AV28" s="338"/>
      <c r="AW28" s="330"/>
      <c r="AX28" s="331"/>
      <c r="AY28" s="338"/>
      <c r="AZ28" s="330"/>
      <c r="BA28" s="331"/>
      <c r="BB28" s="338"/>
      <c r="BC28" s="346"/>
    </row>
    <row r="29" spans="1:56" ht="15" customHeight="1" thickBot="1" x14ac:dyDescent="0.25">
      <c r="B29" s="329"/>
      <c r="C29" s="341"/>
      <c r="D29" s="330"/>
      <c r="E29" s="342"/>
      <c r="F29" s="331"/>
      <c r="G29" s="343"/>
      <c r="H29" s="344"/>
      <c r="I29" s="342"/>
      <c r="J29" s="341"/>
      <c r="K29" s="334" t="str">
        <f ca="1">IFERROR(IF(J29&lt;(TODAY()-H29)/30,"",J29-((TODAY()-H29)/30)+1),"")</f>
        <v/>
      </c>
      <c r="L29" s="345"/>
      <c r="M29" s="336" t="str">
        <f t="shared" ca="1" si="0"/>
        <v/>
      </c>
      <c r="N29" s="341"/>
      <c r="O29" s="337" t="str">
        <f t="shared" si="1"/>
        <v/>
      </c>
      <c r="P29" s="337"/>
      <c r="Q29" s="338" t="str">
        <f t="shared" si="2"/>
        <v/>
      </c>
      <c r="R29" s="338" t="str">
        <f t="shared" si="3"/>
        <v/>
      </c>
      <c r="S29" s="330"/>
      <c r="T29" s="331"/>
      <c r="U29" s="338"/>
      <c r="V29" s="330"/>
      <c r="W29" s="331"/>
      <c r="X29" s="338"/>
      <c r="Y29" s="330"/>
      <c r="Z29" s="331"/>
      <c r="AA29" s="338"/>
      <c r="AB29" s="330"/>
      <c r="AC29" s="331"/>
      <c r="AD29" s="338"/>
      <c r="AE29" s="330"/>
      <c r="AF29" s="331"/>
      <c r="AG29" s="338"/>
      <c r="AH29" s="330"/>
      <c r="AI29" s="331"/>
      <c r="AJ29" s="338"/>
      <c r="AK29" s="330"/>
      <c r="AL29" s="331"/>
      <c r="AM29" s="338"/>
      <c r="AN29" s="330"/>
      <c r="AO29" s="331"/>
      <c r="AP29" s="338"/>
      <c r="AQ29" s="330"/>
      <c r="AR29" s="331"/>
      <c r="AS29" s="338"/>
      <c r="AT29" s="330"/>
      <c r="AU29" s="331"/>
      <c r="AV29" s="338"/>
      <c r="AW29" s="330"/>
      <c r="AX29" s="331"/>
      <c r="AY29" s="338"/>
      <c r="AZ29" s="330"/>
      <c r="BA29" s="331"/>
      <c r="BB29" s="338"/>
      <c r="BC29" s="346"/>
    </row>
    <row r="30" spans="1:56" ht="15" customHeight="1" thickBot="1" x14ac:dyDescent="0.25">
      <c r="B30" s="347" t="s">
        <v>248</v>
      </c>
      <c r="C30" s="348"/>
      <c r="D30" s="349">
        <f>SUBTOTAL(103,LoanTrack[Column3])</f>
        <v>0</v>
      </c>
      <c r="E30" s="350">
        <f>SUBTOTAL(109,LoanTrack[Column4])</f>
        <v>0</v>
      </c>
      <c r="F30" s="350">
        <f>SUBTOTAL(109,LoanTrack[Column52])</f>
        <v>0</v>
      </c>
      <c r="G30" s="351">
        <f>SUBTOTAL(109,LoanTrack[Column5])</f>
        <v>0</v>
      </c>
      <c r="H30" s="348"/>
      <c r="I30" s="350">
        <f>SUBTOTAL(109,LoanTrack[Column54])</f>
        <v>0</v>
      </c>
      <c r="J30" s="348"/>
      <c r="K30" s="348"/>
      <c r="L30" s="348">
        <f>COUNTIF(L26:L29,"Yes")</f>
        <v>0</v>
      </c>
      <c r="M30" s="350">
        <f ca="1">SUBTOTAL(109,LoanTrack[Column10])</f>
        <v>0</v>
      </c>
      <c r="N30" s="349">
        <f>SUMPRODUCT((N26:N29&lt;&gt;"")/COUNTIF(N26:N29,N26:N29&amp;""))</f>
        <v>0</v>
      </c>
      <c r="O30" s="350">
        <f>SUBTOTAL(109,LoanTrack[Column51])</f>
        <v>0</v>
      </c>
      <c r="P30" s="350"/>
      <c r="Q30" s="350">
        <f>SUBTOTAL(109,LoanTrack[Column50])</f>
        <v>0</v>
      </c>
      <c r="R30" s="350" t="str">
        <f>IFERROR(SUBTOTAL(101,R26:R29),"")</f>
        <v/>
      </c>
      <c r="S30" s="350">
        <f>SUBTOTAL(103,LoanTrack[Column12])</f>
        <v>0</v>
      </c>
      <c r="T30" s="350">
        <f>SUBTOTAL(109,LoanTrack[Column13])</f>
        <v>0</v>
      </c>
      <c r="U30" s="350" t="str">
        <f>IFERROR(SUBTOTAL(101,U26:U29),"")</f>
        <v/>
      </c>
      <c r="V30" s="350">
        <f>SUBTOTAL(103,LoanTrack[Column15])</f>
        <v>0</v>
      </c>
      <c r="W30" s="350">
        <f>SUBTOTAL(109,LoanTrack[Column16])</f>
        <v>0</v>
      </c>
      <c r="X30" s="350" t="str">
        <f>IFERROR(SUBTOTAL(101,X26:X29),"")</f>
        <v/>
      </c>
      <c r="Y30" s="350">
        <f>SUBTOTAL(103,LoanTrack[Column18])</f>
        <v>0</v>
      </c>
      <c r="Z30" s="350">
        <f>SUBTOTAL(109,LoanTrack[Column19])</f>
        <v>0</v>
      </c>
      <c r="AA30" s="350" t="str">
        <f>IFERROR(SUBTOTAL(101,AA26:AA29),"")</f>
        <v/>
      </c>
      <c r="AB30" s="350">
        <f>SUBTOTAL(103,LoanTrack[Column21])</f>
        <v>0</v>
      </c>
      <c r="AC30" s="350">
        <f>SUBTOTAL(109,LoanTrack[Column22])</f>
        <v>0</v>
      </c>
      <c r="AD30" s="350" t="str">
        <f>IFERROR(SUBTOTAL(101,AD26:AD29),"")</f>
        <v/>
      </c>
      <c r="AE30" s="350">
        <f>SUBTOTAL(103,LoanTrack[Column24])</f>
        <v>0</v>
      </c>
      <c r="AF30" s="350">
        <f>SUBTOTAL(109,LoanTrack[Column25])</f>
        <v>0</v>
      </c>
      <c r="AG30" s="350" t="str">
        <f>IFERROR(SUBTOTAL(101,AG26:AG29),"")</f>
        <v/>
      </c>
      <c r="AH30" s="350">
        <f>SUBTOTAL(103,LoanTrack[Column27])</f>
        <v>0</v>
      </c>
      <c r="AI30" s="350">
        <f>SUBTOTAL(109,LoanTrack[Column28])</f>
        <v>0</v>
      </c>
      <c r="AJ30" s="350" t="str">
        <f>IFERROR(SUBTOTAL(101,AJ26:AJ29),"")</f>
        <v/>
      </c>
      <c r="AK30" s="350">
        <f>SUBTOTAL(103,LoanTrack[Column30])</f>
        <v>0</v>
      </c>
      <c r="AL30" s="350">
        <f>SUBTOTAL(109,LoanTrack[Column31])</f>
        <v>0</v>
      </c>
      <c r="AM30" s="350" t="str">
        <f>IFERROR(SUBTOTAL(101,AM26:AM29),"")</f>
        <v/>
      </c>
      <c r="AN30" s="350">
        <f>SUBTOTAL(103,LoanTrack[Column33])</f>
        <v>0</v>
      </c>
      <c r="AO30" s="350">
        <f>SUBTOTAL(109,LoanTrack[Column34])</f>
        <v>0</v>
      </c>
      <c r="AP30" s="350" t="str">
        <f>IFERROR(SUBTOTAL(101,AP26:AP29),"")</f>
        <v/>
      </c>
      <c r="AQ30" s="350">
        <f>SUBTOTAL(103,LoanTrack[Column36])</f>
        <v>0</v>
      </c>
      <c r="AR30" s="350">
        <f>SUBTOTAL(109,LoanTrack[Column37])</f>
        <v>0</v>
      </c>
      <c r="AS30" s="350" t="str">
        <f>IFERROR(SUBTOTAL(101,AS26:AS29),"")</f>
        <v/>
      </c>
      <c r="AT30" s="350">
        <f>SUBTOTAL(103,LoanTrack[Column39])</f>
        <v>0</v>
      </c>
      <c r="AU30" s="350">
        <f>SUBTOTAL(109,LoanTrack[Column40])</f>
        <v>0</v>
      </c>
      <c r="AV30" s="350" t="str">
        <f>IFERROR(SUBTOTAL(101,AV26:AV29),"")</f>
        <v/>
      </c>
      <c r="AW30" s="350">
        <f>SUBTOTAL(103,LoanTrack[Column42])</f>
        <v>0</v>
      </c>
      <c r="AX30" s="350">
        <f>SUBTOTAL(109,LoanTrack[Column43])</f>
        <v>0</v>
      </c>
      <c r="AY30" s="350" t="str">
        <f>IFERROR(SUBTOTAL(101,AY26:AY29),"")</f>
        <v/>
      </c>
      <c r="AZ30" s="350">
        <f>SUBTOTAL(103,LoanTrack[Column45])</f>
        <v>0</v>
      </c>
      <c r="BA30" s="350">
        <f>SUBTOTAL(109,LoanTrack[Column46])</f>
        <v>0</v>
      </c>
      <c r="BB30" s="350" t="str">
        <f>IFERROR(SUBTOTAL(101,BB26:BB29),"")</f>
        <v/>
      </c>
      <c r="BC30" s="352">
        <f>SUBTOTAL(103,LoanTrack[Column48])</f>
        <v>0</v>
      </c>
    </row>
  </sheetData>
  <mergeCells count="162">
    <mergeCell ref="B2:Z2"/>
    <mergeCell ref="B3:D3"/>
    <mergeCell ref="E3:G3"/>
    <mergeCell ref="H3:J3"/>
    <mergeCell ref="K3:N3"/>
    <mergeCell ref="O3:R3"/>
    <mergeCell ref="S3:V3"/>
    <mergeCell ref="W3:Z3"/>
    <mergeCell ref="W4:Z4"/>
    <mergeCell ref="B5:D5"/>
    <mergeCell ref="E5:G5"/>
    <mergeCell ref="H5:J5"/>
    <mergeCell ref="K5:N5"/>
    <mergeCell ref="O5:R5"/>
    <mergeCell ref="S5:V5"/>
    <mergeCell ref="W5:Z5"/>
    <mergeCell ref="B4:D4"/>
    <mergeCell ref="E4:G4"/>
    <mergeCell ref="H4:J4"/>
    <mergeCell ref="K4:N4"/>
    <mergeCell ref="O4:R4"/>
    <mergeCell ref="S4:V4"/>
    <mergeCell ref="W6:Z6"/>
    <mergeCell ref="B7:D7"/>
    <mergeCell ref="E7:G7"/>
    <mergeCell ref="H7:J7"/>
    <mergeCell ref="K7:N7"/>
    <mergeCell ref="O7:R7"/>
    <mergeCell ref="S7:V7"/>
    <mergeCell ref="W7:Z7"/>
    <mergeCell ref="B6:D6"/>
    <mergeCell ref="E6:G6"/>
    <mergeCell ref="H6:J6"/>
    <mergeCell ref="K6:N6"/>
    <mergeCell ref="O6:R6"/>
    <mergeCell ref="S6:V6"/>
    <mergeCell ref="W8:Z8"/>
    <mergeCell ref="B9:D9"/>
    <mergeCell ref="E9:G9"/>
    <mergeCell ref="H9:J9"/>
    <mergeCell ref="K9:N9"/>
    <mergeCell ref="O9:R9"/>
    <mergeCell ref="S9:V9"/>
    <mergeCell ref="W9:Z9"/>
    <mergeCell ref="B8:D8"/>
    <mergeCell ref="E8:G8"/>
    <mergeCell ref="H8:J8"/>
    <mergeCell ref="K8:N8"/>
    <mergeCell ref="O8:R8"/>
    <mergeCell ref="S8:V8"/>
    <mergeCell ref="W10:Z10"/>
    <mergeCell ref="B11:D11"/>
    <mergeCell ref="E11:G11"/>
    <mergeCell ref="H11:J11"/>
    <mergeCell ref="K11:N11"/>
    <mergeCell ref="O11:R11"/>
    <mergeCell ref="S11:V11"/>
    <mergeCell ref="W11:Z11"/>
    <mergeCell ref="B10:D10"/>
    <mergeCell ref="E10:G10"/>
    <mergeCell ref="H10:J10"/>
    <mergeCell ref="K10:N10"/>
    <mergeCell ref="O10:R10"/>
    <mergeCell ref="S10:V10"/>
    <mergeCell ref="W12:Z12"/>
    <mergeCell ref="B13:D13"/>
    <mergeCell ref="E13:G13"/>
    <mergeCell ref="H13:J13"/>
    <mergeCell ref="K13:N13"/>
    <mergeCell ref="O13:R13"/>
    <mergeCell ref="S13:V13"/>
    <mergeCell ref="W13:Z13"/>
    <mergeCell ref="B12:D12"/>
    <mergeCell ref="E12:G12"/>
    <mergeCell ref="H12:J12"/>
    <mergeCell ref="K12:N12"/>
    <mergeCell ref="O12:R12"/>
    <mergeCell ref="S12:V12"/>
    <mergeCell ref="W14:Z14"/>
    <mergeCell ref="B15:D15"/>
    <mergeCell ref="E15:G15"/>
    <mergeCell ref="H15:J15"/>
    <mergeCell ref="K15:N15"/>
    <mergeCell ref="O15:R15"/>
    <mergeCell ref="S15:V15"/>
    <mergeCell ref="W15:Z15"/>
    <mergeCell ref="B14:D14"/>
    <mergeCell ref="E14:G14"/>
    <mergeCell ref="H14:J14"/>
    <mergeCell ref="K14:N14"/>
    <mergeCell ref="O14:R14"/>
    <mergeCell ref="S14:V14"/>
    <mergeCell ref="W16:Z16"/>
    <mergeCell ref="B17:D17"/>
    <mergeCell ref="E17:G17"/>
    <mergeCell ref="H17:J17"/>
    <mergeCell ref="K17:N17"/>
    <mergeCell ref="O17:R17"/>
    <mergeCell ref="S17:V17"/>
    <mergeCell ref="W17:Z17"/>
    <mergeCell ref="B16:D16"/>
    <mergeCell ref="E16:G16"/>
    <mergeCell ref="H16:J16"/>
    <mergeCell ref="K16:N16"/>
    <mergeCell ref="O16:R16"/>
    <mergeCell ref="S16:V16"/>
    <mergeCell ref="W18:Z18"/>
    <mergeCell ref="B19:D19"/>
    <mergeCell ref="E19:G19"/>
    <mergeCell ref="H19:J19"/>
    <mergeCell ref="K19:N19"/>
    <mergeCell ref="O19:R19"/>
    <mergeCell ref="S19:V19"/>
    <mergeCell ref="W19:Z19"/>
    <mergeCell ref="B18:D18"/>
    <mergeCell ref="E18:G18"/>
    <mergeCell ref="H18:J18"/>
    <mergeCell ref="K18:N18"/>
    <mergeCell ref="O18:R18"/>
    <mergeCell ref="S18:V18"/>
    <mergeCell ref="AH24:AJ24"/>
    <mergeCell ref="AK24:AM24"/>
    <mergeCell ref="J24:J25"/>
    <mergeCell ref="K24:K25"/>
    <mergeCell ref="W20:Z20"/>
    <mergeCell ref="B21:D21"/>
    <mergeCell ref="E21:G21"/>
    <mergeCell ref="H21:J21"/>
    <mergeCell ref="K21:N21"/>
    <mergeCell ref="O21:R21"/>
    <mergeCell ref="S21:V21"/>
    <mergeCell ref="W21:Z21"/>
    <mergeCell ref="B20:D20"/>
    <mergeCell ref="E20:G20"/>
    <mergeCell ref="H20:J20"/>
    <mergeCell ref="K20:N20"/>
    <mergeCell ref="O20:R20"/>
    <mergeCell ref="S20:V20"/>
    <mergeCell ref="L24:M25"/>
    <mergeCell ref="N24:N25"/>
    <mergeCell ref="O24:R24"/>
    <mergeCell ref="S24:U24"/>
    <mergeCell ref="B23:N23"/>
    <mergeCell ref="O23:BC23"/>
    <mergeCell ref="B24:B25"/>
    <mergeCell ref="C24:C25"/>
    <mergeCell ref="D24:D25"/>
    <mergeCell ref="E24:E25"/>
    <mergeCell ref="F24:F25"/>
    <mergeCell ref="G24:G25"/>
    <mergeCell ref="H24:H25"/>
    <mergeCell ref="I24:I25"/>
    <mergeCell ref="AN24:AP24"/>
    <mergeCell ref="AQ24:AS24"/>
    <mergeCell ref="AT24:AV24"/>
    <mergeCell ref="AW24:AY24"/>
    <mergeCell ref="AZ24:BB24"/>
    <mergeCell ref="BC24:BC25"/>
    <mergeCell ref="V24:X24"/>
    <mergeCell ref="Y24:AA24"/>
    <mergeCell ref="AB24:AD24"/>
    <mergeCell ref="AE24:AG24"/>
  </mergeCells>
  <dataValidations count="2">
    <dataValidation type="list" allowBlank="1" showInputMessage="1" showErrorMessage="1" sqref="C65560:C65565 C131096:C131101 C196632:C196637 C262168:C262173 C327704:C327709 C393240:C393245 C458776:C458781 C524312:C524317 C589848:C589853 C655384:C655389 C720920:C720925 C786456:C786461 C851992:C851997 C917528:C917533 C983064:C983069" xr:uid="{4FE19964-50F6-4644-AC74-44037F10AD26}">
      <formula1>"Home Loan, LAP,Vehicle Loan,CVL, Personal Loan,Business Loan, CC/OD,Term Loan,Machinery Loan,Education Loan"</formula1>
    </dataValidation>
    <dataValidation type="whole" allowBlank="1" showInputMessage="1" showErrorMessage="1" errorTitle="Error" error="Not a valid Date" promptTitle="Date" prompt="Insert a date (DD)" sqref="S65560:S65565 S131096:S131101 S196632:S196637 S262168:S262173 S327704:S327709 S393240:S393245 S458776:S458781 S524312:S524317 S589848:S589853 S655384:S655389 S720920:S720925 S786456:S786461 S851992:S851997 S917528:S917533 S983064:S983069 V65560:V65565 V131096:V131101 V196632:V196637 V262168:V262173 V327704:V327709 V393240:V393245 V458776:V458781 V524312:V524317 V589848:V589853 V655384:V655389 V720920:V720925 V786456:V786461 V851992:V851997 V917528:V917533 V983064:V983069 Y65560:Y65565 Y131096:Y131101 Y196632:Y196637 Y262168:Y262173 Y327704:Y327709 Y393240:Y393245 Y458776:Y458781 Y524312:Y524317 Y589848:Y589853 Y655384:Y655389 Y720920:Y720925 Y786456:Y786461 Y851992:Y851997 Y917528:Y917533 Y983064:Y983069 AB65560:AB65565 AB131096:AB131101 AB196632:AB196637 AB262168:AB262173 AB327704:AB327709 AB393240:AB393245 AB458776:AB458781 AB524312:AB524317 AB589848:AB589853 AB655384:AB655389 AB720920:AB720925 AB786456:AB786461 AB851992:AB851997 AB917528:AB917533 AB983064:AB983069 AE65560:AE65565 AE131096:AE131101 AE196632:AE196637 AE262168:AE262173 AE327704:AE327709 AE393240:AE393245 AE458776:AE458781 AE524312:AE524317 AE589848:AE589853 AE655384:AE655389 AE720920:AE720925 AE786456:AE786461 AE851992:AE851997 AE917528:AE917533 AE983064:AE983069 AH65560:AH65565 AH131096:AH131101 AH196632:AH196637 AH262168:AH262173 AH327704:AH327709 AH393240:AH393245 AH458776:AH458781 AH524312:AH524317 AH589848:AH589853 AH655384:AH655389 AH720920:AH720925 AH786456:AH786461 AH851992:AH851997 AH917528:AH917533 AH983064:AH983069 AK65560:AK65565 AK131096:AK131101 AK196632:AK196637 AK262168:AK262173 AK327704:AK327709 AK393240:AK393245 AK458776:AK458781 AK524312:AK524317 AK589848:AK589853 AK655384:AK655389 AK720920:AK720925 AK786456:AK786461 AK851992:AK851997 AK917528:AK917533 AK983064:AK983069 AN65560:AN65565 AN131096:AN131101 AN196632:AN196637 AN262168:AN262173 AN327704:AN327709 AN393240:AN393245 AN458776:AN458781 AN524312:AN524317 AN589848:AN589853 AN655384:AN655389 AN720920:AN720925 AN786456:AN786461 AN851992:AN851997 AN917528:AN917533 AN983064:AN983069 AQ65560:AQ65565 AQ131096:AQ131101 AQ196632:AQ196637 AQ262168:AQ262173 AQ327704:AQ327709 AQ393240:AQ393245 AQ458776:AQ458781 AQ524312:AQ524317 AQ589848:AQ589853 AQ655384:AQ655389 AQ720920:AQ720925 AQ786456:AQ786461 AQ851992:AQ851997 AQ917528:AQ917533 AQ983064:AQ983069 AT65560:AT65565 AT131096:AT131101 AT196632:AT196637 AT262168:AT262173 AT327704:AT327709 AT393240:AT393245 AT458776:AT458781 AT524312:AT524317 AT589848:AT589853 AT655384:AT655389 AT720920:AT720925 AT786456:AT786461 AT851992:AT851997 AT917528:AT917533 AT983064:AT983069 AW65560:AW65565 AW131096:AW131101 AW196632:AW196637 AW262168:AW262173 AW327704:AW327709 AW393240:AW393245 AW458776:AW458781 AW524312:AW524317 AW589848:AW589853 AW655384:AW655389 AW720920:AW720925 AW786456:AW786461 AW851992:AW851997 AW917528:AW917533 AW983064:AW983069 AZ65560:AZ65565 AZ131096:AZ131101 AZ196632:AZ196637 AZ262168:AZ262173 AZ327704:AZ327709 AZ393240:AZ393245 AZ458776:AZ458781 AZ524312:AZ524317 AZ589848:AZ589853 AZ655384:AZ655389 AZ720920:AZ720925 AZ786456:AZ786461 AZ851992:AZ851997 AZ917528:AZ917533 AZ983064:AZ983069 AZ26:AZ29 AW26:AW29 AT26:AT29 AQ26:AQ29 AN26:AN29 AK26:AK29 AH26:AH29 AE26:AE29 AB26:AB29 Y26:Y29 V26:V29 S26:S29" xr:uid="{FD445885-1C94-4F17-AE5C-C74A291C3EAC}">
      <formula1>1</formula1>
      <formula2>31</formula2>
    </dataValidation>
  </dataValidations>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2"/>
  <dimension ref="A1:T27"/>
  <sheetViews>
    <sheetView workbookViewId="0">
      <selection activeCell="B5" sqref="B5"/>
    </sheetView>
  </sheetViews>
  <sheetFormatPr defaultColWidth="0" defaultRowHeight="15" zeroHeight="1" x14ac:dyDescent="0.25"/>
  <cols>
    <col min="1" max="1" width="9.140625" style="13" customWidth="1"/>
    <col min="2" max="2" width="163" style="13" customWidth="1"/>
    <col min="3" max="3" width="1.85546875" style="13" customWidth="1"/>
    <col min="4" max="20" width="0" style="13" hidden="1" customWidth="1"/>
    <col min="21" max="16384" width="9.140625" style="13" hidden="1"/>
  </cols>
  <sheetData>
    <row r="1" spans="1:2" ht="20.25" x14ac:dyDescent="0.3">
      <c r="A1" s="439" t="s">
        <v>684</v>
      </c>
      <c r="B1" s="439"/>
    </row>
    <row r="2" spans="1:2" x14ac:dyDescent="0.25">
      <c r="A2" s="9">
        <v>1</v>
      </c>
      <c r="B2" s="116"/>
    </row>
    <row r="3" spans="1:2" x14ac:dyDescent="0.25">
      <c r="A3" s="9">
        <v>2</v>
      </c>
      <c r="B3" s="116"/>
    </row>
    <row r="4" spans="1:2" x14ac:dyDescent="0.25">
      <c r="A4" s="9">
        <v>3</v>
      </c>
      <c r="B4" s="116"/>
    </row>
    <row r="5" spans="1:2" x14ac:dyDescent="0.25">
      <c r="A5" s="9">
        <v>4</v>
      </c>
      <c r="B5" s="116"/>
    </row>
    <row r="6" spans="1:2" x14ac:dyDescent="0.25">
      <c r="A6" s="9">
        <v>5</v>
      </c>
      <c r="B6" s="116"/>
    </row>
    <row r="7" spans="1:2" x14ac:dyDescent="0.25">
      <c r="A7" s="9">
        <v>6</v>
      </c>
      <c r="B7" s="116"/>
    </row>
    <row r="8" spans="1:2" x14ac:dyDescent="0.25">
      <c r="A8" s="9">
        <v>7</v>
      </c>
      <c r="B8" s="116"/>
    </row>
    <row r="9" spans="1:2" x14ac:dyDescent="0.25">
      <c r="A9" s="9">
        <v>8</v>
      </c>
      <c r="B9" s="116"/>
    </row>
    <row r="10" spans="1:2" x14ac:dyDescent="0.25">
      <c r="A10" s="9">
        <v>9</v>
      </c>
      <c r="B10" s="116"/>
    </row>
    <row r="11" spans="1:2" x14ac:dyDescent="0.25">
      <c r="A11" s="9">
        <v>10</v>
      </c>
      <c r="B11" s="116"/>
    </row>
    <row r="12" spans="1:2" x14ac:dyDescent="0.25">
      <c r="A12" s="9">
        <v>11</v>
      </c>
      <c r="B12" s="116"/>
    </row>
    <row r="13" spans="1:2" x14ac:dyDescent="0.25">
      <c r="A13" s="9">
        <v>12</v>
      </c>
      <c r="B13" s="116"/>
    </row>
    <row r="14" spans="1:2" x14ac:dyDescent="0.25">
      <c r="A14" s="9">
        <v>13</v>
      </c>
      <c r="B14" s="116"/>
    </row>
    <row r="15" spans="1:2" x14ac:dyDescent="0.25">
      <c r="A15" s="9">
        <v>14</v>
      </c>
      <c r="B15" s="116"/>
    </row>
    <row r="16" spans="1:2" x14ac:dyDescent="0.25">
      <c r="A16" s="9">
        <v>15</v>
      </c>
      <c r="B16" s="116"/>
    </row>
    <row r="17" spans="1:2" x14ac:dyDescent="0.25">
      <c r="A17" s="9">
        <v>16</v>
      </c>
      <c r="B17" s="116"/>
    </row>
    <row r="18" spans="1:2" x14ac:dyDescent="0.25">
      <c r="A18" s="9">
        <v>17</v>
      </c>
      <c r="B18" s="116"/>
    </row>
    <row r="19" spans="1:2" x14ac:dyDescent="0.25">
      <c r="A19" s="9">
        <v>18</v>
      </c>
      <c r="B19" s="116"/>
    </row>
    <row r="20" spans="1:2" x14ac:dyDescent="0.25">
      <c r="A20" s="9">
        <v>19</v>
      </c>
      <c r="B20" s="116"/>
    </row>
    <row r="21" spans="1:2" x14ac:dyDescent="0.25">
      <c r="A21" s="9">
        <v>20</v>
      </c>
      <c r="B21" s="116"/>
    </row>
    <row r="22" spans="1:2" x14ac:dyDescent="0.25">
      <c r="A22" s="9">
        <v>21</v>
      </c>
      <c r="B22" s="116"/>
    </row>
    <row r="23" spans="1:2" x14ac:dyDescent="0.25">
      <c r="A23" s="9">
        <v>22</v>
      </c>
      <c r="B23" s="116"/>
    </row>
    <row r="24" spans="1:2" x14ac:dyDescent="0.25">
      <c r="A24" s="9">
        <v>23</v>
      </c>
      <c r="B24" s="116"/>
    </row>
    <row r="25" spans="1:2" x14ac:dyDescent="0.25">
      <c r="A25" s="9">
        <v>24</v>
      </c>
      <c r="B25" s="116"/>
    </row>
    <row r="26" spans="1:2" x14ac:dyDescent="0.25">
      <c r="A26" s="9">
        <v>25</v>
      </c>
      <c r="B26" s="116"/>
    </row>
    <row r="27" spans="1:2" ht="7.5" customHeight="1" x14ac:dyDescent="0.25"/>
  </sheetData>
  <sheetProtection algorithmName="SHA-512" hashValue="3VO5us8Ki52uKdqNcCeYbBAFnpbFjtNdcSBO78mZ/Fg1WNZdo6eUU3ruymYNbueUhsGEfr1K9gR6cKMdoNbE/A==" saltValue="KhGwigOdrj0qaGTSLKWAgA==" spinCount="100000" sheet="1" objects="1" scenarios="1"/>
  <mergeCells count="1">
    <mergeCell ref="A1:B1"/>
  </mergeCells>
  <pageMargins left="0.7" right="0.7" top="0.75" bottom="0.75" header="0.3" footer="0.3"/>
  <pageSetup paperSize="9" orientation="portrait" horizontalDpi="4294967295" verticalDpi="4294967295"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3"/>
  <dimension ref="A1:XFC92"/>
  <sheetViews>
    <sheetView workbookViewId="0">
      <pane xSplit="1" ySplit="2" topLeftCell="B3" activePane="bottomRight" state="frozen"/>
      <selection activeCell="B3" sqref="B3"/>
      <selection pane="topRight" activeCell="B3" sqref="B3"/>
      <selection pane="bottomLeft" activeCell="B3" sqref="B3"/>
      <selection pane="bottomRight" activeCell="B3" sqref="B3"/>
    </sheetView>
  </sheetViews>
  <sheetFormatPr defaultColWidth="0" defaultRowHeight="15" zeroHeight="1" x14ac:dyDescent="0.25"/>
  <cols>
    <col min="1" max="1" width="5.28515625" style="13" bestFit="1" customWidth="1"/>
    <col min="2" max="2" width="48.140625" style="13" customWidth="1"/>
    <col min="3" max="3" width="24" style="13" customWidth="1"/>
    <col min="4" max="4" width="19" style="13" bestFit="1" customWidth="1"/>
    <col min="5" max="5" width="19" style="13" customWidth="1"/>
    <col min="6" max="6" width="16.140625" style="13" customWidth="1"/>
    <col min="7" max="7" width="14.28515625" style="13" bestFit="1" customWidth="1"/>
    <col min="8" max="9" width="8" style="13" bestFit="1" customWidth="1"/>
    <col min="10" max="10" width="14.42578125" style="13" bestFit="1" customWidth="1"/>
    <col min="11" max="11" width="1.85546875" style="13" customWidth="1"/>
    <col min="12" max="20" width="9.140625" style="13" hidden="1" customWidth="1"/>
    <col min="21" max="21" width="0" style="13" hidden="1" customWidth="1"/>
    <col min="22" max="16383" width="9.140625" style="13" hidden="1"/>
    <col min="16384" max="16384" width="2.85546875" style="13" hidden="1" customWidth="1"/>
  </cols>
  <sheetData>
    <row r="1" spans="1:10" ht="20.25" x14ac:dyDescent="0.3">
      <c r="A1" s="628" t="s">
        <v>686</v>
      </c>
      <c r="B1" s="629"/>
      <c r="C1" s="629"/>
      <c r="D1" s="629"/>
      <c r="E1" s="629"/>
      <c r="F1" s="629"/>
      <c r="G1" s="629"/>
      <c r="H1" s="629"/>
      <c r="I1" s="629"/>
      <c r="J1" s="630"/>
    </row>
    <row r="2" spans="1:10" x14ac:dyDescent="0.25">
      <c r="A2" s="87" t="s">
        <v>882</v>
      </c>
      <c r="B2" s="87" t="s">
        <v>883</v>
      </c>
      <c r="C2" s="87" t="s">
        <v>884</v>
      </c>
      <c r="D2" s="87" t="s">
        <v>687</v>
      </c>
      <c r="E2" s="87" t="s">
        <v>890</v>
      </c>
      <c r="F2" s="87" t="s">
        <v>885</v>
      </c>
      <c r="G2" s="87" t="s">
        <v>886</v>
      </c>
      <c r="H2" s="87" t="s">
        <v>887</v>
      </c>
      <c r="I2" s="87" t="s">
        <v>888</v>
      </c>
      <c r="J2" s="87" t="s">
        <v>889</v>
      </c>
    </row>
    <row r="3" spans="1:10" x14ac:dyDescent="0.25">
      <c r="A3" s="88">
        <v>1</v>
      </c>
      <c r="B3" s="86"/>
      <c r="C3" s="86"/>
      <c r="D3" s="79"/>
      <c r="E3" s="86"/>
      <c r="F3" s="91" t="str">
        <f>IFERROR(E3/E$68,"-")</f>
        <v>-</v>
      </c>
      <c r="G3" s="79"/>
      <c r="H3" s="86"/>
      <c r="I3" s="86"/>
      <c r="J3" s="79"/>
    </row>
    <row r="4" spans="1:10" x14ac:dyDescent="0.25">
      <c r="A4" s="88">
        <v>2</v>
      </c>
      <c r="B4" s="86"/>
      <c r="C4" s="86"/>
      <c r="D4" s="79"/>
      <c r="E4" s="86"/>
      <c r="F4" s="91" t="str">
        <f t="shared" ref="F4:F67" si="0">IFERROR(E4/E$68,"-")</f>
        <v>-</v>
      </c>
      <c r="G4" s="79"/>
      <c r="H4" s="86"/>
      <c r="I4" s="86"/>
      <c r="J4" s="79"/>
    </row>
    <row r="5" spans="1:10" x14ac:dyDescent="0.25">
      <c r="A5" s="88">
        <v>3</v>
      </c>
      <c r="B5" s="86"/>
      <c r="C5" s="86"/>
      <c r="D5" s="79"/>
      <c r="E5" s="86"/>
      <c r="F5" s="91" t="str">
        <f t="shared" si="0"/>
        <v>-</v>
      </c>
      <c r="G5" s="79"/>
      <c r="H5" s="86"/>
      <c r="I5" s="86"/>
      <c r="J5" s="79"/>
    </row>
    <row r="6" spans="1:10" x14ac:dyDescent="0.25">
      <c r="A6" s="88">
        <v>4</v>
      </c>
      <c r="B6" s="86"/>
      <c r="C6" s="86"/>
      <c r="D6" s="79"/>
      <c r="E6" s="86"/>
      <c r="F6" s="91" t="str">
        <f t="shared" si="0"/>
        <v>-</v>
      </c>
      <c r="G6" s="79"/>
      <c r="H6" s="86"/>
      <c r="I6" s="86"/>
      <c r="J6" s="79"/>
    </row>
    <row r="7" spans="1:10" x14ac:dyDescent="0.25">
      <c r="A7" s="88">
        <v>5</v>
      </c>
      <c r="B7" s="86"/>
      <c r="C7" s="86"/>
      <c r="D7" s="79"/>
      <c r="E7" s="86"/>
      <c r="F7" s="91" t="str">
        <f t="shared" si="0"/>
        <v>-</v>
      </c>
      <c r="G7" s="79"/>
      <c r="H7" s="86"/>
      <c r="I7" s="86"/>
      <c r="J7" s="79"/>
    </row>
    <row r="8" spans="1:10" x14ac:dyDescent="0.25">
      <c r="A8" s="88">
        <v>6</v>
      </c>
      <c r="B8" s="86"/>
      <c r="C8" s="86"/>
      <c r="D8" s="79"/>
      <c r="E8" s="86"/>
      <c r="F8" s="91" t="str">
        <f t="shared" si="0"/>
        <v>-</v>
      </c>
      <c r="G8" s="79"/>
      <c r="H8" s="86"/>
      <c r="I8" s="86"/>
      <c r="J8" s="79"/>
    </row>
    <row r="9" spans="1:10" x14ac:dyDescent="0.25">
      <c r="A9" s="88">
        <v>7</v>
      </c>
      <c r="B9" s="86"/>
      <c r="C9" s="86"/>
      <c r="D9" s="79"/>
      <c r="E9" s="86"/>
      <c r="F9" s="91" t="str">
        <f t="shared" si="0"/>
        <v>-</v>
      </c>
      <c r="G9" s="79"/>
      <c r="H9" s="86"/>
      <c r="I9" s="86"/>
      <c r="J9" s="79"/>
    </row>
    <row r="10" spans="1:10" x14ac:dyDescent="0.25">
      <c r="A10" s="88">
        <v>8</v>
      </c>
      <c r="B10" s="86"/>
      <c r="C10" s="86"/>
      <c r="D10" s="79"/>
      <c r="E10" s="86"/>
      <c r="F10" s="91" t="str">
        <f t="shared" si="0"/>
        <v>-</v>
      </c>
      <c r="G10" s="79"/>
      <c r="H10" s="86"/>
      <c r="I10" s="86"/>
      <c r="J10" s="79"/>
    </row>
    <row r="11" spans="1:10" x14ac:dyDescent="0.25">
      <c r="A11" s="88">
        <v>9</v>
      </c>
      <c r="B11" s="86"/>
      <c r="C11" s="86"/>
      <c r="D11" s="79"/>
      <c r="E11" s="86"/>
      <c r="F11" s="91" t="str">
        <f t="shared" si="0"/>
        <v>-</v>
      </c>
      <c r="G11" s="79"/>
      <c r="H11" s="86"/>
      <c r="I11" s="86"/>
      <c r="J11" s="79"/>
    </row>
    <row r="12" spans="1:10" x14ac:dyDescent="0.25">
      <c r="A12" s="88">
        <v>10</v>
      </c>
      <c r="B12" s="86"/>
      <c r="C12" s="86"/>
      <c r="D12" s="79"/>
      <c r="E12" s="86"/>
      <c r="F12" s="91" t="str">
        <f t="shared" si="0"/>
        <v>-</v>
      </c>
      <c r="G12" s="79"/>
      <c r="H12" s="86"/>
      <c r="I12" s="86"/>
      <c r="J12" s="79"/>
    </row>
    <row r="13" spans="1:10" x14ac:dyDescent="0.25">
      <c r="A13" s="88">
        <v>11</v>
      </c>
      <c r="B13" s="86"/>
      <c r="C13" s="86"/>
      <c r="D13" s="79"/>
      <c r="E13" s="86"/>
      <c r="F13" s="91" t="str">
        <f t="shared" si="0"/>
        <v>-</v>
      </c>
      <c r="G13" s="79"/>
      <c r="H13" s="86"/>
      <c r="I13" s="86"/>
      <c r="J13" s="79"/>
    </row>
    <row r="14" spans="1:10" x14ac:dyDescent="0.25">
      <c r="A14" s="88">
        <v>12</v>
      </c>
      <c r="B14" s="86"/>
      <c r="C14" s="86"/>
      <c r="D14" s="79"/>
      <c r="E14" s="86"/>
      <c r="F14" s="91" t="str">
        <f t="shared" si="0"/>
        <v>-</v>
      </c>
      <c r="G14" s="79"/>
      <c r="H14" s="86"/>
      <c r="I14" s="86"/>
      <c r="J14" s="79"/>
    </row>
    <row r="15" spans="1:10" x14ac:dyDescent="0.25">
      <c r="A15" s="88">
        <v>13</v>
      </c>
      <c r="B15" s="86"/>
      <c r="C15" s="86"/>
      <c r="D15" s="79"/>
      <c r="E15" s="86"/>
      <c r="F15" s="91" t="str">
        <f t="shared" si="0"/>
        <v>-</v>
      </c>
      <c r="G15" s="79"/>
      <c r="H15" s="86"/>
      <c r="I15" s="86"/>
      <c r="J15" s="79"/>
    </row>
    <row r="16" spans="1:10" x14ac:dyDescent="0.25">
      <c r="A16" s="88">
        <v>14</v>
      </c>
      <c r="B16" s="86"/>
      <c r="C16" s="86"/>
      <c r="D16" s="79"/>
      <c r="E16" s="86"/>
      <c r="F16" s="91" t="str">
        <f t="shared" si="0"/>
        <v>-</v>
      </c>
      <c r="G16" s="79"/>
      <c r="H16" s="86"/>
      <c r="I16" s="86"/>
      <c r="J16" s="79"/>
    </row>
    <row r="17" spans="1:10" x14ac:dyDescent="0.25">
      <c r="A17" s="88">
        <v>15</v>
      </c>
      <c r="B17" s="86"/>
      <c r="C17" s="86"/>
      <c r="D17" s="79"/>
      <c r="E17" s="86"/>
      <c r="F17" s="91" t="str">
        <f t="shared" si="0"/>
        <v>-</v>
      </c>
      <c r="G17" s="79"/>
      <c r="H17" s="86"/>
      <c r="I17" s="86"/>
      <c r="J17" s="79"/>
    </row>
    <row r="18" spans="1:10" x14ac:dyDescent="0.25">
      <c r="A18" s="88">
        <v>16</v>
      </c>
      <c r="B18" s="86"/>
      <c r="C18" s="86"/>
      <c r="D18" s="79"/>
      <c r="E18" s="86"/>
      <c r="F18" s="91" t="str">
        <f t="shared" si="0"/>
        <v>-</v>
      </c>
      <c r="G18" s="79"/>
      <c r="H18" s="86"/>
      <c r="I18" s="86"/>
      <c r="J18" s="79"/>
    </row>
    <row r="19" spans="1:10" x14ac:dyDescent="0.25">
      <c r="A19" s="88">
        <v>17</v>
      </c>
      <c r="B19" s="86"/>
      <c r="C19" s="86"/>
      <c r="D19" s="79"/>
      <c r="E19" s="86"/>
      <c r="F19" s="91" t="str">
        <f t="shared" si="0"/>
        <v>-</v>
      </c>
      <c r="G19" s="79"/>
      <c r="H19" s="86"/>
      <c r="I19" s="86"/>
      <c r="J19" s="79"/>
    </row>
    <row r="20" spans="1:10" x14ac:dyDescent="0.25">
      <c r="A20" s="88">
        <v>18</v>
      </c>
      <c r="B20" s="86"/>
      <c r="C20" s="86"/>
      <c r="D20" s="79"/>
      <c r="E20" s="86"/>
      <c r="F20" s="91" t="str">
        <f t="shared" si="0"/>
        <v>-</v>
      </c>
      <c r="G20" s="79"/>
      <c r="H20" s="86"/>
      <c r="I20" s="86"/>
      <c r="J20" s="79"/>
    </row>
    <row r="21" spans="1:10" x14ac:dyDescent="0.25">
      <c r="A21" s="88">
        <v>19</v>
      </c>
      <c r="B21" s="86"/>
      <c r="C21" s="86"/>
      <c r="D21" s="79"/>
      <c r="E21" s="86"/>
      <c r="F21" s="91" t="str">
        <f t="shared" si="0"/>
        <v>-</v>
      </c>
      <c r="G21" s="79"/>
      <c r="H21" s="86"/>
      <c r="I21" s="86"/>
      <c r="J21" s="79"/>
    </row>
    <row r="22" spans="1:10" x14ac:dyDescent="0.25">
      <c r="A22" s="88">
        <v>20</v>
      </c>
      <c r="B22" s="86"/>
      <c r="C22" s="86"/>
      <c r="D22" s="79"/>
      <c r="E22" s="86"/>
      <c r="F22" s="91" t="str">
        <f t="shared" si="0"/>
        <v>-</v>
      </c>
      <c r="G22" s="79"/>
      <c r="H22" s="86"/>
      <c r="I22" s="86"/>
      <c r="J22" s="79"/>
    </row>
    <row r="23" spans="1:10" x14ac:dyDescent="0.25">
      <c r="A23" s="88">
        <v>21</v>
      </c>
      <c r="B23" s="86"/>
      <c r="C23" s="86"/>
      <c r="D23" s="79"/>
      <c r="E23" s="86"/>
      <c r="F23" s="91" t="str">
        <f t="shared" si="0"/>
        <v>-</v>
      </c>
      <c r="G23" s="79"/>
      <c r="H23" s="86"/>
      <c r="I23" s="86"/>
      <c r="J23" s="79"/>
    </row>
    <row r="24" spans="1:10" x14ac:dyDescent="0.25">
      <c r="A24" s="88">
        <v>22</v>
      </c>
      <c r="B24" s="86"/>
      <c r="C24" s="86"/>
      <c r="D24" s="79"/>
      <c r="E24" s="86"/>
      <c r="F24" s="91" t="str">
        <f t="shared" si="0"/>
        <v>-</v>
      </c>
      <c r="G24" s="79"/>
      <c r="H24" s="86"/>
      <c r="I24" s="86"/>
      <c r="J24" s="79"/>
    </row>
    <row r="25" spans="1:10" x14ac:dyDescent="0.25">
      <c r="A25" s="88">
        <v>23</v>
      </c>
      <c r="B25" s="86"/>
      <c r="C25" s="86"/>
      <c r="D25" s="79"/>
      <c r="E25" s="86"/>
      <c r="F25" s="91" t="str">
        <f t="shared" si="0"/>
        <v>-</v>
      </c>
      <c r="G25" s="79"/>
      <c r="H25" s="86"/>
      <c r="I25" s="86"/>
      <c r="J25" s="79"/>
    </row>
    <row r="26" spans="1:10" x14ac:dyDescent="0.25">
      <c r="A26" s="88">
        <v>24</v>
      </c>
      <c r="B26" s="86"/>
      <c r="C26" s="86"/>
      <c r="D26" s="79"/>
      <c r="E26" s="86"/>
      <c r="F26" s="91" t="str">
        <f t="shared" si="0"/>
        <v>-</v>
      </c>
      <c r="G26" s="79"/>
      <c r="H26" s="86"/>
      <c r="I26" s="86"/>
      <c r="J26" s="79"/>
    </row>
    <row r="27" spans="1:10" x14ac:dyDescent="0.25">
      <c r="A27" s="88">
        <v>25</v>
      </c>
      <c r="B27" s="86"/>
      <c r="C27" s="86"/>
      <c r="D27" s="79"/>
      <c r="E27" s="86"/>
      <c r="F27" s="91" t="str">
        <f t="shared" si="0"/>
        <v>-</v>
      </c>
      <c r="G27" s="79"/>
      <c r="H27" s="86"/>
      <c r="I27" s="86"/>
      <c r="J27" s="79"/>
    </row>
    <row r="28" spans="1:10" x14ac:dyDescent="0.25">
      <c r="A28" s="88">
        <v>26</v>
      </c>
      <c r="B28" s="86"/>
      <c r="C28" s="86"/>
      <c r="D28" s="79"/>
      <c r="E28" s="86"/>
      <c r="F28" s="91" t="str">
        <f t="shared" si="0"/>
        <v>-</v>
      </c>
      <c r="G28" s="79"/>
      <c r="H28" s="86"/>
      <c r="I28" s="86"/>
      <c r="J28" s="79"/>
    </row>
    <row r="29" spans="1:10" x14ac:dyDescent="0.25">
      <c r="A29" s="88">
        <v>27</v>
      </c>
      <c r="B29" s="86"/>
      <c r="C29" s="86"/>
      <c r="D29" s="79"/>
      <c r="E29" s="86"/>
      <c r="F29" s="91" t="str">
        <f t="shared" si="0"/>
        <v>-</v>
      </c>
      <c r="G29" s="79"/>
      <c r="H29" s="86"/>
      <c r="I29" s="86"/>
      <c r="J29" s="79"/>
    </row>
    <row r="30" spans="1:10" x14ac:dyDescent="0.25">
      <c r="A30" s="88">
        <v>28</v>
      </c>
      <c r="B30" s="86"/>
      <c r="C30" s="86"/>
      <c r="D30" s="79"/>
      <c r="E30" s="86"/>
      <c r="F30" s="91" t="str">
        <f t="shared" si="0"/>
        <v>-</v>
      </c>
      <c r="G30" s="79"/>
      <c r="H30" s="86"/>
      <c r="I30" s="86"/>
      <c r="J30" s="79"/>
    </row>
    <row r="31" spans="1:10" x14ac:dyDescent="0.25">
      <c r="A31" s="88">
        <v>29</v>
      </c>
      <c r="B31" s="86"/>
      <c r="C31" s="86"/>
      <c r="D31" s="79"/>
      <c r="E31" s="86"/>
      <c r="F31" s="91" t="str">
        <f t="shared" si="0"/>
        <v>-</v>
      </c>
      <c r="G31" s="79"/>
      <c r="H31" s="86"/>
      <c r="I31" s="86"/>
      <c r="J31" s="79"/>
    </row>
    <row r="32" spans="1:10" x14ac:dyDescent="0.25">
      <c r="A32" s="88">
        <v>30</v>
      </c>
      <c r="B32" s="86"/>
      <c r="C32" s="86"/>
      <c r="D32" s="79"/>
      <c r="E32" s="86"/>
      <c r="F32" s="91" t="str">
        <f t="shared" si="0"/>
        <v>-</v>
      </c>
      <c r="G32" s="79"/>
      <c r="H32" s="86"/>
      <c r="I32" s="86"/>
      <c r="J32" s="79"/>
    </row>
    <row r="33" spans="1:10" x14ac:dyDescent="0.25">
      <c r="A33" s="88">
        <v>31</v>
      </c>
      <c r="B33" s="86"/>
      <c r="C33" s="86"/>
      <c r="D33" s="79"/>
      <c r="E33" s="86"/>
      <c r="F33" s="91" t="str">
        <f t="shared" si="0"/>
        <v>-</v>
      </c>
      <c r="G33" s="79"/>
      <c r="H33" s="86"/>
      <c r="I33" s="86"/>
      <c r="J33" s="79"/>
    </row>
    <row r="34" spans="1:10" x14ac:dyDescent="0.25">
      <c r="A34" s="88">
        <v>32</v>
      </c>
      <c r="B34" s="86"/>
      <c r="C34" s="86"/>
      <c r="D34" s="79"/>
      <c r="E34" s="86"/>
      <c r="F34" s="91" t="str">
        <f t="shared" si="0"/>
        <v>-</v>
      </c>
      <c r="G34" s="79"/>
      <c r="H34" s="86"/>
      <c r="I34" s="86"/>
      <c r="J34" s="79"/>
    </row>
    <row r="35" spans="1:10" x14ac:dyDescent="0.25">
      <c r="A35" s="88">
        <v>33</v>
      </c>
      <c r="B35" s="86"/>
      <c r="C35" s="86"/>
      <c r="D35" s="79"/>
      <c r="E35" s="86"/>
      <c r="F35" s="91" t="str">
        <f t="shared" si="0"/>
        <v>-</v>
      </c>
      <c r="G35" s="79"/>
      <c r="H35" s="86"/>
      <c r="I35" s="86"/>
      <c r="J35" s="79"/>
    </row>
    <row r="36" spans="1:10" x14ac:dyDescent="0.25">
      <c r="A36" s="88">
        <v>34</v>
      </c>
      <c r="B36" s="86"/>
      <c r="C36" s="86"/>
      <c r="D36" s="79"/>
      <c r="E36" s="86"/>
      <c r="F36" s="91" t="str">
        <f t="shared" si="0"/>
        <v>-</v>
      </c>
      <c r="G36" s="79"/>
      <c r="H36" s="86"/>
      <c r="I36" s="86"/>
      <c r="J36" s="79"/>
    </row>
    <row r="37" spans="1:10" x14ac:dyDescent="0.25">
      <c r="A37" s="88">
        <v>35</v>
      </c>
      <c r="B37" s="86"/>
      <c r="C37" s="86"/>
      <c r="D37" s="79"/>
      <c r="E37" s="86"/>
      <c r="F37" s="91" t="str">
        <f t="shared" si="0"/>
        <v>-</v>
      </c>
      <c r="G37" s="79"/>
      <c r="H37" s="86"/>
      <c r="I37" s="86"/>
      <c r="J37" s="79"/>
    </row>
    <row r="38" spans="1:10" x14ac:dyDescent="0.25">
      <c r="A38" s="88">
        <v>36</v>
      </c>
      <c r="B38" s="86"/>
      <c r="C38" s="86"/>
      <c r="D38" s="79"/>
      <c r="E38" s="86"/>
      <c r="F38" s="91" t="str">
        <f t="shared" si="0"/>
        <v>-</v>
      </c>
      <c r="G38" s="79"/>
      <c r="H38" s="86"/>
      <c r="I38" s="86"/>
      <c r="J38" s="79"/>
    </row>
    <row r="39" spans="1:10" x14ac:dyDescent="0.25">
      <c r="A39" s="88">
        <v>37</v>
      </c>
      <c r="B39" s="86"/>
      <c r="C39" s="86"/>
      <c r="D39" s="79"/>
      <c r="E39" s="86"/>
      <c r="F39" s="91" t="str">
        <f t="shared" si="0"/>
        <v>-</v>
      </c>
      <c r="G39" s="79"/>
      <c r="H39" s="86"/>
      <c r="I39" s="86"/>
      <c r="J39" s="79"/>
    </row>
    <row r="40" spans="1:10" x14ac:dyDescent="0.25">
      <c r="A40" s="88">
        <v>38</v>
      </c>
      <c r="B40" s="86"/>
      <c r="C40" s="86"/>
      <c r="D40" s="79"/>
      <c r="E40" s="86"/>
      <c r="F40" s="91" t="str">
        <f t="shared" si="0"/>
        <v>-</v>
      </c>
      <c r="G40" s="79"/>
      <c r="H40" s="86"/>
      <c r="I40" s="86"/>
      <c r="J40" s="79"/>
    </row>
    <row r="41" spans="1:10" x14ac:dyDescent="0.25">
      <c r="A41" s="88">
        <v>39</v>
      </c>
      <c r="B41" s="86"/>
      <c r="C41" s="86"/>
      <c r="D41" s="79"/>
      <c r="E41" s="86"/>
      <c r="F41" s="91" t="str">
        <f t="shared" si="0"/>
        <v>-</v>
      </c>
      <c r="G41" s="79"/>
      <c r="H41" s="86"/>
      <c r="I41" s="86"/>
      <c r="J41" s="79"/>
    </row>
    <row r="42" spans="1:10" x14ac:dyDescent="0.25">
      <c r="A42" s="88">
        <v>40</v>
      </c>
      <c r="B42" s="86"/>
      <c r="C42" s="86"/>
      <c r="D42" s="79"/>
      <c r="E42" s="86"/>
      <c r="F42" s="91" t="str">
        <f t="shared" si="0"/>
        <v>-</v>
      </c>
      <c r="G42" s="79"/>
      <c r="H42" s="86"/>
      <c r="I42" s="86"/>
      <c r="J42" s="79"/>
    </row>
    <row r="43" spans="1:10" x14ac:dyDescent="0.25">
      <c r="A43" s="88">
        <v>41</v>
      </c>
      <c r="B43" s="86"/>
      <c r="C43" s="86"/>
      <c r="D43" s="79"/>
      <c r="E43" s="86"/>
      <c r="F43" s="91" t="str">
        <f t="shared" si="0"/>
        <v>-</v>
      </c>
      <c r="G43" s="79"/>
      <c r="H43" s="86"/>
      <c r="I43" s="86"/>
      <c r="J43" s="79"/>
    </row>
    <row r="44" spans="1:10" x14ac:dyDescent="0.25">
      <c r="A44" s="88">
        <v>42</v>
      </c>
      <c r="B44" s="86"/>
      <c r="C44" s="86"/>
      <c r="D44" s="79"/>
      <c r="E44" s="86"/>
      <c r="F44" s="91" t="str">
        <f t="shared" si="0"/>
        <v>-</v>
      </c>
      <c r="G44" s="79"/>
      <c r="H44" s="86"/>
      <c r="I44" s="86"/>
      <c r="J44" s="79"/>
    </row>
    <row r="45" spans="1:10" x14ac:dyDescent="0.25">
      <c r="A45" s="88">
        <v>43</v>
      </c>
      <c r="B45" s="86"/>
      <c r="C45" s="86"/>
      <c r="D45" s="79"/>
      <c r="E45" s="86"/>
      <c r="F45" s="91" t="str">
        <f t="shared" si="0"/>
        <v>-</v>
      </c>
      <c r="G45" s="79"/>
      <c r="H45" s="86"/>
      <c r="I45" s="86"/>
      <c r="J45" s="79"/>
    </row>
    <row r="46" spans="1:10" x14ac:dyDescent="0.25">
      <c r="A46" s="88">
        <v>44</v>
      </c>
      <c r="B46" s="86"/>
      <c r="C46" s="86"/>
      <c r="D46" s="79"/>
      <c r="E46" s="86"/>
      <c r="F46" s="91" t="str">
        <f t="shared" si="0"/>
        <v>-</v>
      </c>
      <c r="G46" s="79"/>
      <c r="H46" s="86"/>
      <c r="I46" s="86"/>
      <c r="J46" s="79"/>
    </row>
    <row r="47" spans="1:10" x14ac:dyDescent="0.25">
      <c r="A47" s="88">
        <v>45</v>
      </c>
      <c r="B47" s="86"/>
      <c r="C47" s="86"/>
      <c r="D47" s="79"/>
      <c r="E47" s="86"/>
      <c r="F47" s="91" t="str">
        <f t="shared" si="0"/>
        <v>-</v>
      </c>
      <c r="G47" s="79"/>
      <c r="H47" s="86"/>
      <c r="I47" s="86"/>
      <c r="J47" s="79"/>
    </row>
    <row r="48" spans="1:10" x14ac:dyDescent="0.25">
      <c r="A48" s="88">
        <v>46</v>
      </c>
      <c r="B48" s="86"/>
      <c r="C48" s="86"/>
      <c r="D48" s="79"/>
      <c r="E48" s="86"/>
      <c r="F48" s="91" t="str">
        <f t="shared" si="0"/>
        <v>-</v>
      </c>
      <c r="G48" s="79"/>
      <c r="H48" s="86"/>
      <c r="I48" s="86"/>
      <c r="J48" s="79"/>
    </row>
    <row r="49" spans="1:10" x14ac:dyDescent="0.25">
      <c r="A49" s="88">
        <v>47</v>
      </c>
      <c r="B49" s="86"/>
      <c r="C49" s="86"/>
      <c r="D49" s="79"/>
      <c r="E49" s="86"/>
      <c r="F49" s="91" t="str">
        <f t="shared" si="0"/>
        <v>-</v>
      </c>
      <c r="G49" s="79"/>
      <c r="H49" s="86"/>
      <c r="I49" s="86"/>
      <c r="J49" s="79"/>
    </row>
    <row r="50" spans="1:10" x14ac:dyDescent="0.25">
      <c r="A50" s="88">
        <v>48</v>
      </c>
      <c r="B50" s="86"/>
      <c r="C50" s="86"/>
      <c r="D50" s="79"/>
      <c r="E50" s="86"/>
      <c r="F50" s="91" t="str">
        <f t="shared" si="0"/>
        <v>-</v>
      </c>
      <c r="G50" s="79"/>
      <c r="H50" s="86"/>
      <c r="I50" s="86"/>
      <c r="J50" s="79"/>
    </row>
    <row r="51" spans="1:10" x14ac:dyDescent="0.25">
      <c r="A51" s="88">
        <v>49</v>
      </c>
      <c r="B51" s="86"/>
      <c r="C51" s="86"/>
      <c r="D51" s="79"/>
      <c r="E51" s="86"/>
      <c r="F51" s="91" t="str">
        <f t="shared" si="0"/>
        <v>-</v>
      </c>
      <c r="G51" s="79"/>
      <c r="H51" s="86"/>
      <c r="I51" s="86"/>
      <c r="J51" s="79"/>
    </row>
    <row r="52" spans="1:10" x14ac:dyDescent="0.25">
      <c r="A52" s="88">
        <v>50</v>
      </c>
      <c r="B52" s="86"/>
      <c r="C52" s="86"/>
      <c r="D52" s="79"/>
      <c r="E52" s="86"/>
      <c r="F52" s="91" t="str">
        <f t="shared" si="0"/>
        <v>-</v>
      </c>
      <c r="G52" s="79"/>
      <c r="H52" s="86"/>
      <c r="I52" s="86"/>
      <c r="J52" s="79"/>
    </row>
    <row r="53" spans="1:10" x14ac:dyDescent="0.25">
      <c r="A53" s="88">
        <v>51</v>
      </c>
      <c r="B53" s="86"/>
      <c r="C53" s="86"/>
      <c r="D53" s="79"/>
      <c r="E53" s="86"/>
      <c r="F53" s="91" t="str">
        <f t="shared" si="0"/>
        <v>-</v>
      </c>
      <c r="G53" s="79"/>
      <c r="H53" s="86"/>
      <c r="I53" s="86"/>
      <c r="J53" s="79"/>
    </row>
    <row r="54" spans="1:10" x14ac:dyDescent="0.25">
      <c r="A54" s="88">
        <v>52</v>
      </c>
      <c r="B54" s="86"/>
      <c r="C54" s="86"/>
      <c r="D54" s="79"/>
      <c r="E54" s="86"/>
      <c r="F54" s="91" t="str">
        <f t="shared" si="0"/>
        <v>-</v>
      </c>
      <c r="G54" s="79"/>
      <c r="H54" s="86"/>
      <c r="I54" s="86"/>
      <c r="J54" s="79"/>
    </row>
    <row r="55" spans="1:10" x14ac:dyDescent="0.25">
      <c r="A55" s="88">
        <v>53</v>
      </c>
      <c r="B55" s="86"/>
      <c r="C55" s="86"/>
      <c r="D55" s="79"/>
      <c r="E55" s="86"/>
      <c r="F55" s="91" t="str">
        <f t="shared" si="0"/>
        <v>-</v>
      </c>
      <c r="G55" s="79"/>
      <c r="H55" s="86"/>
      <c r="I55" s="86"/>
      <c r="J55" s="79"/>
    </row>
    <row r="56" spans="1:10" x14ac:dyDescent="0.25">
      <c r="A56" s="88">
        <v>54</v>
      </c>
      <c r="B56" s="86"/>
      <c r="C56" s="86"/>
      <c r="D56" s="79"/>
      <c r="E56" s="86"/>
      <c r="F56" s="91" t="str">
        <f t="shared" si="0"/>
        <v>-</v>
      </c>
      <c r="G56" s="79"/>
      <c r="H56" s="86"/>
      <c r="I56" s="86"/>
      <c r="J56" s="79"/>
    </row>
    <row r="57" spans="1:10" x14ac:dyDescent="0.25">
      <c r="A57" s="88">
        <v>55</v>
      </c>
      <c r="B57" s="86"/>
      <c r="C57" s="86"/>
      <c r="D57" s="79"/>
      <c r="E57" s="86"/>
      <c r="F57" s="91" t="str">
        <f t="shared" si="0"/>
        <v>-</v>
      </c>
      <c r="G57" s="79"/>
      <c r="H57" s="86"/>
      <c r="I57" s="86"/>
      <c r="J57" s="79"/>
    </row>
    <row r="58" spans="1:10" x14ac:dyDescent="0.25">
      <c r="A58" s="88">
        <v>56</v>
      </c>
      <c r="B58" s="86"/>
      <c r="C58" s="86"/>
      <c r="D58" s="79"/>
      <c r="E58" s="86"/>
      <c r="F58" s="91" t="str">
        <f t="shared" si="0"/>
        <v>-</v>
      </c>
      <c r="G58" s="79"/>
      <c r="H58" s="86"/>
      <c r="I58" s="86"/>
      <c r="J58" s="79"/>
    </row>
    <row r="59" spans="1:10" x14ac:dyDescent="0.25">
      <c r="A59" s="88">
        <v>57</v>
      </c>
      <c r="B59" s="86"/>
      <c r="C59" s="86"/>
      <c r="D59" s="79"/>
      <c r="E59" s="86"/>
      <c r="F59" s="91" t="str">
        <f t="shared" si="0"/>
        <v>-</v>
      </c>
      <c r="G59" s="79"/>
      <c r="H59" s="86"/>
      <c r="I59" s="86"/>
      <c r="J59" s="79"/>
    </row>
    <row r="60" spans="1:10" x14ac:dyDescent="0.25">
      <c r="A60" s="88">
        <v>58</v>
      </c>
      <c r="B60" s="86"/>
      <c r="C60" s="86"/>
      <c r="D60" s="79"/>
      <c r="E60" s="86"/>
      <c r="F60" s="91" t="str">
        <f t="shared" si="0"/>
        <v>-</v>
      </c>
      <c r="G60" s="79"/>
      <c r="H60" s="86"/>
      <c r="I60" s="86"/>
      <c r="J60" s="79"/>
    </row>
    <row r="61" spans="1:10" x14ac:dyDescent="0.25">
      <c r="A61" s="88">
        <v>59</v>
      </c>
      <c r="B61" s="86"/>
      <c r="C61" s="86"/>
      <c r="D61" s="79"/>
      <c r="E61" s="86"/>
      <c r="F61" s="91" t="str">
        <f t="shared" si="0"/>
        <v>-</v>
      </c>
      <c r="G61" s="79"/>
      <c r="H61" s="86"/>
      <c r="I61" s="86"/>
      <c r="J61" s="79"/>
    </row>
    <row r="62" spans="1:10" x14ac:dyDescent="0.25">
      <c r="A62" s="88">
        <v>60</v>
      </c>
      <c r="B62" s="86"/>
      <c r="C62" s="86"/>
      <c r="D62" s="79"/>
      <c r="E62" s="86"/>
      <c r="F62" s="91" t="str">
        <f t="shared" si="0"/>
        <v>-</v>
      </c>
      <c r="G62" s="79"/>
      <c r="H62" s="86"/>
      <c r="I62" s="86"/>
      <c r="J62" s="79"/>
    </row>
    <row r="63" spans="1:10" x14ac:dyDescent="0.25">
      <c r="A63" s="88">
        <v>61</v>
      </c>
      <c r="B63" s="86"/>
      <c r="C63" s="86"/>
      <c r="D63" s="79"/>
      <c r="E63" s="86"/>
      <c r="F63" s="91" t="str">
        <f t="shared" si="0"/>
        <v>-</v>
      </c>
      <c r="G63" s="79"/>
      <c r="H63" s="86"/>
      <c r="I63" s="86"/>
      <c r="J63" s="79"/>
    </row>
    <row r="64" spans="1:10" x14ac:dyDescent="0.25">
      <c r="A64" s="88">
        <v>62</v>
      </c>
      <c r="B64" s="86"/>
      <c r="C64" s="86"/>
      <c r="D64" s="79"/>
      <c r="E64" s="86"/>
      <c r="F64" s="91" t="str">
        <f t="shared" si="0"/>
        <v>-</v>
      </c>
      <c r="G64" s="79"/>
      <c r="H64" s="86"/>
      <c r="I64" s="86"/>
      <c r="J64" s="79"/>
    </row>
    <row r="65" spans="1:10" x14ac:dyDescent="0.25">
      <c r="A65" s="88">
        <v>63</v>
      </c>
      <c r="B65" s="86"/>
      <c r="C65" s="86"/>
      <c r="D65" s="79"/>
      <c r="E65" s="86"/>
      <c r="F65" s="91" t="str">
        <f t="shared" si="0"/>
        <v>-</v>
      </c>
      <c r="G65" s="79"/>
      <c r="H65" s="86"/>
      <c r="I65" s="86"/>
      <c r="J65" s="79"/>
    </row>
    <row r="66" spans="1:10" x14ac:dyDescent="0.25">
      <c r="A66" s="88">
        <v>64</v>
      </c>
      <c r="B66" s="86"/>
      <c r="C66" s="86"/>
      <c r="D66" s="79"/>
      <c r="E66" s="86"/>
      <c r="F66" s="91" t="str">
        <f t="shared" si="0"/>
        <v>-</v>
      </c>
      <c r="G66" s="79"/>
      <c r="H66" s="86"/>
      <c r="I66" s="86"/>
      <c r="J66" s="79"/>
    </row>
    <row r="67" spans="1:10" x14ac:dyDescent="0.25">
      <c r="A67" s="88">
        <v>65</v>
      </c>
      <c r="B67" s="86"/>
      <c r="C67" s="86"/>
      <c r="D67" s="79"/>
      <c r="E67" s="86"/>
      <c r="F67" s="91" t="str">
        <f t="shared" si="0"/>
        <v>-</v>
      </c>
      <c r="G67" s="79"/>
      <c r="H67" s="86"/>
      <c r="I67" s="86"/>
      <c r="J67" s="79"/>
    </row>
    <row r="68" spans="1:10" x14ac:dyDescent="0.25">
      <c r="A68" s="89"/>
      <c r="B68" s="90"/>
      <c r="C68" s="90"/>
      <c r="D68" s="90"/>
      <c r="E68" s="87">
        <f>SUM(E3:E67)</f>
        <v>0</v>
      </c>
      <c r="F68" s="90"/>
      <c r="G68" s="90"/>
      <c r="H68" s="90"/>
      <c r="I68" s="90"/>
      <c r="J68" s="90"/>
    </row>
    <row r="69" spans="1:10" ht="7.5" customHeight="1" x14ac:dyDescent="0.25"/>
    <row r="71" spans="1:10" x14ac:dyDescent="0.25"/>
    <row r="72" spans="1:10" x14ac:dyDescent="0.25"/>
    <row r="73" spans="1:10" x14ac:dyDescent="0.25"/>
    <row r="74" spans="1:10" x14ac:dyDescent="0.25"/>
    <row r="75" spans="1:10" x14ac:dyDescent="0.25"/>
    <row r="76" spans="1:10" x14ac:dyDescent="0.25"/>
    <row r="77" spans="1:10" x14ac:dyDescent="0.25"/>
    <row r="78" spans="1:10" x14ac:dyDescent="0.25"/>
    <row r="79" spans="1:10" x14ac:dyDescent="0.25"/>
    <row r="80" spans="1:1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sheetData>
  <sheetProtection algorithmName="SHA-512" hashValue="IF51u/8+pZn9fIjhKAotEDUGXwCMnYe1wPJU76wJ7/TtDqdFyOdLUOVNDkDsyWC3A9B9COgoCTFbfthCby+DWQ==" saltValue="UYujYuXj1naJsJsInZF6jw==" spinCount="100000" sheet="1" objects="1" scenarios="1" formatCells="0" formatColumns="0" formatRows="0"/>
  <mergeCells count="1">
    <mergeCell ref="A1:J1"/>
  </mergeCells>
  <dataValidations count="2">
    <dataValidation type="list" allowBlank="1" showInputMessage="1" showErrorMessage="1" sqref="C3:C67" xr:uid="{00000000-0002-0000-1100-000000000000}">
      <formula1>"Director and Shareholder,Director,Shareholder"</formula1>
    </dataValidation>
    <dataValidation type="list" allowBlank="1" showInputMessage="1" showErrorMessage="1" sqref="G3:G67 D3:D67 J3:J67" xr:uid="{00000000-0002-0000-1100-000001000000}">
      <formula1>"Yes,No"</formula1>
    </dataValidation>
  </dataValidations>
  <pageMargins left="0.7" right="0.7" top="0.75" bottom="0.75" header="0.3" footer="0.3"/>
  <pageSetup paperSize="9" orientation="portrait" horizontalDpi="4294967295" verticalDpi="4294967295"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dimension ref="A1:T32"/>
  <sheetViews>
    <sheetView workbookViewId="0">
      <selection activeCell="A1048576" sqref="A1048576"/>
    </sheetView>
  </sheetViews>
  <sheetFormatPr defaultColWidth="0" defaultRowHeight="15" zeroHeight="1" x14ac:dyDescent="0.25"/>
  <cols>
    <col min="1" max="1" width="10.85546875" style="13" customWidth="1"/>
    <col min="2" max="2" width="24.85546875" style="13" customWidth="1"/>
    <col min="3" max="3" width="10.85546875" style="13" customWidth="1"/>
    <col min="4" max="4" width="30.5703125" style="13" customWidth="1"/>
    <col min="5" max="5" width="10.85546875" style="13" customWidth="1"/>
    <col min="6" max="7" width="12.5703125" style="13" customWidth="1"/>
    <col min="8" max="8" width="1.140625" style="13" customWidth="1"/>
    <col min="9" max="20" width="0" style="13" hidden="1" customWidth="1"/>
    <col min="21" max="16384" width="9.140625" style="13" hidden="1"/>
  </cols>
  <sheetData>
    <row r="1" spans="1:7" ht="18.75" x14ac:dyDescent="0.25">
      <c r="A1" s="631" t="s">
        <v>892</v>
      </c>
      <c r="B1" s="631"/>
      <c r="C1" s="631"/>
      <c r="D1" s="631"/>
      <c r="E1" s="631"/>
      <c r="F1" s="631"/>
      <c r="G1" s="631"/>
    </row>
    <row r="2" spans="1:7" x14ac:dyDescent="0.25">
      <c r="A2" s="632" t="s">
        <v>241</v>
      </c>
      <c r="B2" s="633"/>
      <c r="C2" s="632" t="s">
        <v>741</v>
      </c>
      <c r="D2" s="633"/>
      <c r="E2" s="632" t="s">
        <v>745</v>
      </c>
      <c r="F2" s="633"/>
      <c r="G2" s="634"/>
    </row>
    <row r="3" spans="1:7" x14ac:dyDescent="0.25">
      <c r="A3" s="72" t="s">
        <v>731</v>
      </c>
      <c r="B3" s="120">
        <v>0</v>
      </c>
      <c r="C3" s="635" t="s">
        <v>742</v>
      </c>
      <c r="D3" s="638">
        <v>0</v>
      </c>
      <c r="E3" s="635" t="s">
        <v>746</v>
      </c>
      <c r="F3" s="638">
        <v>0</v>
      </c>
      <c r="G3" s="643"/>
    </row>
    <row r="4" spans="1:7" x14ac:dyDescent="0.25">
      <c r="A4" s="72" t="s">
        <v>515</v>
      </c>
      <c r="B4" s="120">
        <v>0</v>
      </c>
      <c r="C4" s="636"/>
      <c r="D4" s="639"/>
      <c r="E4" s="636"/>
      <c r="F4" s="639"/>
      <c r="G4" s="644"/>
    </row>
    <row r="5" spans="1:7" x14ac:dyDescent="0.25">
      <c r="A5" s="72" t="s">
        <v>732</v>
      </c>
      <c r="B5" s="120">
        <v>0</v>
      </c>
      <c r="C5" s="637"/>
      <c r="D5" s="640"/>
      <c r="E5" s="636"/>
      <c r="F5" s="639"/>
      <c r="G5" s="644"/>
    </row>
    <row r="6" spans="1:7" x14ac:dyDescent="0.25">
      <c r="A6" s="72" t="s">
        <v>733</v>
      </c>
      <c r="B6" s="120">
        <v>0</v>
      </c>
      <c r="C6" s="635" t="s">
        <v>743</v>
      </c>
      <c r="D6" s="638">
        <v>0</v>
      </c>
      <c r="E6" s="636"/>
      <c r="F6" s="639"/>
      <c r="G6" s="644"/>
    </row>
    <row r="7" spans="1:7" x14ac:dyDescent="0.25">
      <c r="A7" s="72" t="s">
        <v>734</v>
      </c>
      <c r="B7" s="120">
        <v>0</v>
      </c>
      <c r="C7" s="636"/>
      <c r="D7" s="639"/>
      <c r="E7" s="636"/>
      <c r="F7" s="639"/>
      <c r="G7" s="644"/>
    </row>
    <row r="8" spans="1:7" x14ac:dyDescent="0.25">
      <c r="A8" s="72" t="s">
        <v>735</v>
      </c>
      <c r="B8" s="120">
        <v>0</v>
      </c>
      <c r="C8" s="637"/>
      <c r="D8" s="640"/>
      <c r="E8" s="637"/>
      <c r="F8" s="640"/>
      <c r="G8" s="645"/>
    </row>
    <row r="9" spans="1:7" x14ac:dyDescent="0.25">
      <c r="A9" s="72" t="s">
        <v>736</v>
      </c>
      <c r="B9" s="120">
        <v>0</v>
      </c>
      <c r="C9" s="635" t="s">
        <v>744</v>
      </c>
      <c r="D9" s="638">
        <v>0</v>
      </c>
      <c r="E9" s="635" t="s">
        <v>747</v>
      </c>
      <c r="F9" s="638">
        <v>0</v>
      </c>
      <c r="G9" s="643"/>
    </row>
    <row r="10" spans="1:7" x14ac:dyDescent="0.25">
      <c r="A10" s="72" t="s">
        <v>737</v>
      </c>
      <c r="B10" s="120">
        <v>0</v>
      </c>
      <c r="C10" s="636"/>
      <c r="D10" s="639"/>
      <c r="E10" s="636"/>
      <c r="F10" s="639"/>
      <c r="G10" s="644"/>
    </row>
    <row r="11" spans="1:7" x14ac:dyDescent="0.25">
      <c r="A11" s="72" t="s">
        <v>738</v>
      </c>
      <c r="B11" s="120">
        <v>0</v>
      </c>
      <c r="C11" s="637"/>
      <c r="D11" s="640"/>
      <c r="E11" s="636"/>
      <c r="F11" s="639"/>
      <c r="G11" s="644"/>
    </row>
    <row r="12" spans="1:7" x14ac:dyDescent="0.25">
      <c r="A12" s="72" t="s">
        <v>739</v>
      </c>
      <c r="B12" s="120">
        <v>0</v>
      </c>
      <c r="C12" s="635" t="s">
        <v>774</v>
      </c>
      <c r="D12" s="638">
        <v>0</v>
      </c>
      <c r="E12" s="636"/>
      <c r="F12" s="639"/>
      <c r="G12" s="644"/>
    </row>
    <row r="13" spans="1:7" x14ac:dyDescent="0.25">
      <c r="A13" s="72" t="s">
        <v>740</v>
      </c>
      <c r="B13" s="120">
        <v>0</v>
      </c>
      <c r="C13" s="636"/>
      <c r="D13" s="639"/>
      <c r="E13" s="636"/>
      <c r="F13" s="639"/>
      <c r="G13" s="644"/>
    </row>
    <row r="14" spans="1:7" x14ac:dyDescent="0.25">
      <c r="A14" s="72" t="s">
        <v>730</v>
      </c>
      <c r="B14" s="120">
        <v>0</v>
      </c>
      <c r="C14" s="637"/>
      <c r="D14" s="640"/>
      <c r="E14" s="637"/>
      <c r="F14" s="640"/>
      <c r="G14" s="645"/>
    </row>
    <row r="15" spans="1:7" x14ac:dyDescent="0.25">
      <c r="A15" s="50" t="s">
        <v>688</v>
      </c>
      <c r="B15" s="121">
        <f>SUM(B3:B14)</f>
        <v>0</v>
      </c>
      <c r="C15" s="50" t="s">
        <v>688</v>
      </c>
      <c r="D15" s="121">
        <f>SUM(D3:D14)</f>
        <v>0</v>
      </c>
      <c r="E15" s="50" t="s">
        <v>688</v>
      </c>
      <c r="F15" s="641">
        <f>SUM(F3:G14)</f>
        <v>0</v>
      </c>
      <c r="G15" s="642"/>
    </row>
    <row r="16" spans="1:7" ht="7.5" customHeight="1" x14ac:dyDescent="0.25">
      <c r="A16" s="646"/>
      <c r="B16" s="647"/>
      <c r="C16" s="648"/>
      <c r="D16" s="647"/>
      <c r="E16" s="647"/>
      <c r="F16" s="647"/>
      <c r="G16" s="647"/>
    </row>
    <row r="17" spans="1:8" ht="18.75" x14ac:dyDescent="0.25">
      <c r="A17" s="659" t="s">
        <v>852</v>
      </c>
      <c r="B17" s="659"/>
      <c r="C17" s="653"/>
      <c r="D17" s="650" t="s">
        <v>859</v>
      </c>
      <c r="E17" s="651"/>
      <c r="F17" s="651"/>
      <c r="G17" s="652"/>
    </row>
    <row r="18" spans="1:8" ht="15" customHeight="1" x14ac:dyDescent="0.25">
      <c r="A18" s="660" t="s">
        <v>241</v>
      </c>
      <c r="B18" s="660"/>
      <c r="C18" s="653"/>
      <c r="D18" s="117" t="s">
        <v>863</v>
      </c>
      <c r="E18" s="73" t="s">
        <v>860</v>
      </c>
      <c r="F18" s="73" t="s">
        <v>861</v>
      </c>
      <c r="G18" s="73" t="s">
        <v>862</v>
      </c>
    </row>
    <row r="19" spans="1:8" x14ac:dyDescent="0.25">
      <c r="A19" s="71" t="s">
        <v>731</v>
      </c>
      <c r="B19" s="120">
        <v>0</v>
      </c>
      <c r="C19" s="653"/>
      <c r="D19" s="75" t="s">
        <v>853</v>
      </c>
      <c r="E19" s="77">
        <v>42826</v>
      </c>
      <c r="F19" s="77">
        <v>43100</v>
      </c>
      <c r="G19" s="74">
        <f>F19-E19</f>
        <v>274</v>
      </c>
    </row>
    <row r="20" spans="1:8" x14ac:dyDescent="0.25">
      <c r="A20" s="71" t="s">
        <v>515</v>
      </c>
      <c r="B20" s="120">
        <v>0</v>
      </c>
      <c r="C20" s="653"/>
      <c r="D20" s="75" t="s">
        <v>854</v>
      </c>
      <c r="E20" s="77">
        <v>42826</v>
      </c>
      <c r="F20" s="77">
        <v>43100</v>
      </c>
      <c r="G20" s="74">
        <f>F20-E20</f>
        <v>274</v>
      </c>
    </row>
    <row r="21" spans="1:8" x14ac:dyDescent="0.25">
      <c r="A21" s="71" t="s">
        <v>732</v>
      </c>
      <c r="B21" s="120">
        <v>0</v>
      </c>
      <c r="C21" s="654"/>
      <c r="D21" s="647"/>
      <c r="E21" s="647"/>
      <c r="F21" s="647"/>
      <c r="G21" s="647"/>
      <c r="H21" s="76"/>
    </row>
    <row r="22" spans="1:8" x14ac:dyDescent="0.25">
      <c r="A22" s="71" t="s">
        <v>733</v>
      </c>
      <c r="B22" s="120">
        <v>0</v>
      </c>
      <c r="C22" s="653"/>
      <c r="D22" s="118" t="s">
        <v>858</v>
      </c>
      <c r="E22" s="655">
        <v>0</v>
      </c>
      <c r="F22" s="656"/>
      <c r="G22" s="657"/>
    </row>
    <row r="23" spans="1:8" x14ac:dyDescent="0.25">
      <c r="A23" s="71" t="s">
        <v>734</v>
      </c>
      <c r="B23" s="120">
        <v>0</v>
      </c>
      <c r="C23" s="653"/>
      <c r="D23" s="118" t="s">
        <v>857</v>
      </c>
      <c r="E23" s="655">
        <v>0</v>
      </c>
      <c r="F23" s="656"/>
      <c r="G23" s="657"/>
    </row>
    <row r="24" spans="1:8" x14ac:dyDescent="0.25">
      <c r="A24" s="71" t="s">
        <v>735</v>
      </c>
      <c r="B24" s="120">
        <v>0</v>
      </c>
      <c r="C24" s="654"/>
      <c r="D24" s="647"/>
      <c r="E24" s="647"/>
      <c r="F24" s="647"/>
      <c r="G24" s="647"/>
      <c r="H24" s="76"/>
    </row>
    <row r="25" spans="1:8" x14ac:dyDescent="0.25">
      <c r="A25" s="71" t="s">
        <v>736</v>
      </c>
      <c r="B25" s="120">
        <v>0</v>
      </c>
      <c r="C25" s="653"/>
      <c r="D25" s="141" t="s">
        <v>856</v>
      </c>
      <c r="E25" s="658" t="str">
        <f>IFERROR((E22/B15)*G19,"-")</f>
        <v>-</v>
      </c>
      <c r="F25" s="658"/>
      <c r="G25" s="658"/>
    </row>
    <row r="26" spans="1:8" x14ac:dyDescent="0.25">
      <c r="A26" s="71" t="s">
        <v>737</v>
      </c>
      <c r="B26" s="120">
        <v>0</v>
      </c>
      <c r="C26" s="653"/>
      <c r="D26" s="141" t="s">
        <v>855</v>
      </c>
      <c r="E26" s="658" t="str">
        <f>IFERROR((E23/B31)*G20,"-")</f>
        <v>-</v>
      </c>
      <c r="F26" s="658"/>
      <c r="G26" s="658"/>
    </row>
    <row r="27" spans="1:8" x14ac:dyDescent="0.25">
      <c r="A27" s="71" t="s">
        <v>738</v>
      </c>
      <c r="B27" s="120">
        <v>0</v>
      </c>
      <c r="C27" s="654"/>
      <c r="D27" s="649"/>
      <c r="E27" s="649"/>
      <c r="F27" s="649"/>
      <c r="G27" s="649"/>
      <c r="H27" s="76"/>
    </row>
    <row r="28" spans="1:8" x14ac:dyDescent="0.25">
      <c r="A28" s="71" t="s">
        <v>739</v>
      </c>
      <c r="B28" s="120">
        <v>0</v>
      </c>
      <c r="C28" s="654"/>
      <c r="D28" s="649"/>
      <c r="E28" s="649"/>
      <c r="F28" s="649"/>
      <c r="G28" s="649"/>
    </row>
    <row r="29" spans="1:8" x14ac:dyDescent="0.25">
      <c r="A29" s="71" t="s">
        <v>740</v>
      </c>
      <c r="B29" s="120">
        <v>0</v>
      </c>
      <c r="C29" s="654"/>
      <c r="D29" s="649"/>
      <c r="E29" s="649"/>
      <c r="F29" s="649"/>
      <c r="G29" s="649"/>
    </row>
    <row r="30" spans="1:8" x14ac:dyDescent="0.25">
      <c r="A30" s="71" t="s">
        <v>730</v>
      </c>
      <c r="B30" s="120">
        <v>0</v>
      </c>
      <c r="C30" s="654"/>
      <c r="D30" s="649"/>
      <c r="E30" s="649"/>
      <c r="F30" s="649"/>
      <c r="G30" s="649"/>
    </row>
    <row r="31" spans="1:8" x14ac:dyDescent="0.25">
      <c r="A31" s="50" t="s">
        <v>688</v>
      </c>
      <c r="B31" s="119">
        <f>SUM(B19:B30)</f>
        <v>0</v>
      </c>
      <c r="C31" s="654"/>
      <c r="D31" s="649"/>
      <c r="E31" s="649"/>
      <c r="F31" s="649"/>
      <c r="G31" s="649"/>
    </row>
    <row r="32" spans="1:8" ht="3.75" customHeight="1" x14ac:dyDescent="0.25">
      <c r="D32" s="76"/>
      <c r="E32" s="76"/>
      <c r="F32" s="76"/>
      <c r="G32" s="76"/>
    </row>
  </sheetData>
  <sheetProtection algorithmName="SHA-512" hashValue="rRnkkqUZcTgXWFOy99qt4rxnbgSfOCwnBHuYceObzvfQuJN+95AkAhFSnN/9XyUkXVj88uZGBXph8IKt3hO1Sg==" saltValue="TNg9V/Ajukph/mQ5aC4fqA==" spinCount="100000" sheet="1" objects="1" scenarios="1" formatCells="0" formatColumns="0" formatRows="0"/>
  <mergeCells count="29">
    <mergeCell ref="A16:G16"/>
    <mergeCell ref="D27:G31"/>
    <mergeCell ref="D21:G21"/>
    <mergeCell ref="D24:G24"/>
    <mergeCell ref="D17:G17"/>
    <mergeCell ref="C17:C31"/>
    <mergeCell ref="E22:G22"/>
    <mergeCell ref="E23:G23"/>
    <mergeCell ref="E25:G25"/>
    <mergeCell ref="E26:G26"/>
    <mergeCell ref="A17:B17"/>
    <mergeCell ref="A18:B18"/>
    <mergeCell ref="F15:G15"/>
    <mergeCell ref="E3:E8"/>
    <mergeCell ref="E9:E14"/>
    <mergeCell ref="F3:G8"/>
    <mergeCell ref="F9:G14"/>
    <mergeCell ref="C6:C8"/>
    <mergeCell ref="C9:C11"/>
    <mergeCell ref="C12:C14"/>
    <mergeCell ref="D3:D5"/>
    <mergeCell ref="D6:D8"/>
    <mergeCell ref="D9:D11"/>
    <mergeCell ref="D12:D14"/>
    <mergeCell ref="A1:G1"/>
    <mergeCell ref="A2:B2"/>
    <mergeCell ref="C2:D2"/>
    <mergeCell ref="E2:G2"/>
    <mergeCell ref="C3:C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5"/>
  <dimension ref="A1:XFC167"/>
  <sheetViews>
    <sheetView zoomScaleNormal="100" workbookViewId="0">
      <selection activeCell="B5" sqref="B5:F5"/>
    </sheetView>
  </sheetViews>
  <sheetFormatPr defaultColWidth="0" defaultRowHeight="15" customHeight="1" zeroHeight="1" x14ac:dyDescent="0.2"/>
  <cols>
    <col min="1" max="1" width="50.140625" style="18" bestFit="1" customWidth="1"/>
    <col min="2" max="2" width="12" style="18" bestFit="1" customWidth="1"/>
    <col min="3" max="3" width="9.140625" style="18" bestFit="1" customWidth="1"/>
    <col min="4" max="6" width="26.28515625" style="18" customWidth="1"/>
    <col min="7" max="7" width="1.42578125" style="18" hidden="1" customWidth="1"/>
    <col min="8" max="10" width="4.28515625" style="18" hidden="1" customWidth="1"/>
    <col min="11" max="16" width="9.140625" style="18" hidden="1" customWidth="1"/>
    <col min="17" max="17" width="11.7109375" style="18" hidden="1" customWidth="1"/>
    <col min="18" max="18" width="9.140625" style="18" hidden="1" customWidth="1"/>
    <col min="19" max="19" width="10.28515625" style="18" hidden="1" customWidth="1"/>
    <col min="20" max="16383" width="9.140625" style="18" hidden="1"/>
    <col min="16384" max="16384" width="6" style="18" hidden="1" customWidth="1"/>
  </cols>
  <sheetData>
    <row r="1" spans="1:21" ht="20.25" x14ac:dyDescent="0.3">
      <c r="A1" s="439" t="s">
        <v>475</v>
      </c>
      <c r="B1" s="439"/>
      <c r="C1" s="439"/>
      <c r="D1" s="439"/>
      <c r="E1" s="439"/>
      <c r="F1" s="439"/>
      <c r="K1" s="2" t="s">
        <v>19</v>
      </c>
      <c r="L1" s="2" t="s">
        <v>20</v>
      </c>
      <c r="M1" s="2"/>
      <c r="N1" s="2" t="s">
        <v>15</v>
      </c>
      <c r="O1" s="2" t="s">
        <v>21</v>
      </c>
      <c r="P1" s="2" t="s">
        <v>22</v>
      </c>
      <c r="R1" s="1"/>
      <c r="S1" s="1"/>
      <c r="U1" s="21"/>
    </row>
    <row r="2" spans="1:21" ht="15" customHeight="1" x14ac:dyDescent="0.2">
      <c r="A2" s="129" t="s">
        <v>0</v>
      </c>
      <c r="B2" s="381">
        <f>'Loan Details'!B3</f>
        <v>0</v>
      </c>
      <c r="C2" s="381"/>
      <c r="D2" s="381"/>
      <c r="E2" s="381"/>
      <c r="F2" s="381"/>
      <c r="K2" s="2" t="s">
        <v>23</v>
      </c>
      <c r="L2" s="2" t="s">
        <v>23</v>
      </c>
      <c r="M2" s="2" t="str">
        <f t="shared" ref="M2:M62" si="0">K2&amp;" "&amp;L2</f>
        <v>Agriculture Products Agriculture Products</v>
      </c>
      <c r="N2" s="2">
        <v>6.64</v>
      </c>
      <c r="O2" s="2">
        <v>3.95</v>
      </c>
      <c r="P2" s="2"/>
      <c r="R2" s="1"/>
      <c r="S2" s="1"/>
      <c r="U2" s="21"/>
    </row>
    <row r="3" spans="1:21" ht="15" customHeight="1" x14ac:dyDescent="0.2">
      <c r="A3" s="129" t="s">
        <v>2</v>
      </c>
      <c r="B3" s="382">
        <f>'Loan Details'!B4</f>
        <v>0.18</v>
      </c>
      <c r="C3" s="382"/>
      <c r="D3" s="382"/>
      <c r="E3" s="382"/>
      <c r="F3" s="382"/>
      <c r="K3" s="2" t="s">
        <v>23</v>
      </c>
      <c r="L3" s="2" t="s">
        <v>24</v>
      </c>
      <c r="M3" s="2" t="str">
        <f t="shared" si="0"/>
        <v>Agriculture Products Animal Products (Including animal and bird feed)</v>
      </c>
      <c r="N3" s="2">
        <v>5.8</v>
      </c>
      <c r="O3" s="2">
        <v>3.95</v>
      </c>
      <c r="P3" s="2"/>
      <c r="R3" s="1"/>
      <c r="S3" s="1"/>
    </row>
    <row r="4" spans="1:21" ht="15" customHeight="1" x14ac:dyDescent="0.2">
      <c r="A4" s="129" t="s">
        <v>3</v>
      </c>
      <c r="B4" s="383">
        <f>'Loan Details'!B5</f>
        <v>48</v>
      </c>
      <c r="C4" s="383"/>
      <c r="D4" s="383"/>
      <c r="E4" s="383"/>
      <c r="F4" s="383"/>
      <c r="K4" s="2" t="s">
        <v>23</v>
      </c>
      <c r="L4" s="2" t="s">
        <v>25</v>
      </c>
      <c r="M4" s="2" t="str">
        <f t="shared" si="0"/>
        <v>Agriculture Products Edible Oils</v>
      </c>
      <c r="N4" s="2">
        <v>3.57</v>
      </c>
      <c r="O4" s="2">
        <v>3.57</v>
      </c>
      <c r="P4" s="2"/>
      <c r="R4" s="1"/>
      <c r="S4" s="1"/>
    </row>
    <row r="5" spans="1:21" ht="15" customHeight="1" x14ac:dyDescent="0.2">
      <c r="A5" s="129" t="s">
        <v>14</v>
      </c>
      <c r="B5" s="383"/>
      <c r="C5" s="383"/>
      <c r="D5" s="383"/>
      <c r="E5" s="383"/>
      <c r="F5" s="383"/>
      <c r="K5" s="2" t="s">
        <v>23</v>
      </c>
      <c r="L5" s="2" t="s">
        <v>26</v>
      </c>
      <c r="M5" s="2" t="str">
        <f t="shared" si="0"/>
        <v>Agriculture Products Floricultural</v>
      </c>
      <c r="N5" s="2">
        <v>9.69</v>
      </c>
      <c r="O5" s="2">
        <v>3.95</v>
      </c>
      <c r="P5" s="2"/>
    </row>
    <row r="6" spans="1:21" ht="15" customHeight="1" x14ac:dyDescent="0.2">
      <c r="A6" s="129" t="s">
        <v>16</v>
      </c>
      <c r="B6" s="383">
        <f>'Loan Details'!C10</f>
        <v>0</v>
      </c>
      <c r="C6" s="383"/>
      <c r="D6" s="383"/>
      <c r="E6" s="383"/>
      <c r="F6" s="383"/>
      <c r="K6" s="2" t="s">
        <v>23</v>
      </c>
      <c r="L6" s="2" t="s">
        <v>27</v>
      </c>
      <c r="M6" s="2" t="str">
        <f t="shared" si="0"/>
        <v>Agriculture Products Fruit and nuts</v>
      </c>
      <c r="N6" s="2">
        <v>6.64</v>
      </c>
      <c r="O6" s="2">
        <v>3.95</v>
      </c>
      <c r="P6" s="2"/>
      <c r="R6" s="1"/>
      <c r="S6" s="1"/>
    </row>
    <row r="7" spans="1:21" ht="15" customHeight="1" x14ac:dyDescent="0.2">
      <c r="A7" s="129" t="s">
        <v>18</v>
      </c>
      <c r="B7" s="520" t="e">
        <f ca="1">INDIRECT(ADDRESS(MATCH(B6,M:M,0),MATCH(B5,1:1,0),,,))</f>
        <v>#N/A</v>
      </c>
      <c r="C7" s="520"/>
      <c r="D7" s="520"/>
      <c r="E7" s="520"/>
      <c r="F7" s="520"/>
      <c r="K7" s="2" t="s">
        <v>23</v>
      </c>
      <c r="L7" s="2" t="s">
        <v>28</v>
      </c>
      <c r="M7" s="2" t="str">
        <f t="shared" si="0"/>
        <v>Agriculture Products Poultry &amp; Meal Products</v>
      </c>
      <c r="N7" s="2">
        <v>9.42</v>
      </c>
      <c r="O7" s="2">
        <v>3.95</v>
      </c>
      <c r="P7" s="2"/>
    </row>
    <row r="8" spans="1:21" ht="15" customHeight="1" x14ac:dyDescent="0.3">
      <c r="A8" s="661" t="s">
        <v>4</v>
      </c>
      <c r="B8" s="662"/>
      <c r="C8" s="662"/>
      <c r="D8" s="662"/>
      <c r="E8" s="662"/>
      <c r="F8" s="662"/>
      <c r="K8" s="2" t="s">
        <v>23</v>
      </c>
      <c r="L8" s="2" t="s">
        <v>29</v>
      </c>
      <c r="M8" s="2" t="str">
        <f t="shared" si="0"/>
        <v>Agriculture Products Agri-seed</v>
      </c>
      <c r="N8" s="2">
        <v>15.98</v>
      </c>
      <c r="O8" s="2">
        <v>3.95</v>
      </c>
      <c r="P8" s="2"/>
      <c r="Q8" s="671"/>
      <c r="R8" s="671"/>
      <c r="S8" s="3"/>
    </row>
    <row r="9" spans="1:21" ht="15" customHeight="1" x14ac:dyDescent="0.2">
      <c r="A9" s="123" t="s">
        <v>5</v>
      </c>
      <c r="B9" s="454">
        <f>'Loan Details'!C12</f>
        <v>0</v>
      </c>
      <c r="C9" s="455"/>
      <c r="D9" s="455"/>
      <c r="E9" s="455"/>
      <c r="F9" s="455"/>
      <c r="K9" s="2" t="s">
        <v>23</v>
      </c>
      <c r="L9" s="2" t="s">
        <v>30</v>
      </c>
      <c r="M9" s="2" t="str">
        <f t="shared" si="0"/>
        <v>Agriculture Products Spices</v>
      </c>
      <c r="N9" s="2">
        <v>6.64</v>
      </c>
      <c r="O9" s="2">
        <v>3.95</v>
      </c>
      <c r="P9" s="2"/>
      <c r="Q9" s="671"/>
      <c r="R9" s="671"/>
      <c r="S9" s="22"/>
    </row>
    <row r="10" spans="1:21" ht="15" customHeight="1" x14ac:dyDescent="0.3">
      <c r="A10" s="661" t="s">
        <v>560</v>
      </c>
      <c r="B10" s="662"/>
      <c r="C10" s="662"/>
      <c r="D10" s="662"/>
      <c r="E10" s="662"/>
      <c r="F10" s="662"/>
      <c r="K10" s="2" t="s">
        <v>23</v>
      </c>
      <c r="L10" s="2" t="s">
        <v>31</v>
      </c>
      <c r="M10" s="2" t="str">
        <f t="shared" si="0"/>
        <v>Agriculture Products Starches</v>
      </c>
      <c r="N10" s="2">
        <v>8.61</v>
      </c>
      <c r="O10" s="2">
        <v>3.95</v>
      </c>
      <c r="P10" s="2"/>
    </row>
    <row r="11" spans="1:21" ht="15" customHeight="1" x14ac:dyDescent="0.2">
      <c r="A11" s="525" t="s">
        <v>234</v>
      </c>
      <c r="B11" s="665" t="s">
        <v>7</v>
      </c>
      <c r="C11" s="666"/>
      <c r="D11" s="124" t="s">
        <v>231</v>
      </c>
      <c r="E11" s="125" t="s">
        <v>232</v>
      </c>
      <c r="F11" s="124" t="s">
        <v>233</v>
      </c>
      <c r="K11" s="2" t="s">
        <v>23</v>
      </c>
      <c r="L11" s="2" t="s">
        <v>32</v>
      </c>
      <c r="M11" s="2" t="str">
        <f t="shared" si="0"/>
        <v>Agriculture Products Sugar</v>
      </c>
      <c r="N11" s="2">
        <v>9.69</v>
      </c>
      <c r="O11" s="2">
        <v>3.95</v>
      </c>
      <c r="P11" s="2"/>
      <c r="Q11" s="671"/>
      <c r="R11" s="671"/>
      <c r="S11" s="3"/>
    </row>
    <row r="12" spans="1:21" ht="15" customHeight="1" x14ac:dyDescent="0.2">
      <c r="A12" s="526"/>
      <c r="B12" s="669">
        <v>1</v>
      </c>
      <c r="C12" s="670"/>
      <c r="D12" s="106">
        <f>'Loan Details'!C15</f>
        <v>0</v>
      </c>
      <c r="E12" s="106">
        <f>'Loan Details'!E15</f>
        <v>0</v>
      </c>
      <c r="F12" s="260" t="str">
        <f>IFERROR(IF(((E12-D12)/D12)&lt;=20%,E12*B12,IF(((E12-D12)/D12)&lt;=50%,B12*MAX(AVERAGE(E12,D12),1.2*D12),IF(((E12-D12)/D12)&gt;100%,B12*D12*150%,B12*AVERAGE(E12,D12)))),"-")</f>
        <v>-</v>
      </c>
      <c r="K12" s="2" t="s">
        <v>23</v>
      </c>
      <c r="L12" s="2" t="s">
        <v>33</v>
      </c>
      <c r="M12" s="2" t="str">
        <f t="shared" si="0"/>
        <v>Agriculture Products Tea &amp; Coffee</v>
      </c>
      <c r="N12" s="2">
        <v>12.26</v>
      </c>
      <c r="O12" s="2">
        <v>3.95</v>
      </c>
      <c r="P12" s="2"/>
      <c r="Q12" s="671"/>
      <c r="R12" s="671"/>
      <c r="S12" s="22"/>
    </row>
    <row r="13" spans="1:21" ht="15" customHeight="1" x14ac:dyDescent="0.2">
      <c r="A13" s="123" t="s">
        <v>18</v>
      </c>
      <c r="B13" s="457" t="e">
        <f ca="1">B7/100</f>
        <v>#N/A</v>
      </c>
      <c r="C13" s="458"/>
      <c r="D13" s="458"/>
      <c r="E13" s="458"/>
      <c r="F13" s="458"/>
      <c r="K13" s="2" t="s">
        <v>23</v>
      </c>
      <c r="L13" s="2" t="s">
        <v>34</v>
      </c>
      <c r="M13" s="2" t="str">
        <f t="shared" si="0"/>
        <v>Agriculture Products Tobacco Products</v>
      </c>
      <c r="N13" s="2">
        <v>6.09</v>
      </c>
      <c r="O13" s="2">
        <v>3.95</v>
      </c>
      <c r="P13" s="2"/>
    </row>
    <row r="14" spans="1:21" ht="15" customHeight="1" x14ac:dyDescent="0.2">
      <c r="A14" s="123" t="s">
        <v>235</v>
      </c>
      <c r="B14" s="461" t="e">
        <f ca="1">B13*F12</f>
        <v>#N/A</v>
      </c>
      <c r="C14" s="462"/>
      <c r="D14" s="462"/>
      <c r="E14" s="462"/>
      <c r="F14" s="462"/>
      <c r="K14" s="2" t="s">
        <v>23</v>
      </c>
      <c r="L14" s="2" t="s">
        <v>35</v>
      </c>
      <c r="M14" s="2" t="str">
        <f t="shared" si="0"/>
        <v>Agriculture Products Vegetables, roots and tubers</v>
      </c>
      <c r="N14" s="2">
        <v>6.64</v>
      </c>
      <c r="O14" s="2">
        <v>3.95</v>
      </c>
      <c r="P14" s="2"/>
      <c r="Q14" s="671"/>
      <c r="R14" s="671"/>
    </row>
    <row r="15" spans="1:21" ht="15" customHeight="1" x14ac:dyDescent="0.3">
      <c r="A15" s="661" t="s">
        <v>562</v>
      </c>
      <c r="B15" s="662"/>
      <c r="C15" s="662"/>
      <c r="D15" s="662"/>
      <c r="E15" s="662"/>
      <c r="F15" s="662"/>
      <c r="K15" s="2" t="s">
        <v>36</v>
      </c>
      <c r="L15" s="2" t="s">
        <v>36</v>
      </c>
      <c r="M15" s="2" t="str">
        <f t="shared" si="0"/>
        <v>Air-conditioners &amp; refrigerators Air-conditioners &amp; refrigerators</v>
      </c>
      <c r="N15" s="2">
        <v>7.43</v>
      </c>
      <c r="O15" s="2">
        <v>7.43</v>
      </c>
      <c r="P15" s="2"/>
    </row>
    <row r="16" spans="1:21" ht="15" customHeight="1" x14ac:dyDescent="0.2">
      <c r="A16" s="112" t="s">
        <v>563</v>
      </c>
      <c r="B16" s="665" t="s">
        <v>7</v>
      </c>
      <c r="C16" s="666"/>
      <c r="D16" s="124" t="s">
        <v>231</v>
      </c>
      <c r="E16" s="124" t="s">
        <v>232</v>
      </c>
      <c r="F16" s="124" t="s">
        <v>233</v>
      </c>
      <c r="K16" s="2" t="s">
        <v>37</v>
      </c>
      <c r="L16" s="2" t="s">
        <v>38</v>
      </c>
      <c r="M16" s="2" t="str">
        <f t="shared" si="0"/>
        <v>Automobiles 2 &amp; 3 Wheelers</v>
      </c>
      <c r="N16" s="2"/>
      <c r="O16" s="2">
        <v>5.43</v>
      </c>
      <c r="P16" s="2"/>
    </row>
    <row r="17" spans="1:16" ht="15" customHeight="1" x14ac:dyDescent="0.2">
      <c r="A17" s="123" t="s">
        <v>236</v>
      </c>
      <c r="B17" s="667">
        <v>1</v>
      </c>
      <c r="C17" s="668"/>
      <c r="D17" s="106">
        <f>'Loan Details'!C17</f>
        <v>0</v>
      </c>
      <c r="E17" s="106">
        <f>'Loan Details'!E17</f>
        <v>0</v>
      </c>
      <c r="F17" s="516" t="e">
        <f>IF(((E21-D21)/D21)&lt;=20%,E21,IF(((E21-D21)/D21)&lt;=50%,MAX(AVERAGE(E21,D21),1.2*D21),AVERAGE(E21,D21)))</f>
        <v>#DIV/0!</v>
      </c>
      <c r="K17" s="2" t="s">
        <v>37</v>
      </c>
      <c r="L17" s="2" t="s">
        <v>39</v>
      </c>
      <c r="M17" s="2" t="str">
        <f t="shared" si="0"/>
        <v>Automobiles Automobiles ancillaries</v>
      </c>
      <c r="N17" s="2">
        <v>10.17</v>
      </c>
      <c r="O17" s="2">
        <v>5.43</v>
      </c>
      <c r="P17" s="2"/>
    </row>
    <row r="18" spans="1:16" ht="15" customHeight="1" x14ac:dyDescent="0.2">
      <c r="A18" s="123" t="s">
        <v>237</v>
      </c>
      <c r="B18" s="667">
        <v>1</v>
      </c>
      <c r="C18" s="668"/>
      <c r="D18" s="106">
        <f>'Loan Details'!C20</f>
        <v>0</v>
      </c>
      <c r="E18" s="106">
        <f>'Loan Details'!E20</f>
        <v>0</v>
      </c>
      <c r="F18" s="516"/>
      <c r="K18" s="2" t="s">
        <v>37</v>
      </c>
      <c r="L18" s="2" t="s">
        <v>40</v>
      </c>
      <c r="M18" s="2" t="str">
        <f t="shared" si="0"/>
        <v>Automobiles Cycle &amp; accessories</v>
      </c>
      <c r="N18" s="2">
        <v>10.17</v>
      </c>
      <c r="O18" s="2">
        <v>5.43</v>
      </c>
      <c r="P18" s="2"/>
    </row>
    <row r="19" spans="1:16" ht="15" customHeight="1" x14ac:dyDescent="0.2">
      <c r="A19" s="123" t="s">
        <v>238</v>
      </c>
      <c r="B19" s="667">
        <v>1</v>
      </c>
      <c r="C19" s="668"/>
      <c r="D19" s="106">
        <f>'Loan Details'!C21</f>
        <v>0</v>
      </c>
      <c r="E19" s="106">
        <f>'Loan Details'!E21</f>
        <v>0</v>
      </c>
      <c r="F19" s="516"/>
      <c r="K19" s="2" t="s">
        <v>37</v>
      </c>
      <c r="L19" s="2" t="s">
        <v>41</v>
      </c>
      <c r="M19" s="2" t="str">
        <f t="shared" si="0"/>
        <v>Automobiles Passenger &amp; commercial vehicles</v>
      </c>
      <c r="N19" s="2">
        <v>2.7</v>
      </c>
      <c r="O19" s="2">
        <v>5.43</v>
      </c>
      <c r="P19" s="2"/>
    </row>
    <row r="20" spans="1:16" ht="15" customHeight="1" x14ac:dyDescent="0.2">
      <c r="A20" s="123" t="s">
        <v>239</v>
      </c>
      <c r="B20" s="667">
        <v>1</v>
      </c>
      <c r="C20" s="668"/>
      <c r="D20" s="106">
        <f>'Loan Details'!C22</f>
        <v>0</v>
      </c>
      <c r="E20" s="106">
        <f>'Loan Details'!E22</f>
        <v>0</v>
      </c>
      <c r="F20" s="516"/>
      <c r="K20" s="2" t="s">
        <v>37</v>
      </c>
      <c r="L20" s="2" t="s">
        <v>42</v>
      </c>
      <c r="M20" s="2" t="str">
        <f t="shared" si="0"/>
        <v>Automobiles Tyres&amp; Tubes</v>
      </c>
      <c r="N20" s="2">
        <v>8.5</v>
      </c>
      <c r="O20" s="2">
        <v>5.43</v>
      </c>
      <c r="P20" s="2"/>
    </row>
    <row r="21" spans="1:16" ht="15" customHeight="1" x14ac:dyDescent="0.2">
      <c r="A21" s="266"/>
      <c r="B21" s="262"/>
      <c r="C21" s="262"/>
      <c r="D21" s="267">
        <f>SUM(D17:D20)</f>
        <v>0</v>
      </c>
      <c r="E21" s="267">
        <f>SUM(E17:E20)</f>
        <v>0</v>
      </c>
      <c r="F21" s="516"/>
      <c r="K21" s="2"/>
      <c r="L21" s="2"/>
      <c r="M21" s="2"/>
      <c r="N21" s="2"/>
      <c r="O21" s="2"/>
      <c r="P21" s="2"/>
    </row>
    <row r="22" spans="1:16" ht="15" customHeight="1" x14ac:dyDescent="0.3">
      <c r="A22" s="661" t="s">
        <v>244</v>
      </c>
      <c r="B22" s="662"/>
      <c r="C22" s="662"/>
      <c r="D22" s="662"/>
      <c r="E22" s="662"/>
      <c r="F22" s="662"/>
      <c r="K22" s="2" t="s">
        <v>43</v>
      </c>
      <c r="L22" s="2" t="s">
        <v>44</v>
      </c>
      <c r="M22" s="2" t="str">
        <f t="shared" si="0"/>
        <v>Professional Services Architectural services &amp; interior designing service</v>
      </c>
      <c r="N22" s="2"/>
      <c r="O22" s="2"/>
      <c r="P22" s="2">
        <v>12.36</v>
      </c>
    </row>
    <row r="23" spans="1:16" ht="15" customHeight="1" x14ac:dyDescent="0.2">
      <c r="A23" s="112" t="s">
        <v>563</v>
      </c>
      <c r="B23" s="124" t="s">
        <v>7</v>
      </c>
      <c r="C23" s="124" t="s">
        <v>8</v>
      </c>
      <c r="D23" s="124" t="s">
        <v>231</v>
      </c>
      <c r="E23" s="124" t="s">
        <v>232</v>
      </c>
      <c r="F23" s="124" t="s">
        <v>233</v>
      </c>
      <c r="K23" s="2" t="s">
        <v>45</v>
      </c>
      <c r="L23" s="2" t="s">
        <v>46</v>
      </c>
      <c r="M23" s="2" t="str">
        <f t="shared" si="0"/>
        <v>Board line/ Multiline General Merchandise Stores</v>
      </c>
      <c r="N23" s="2"/>
      <c r="O23" s="2">
        <v>5.04</v>
      </c>
      <c r="P23" s="2"/>
    </row>
    <row r="24" spans="1:16" ht="15" customHeight="1" x14ac:dyDescent="0.2">
      <c r="A24" s="129" t="s">
        <v>431</v>
      </c>
      <c r="B24" s="142">
        <v>1</v>
      </c>
      <c r="C24" s="515" t="s">
        <v>241</v>
      </c>
      <c r="D24" s="106">
        <v>10000000</v>
      </c>
      <c r="E24" s="106">
        <v>1</v>
      </c>
      <c r="F24" s="259">
        <f>IF(C24="Monthly",AVERAGE(B24*D24*12,B24*E24*12),AVERAGE(B24*D24,B24*E24))</f>
        <v>60000006</v>
      </c>
      <c r="K24" s="2" t="s">
        <v>47</v>
      </c>
      <c r="L24" s="2" t="s">
        <v>48</v>
      </c>
      <c r="M24" s="2" t="str">
        <f t="shared" si="0"/>
        <v>Cement Cement Products &amp; asbestos products</v>
      </c>
      <c r="N24" s="2">
        <v>10.99</v>
      </c>
      <c r="O24" s="2">
        <v>5.04</v>
      </c>
      <c r="P24" s="2"/>
    </row>
    <row r="25" spans="1:16" ht="15" customHeight="1" x14ac:dyDescent="0.2">
      <c r="A25" s="129" t="s">
        <v>433</v>
      </c>
      <c r="B25" s="142">
        <v>1</v>
      </c>
      <c r="C25" s="515"/>
      <c r="D25" s="106">
        <v>1</v>
      </c>
      <c r="E25" s="106">
        <v>2</v>
      </c>
      <c r="F25" s="126">
        <f>IF(C24="Monthly",AVERAGE(B25*D25*12,B25*E25*12),AVERAGE(B25*D25,B25*E25))</f>
        <v>18</v>
      </c>
      <c r="K25" s="2" t="s">
        <v>49</v>
      </c>
      <c r="L25" s="2" t="s">
        <v>50</v>
      </c>
      <c r="M25" s="2" t="str">
        <f t="shared" si="0"/>
        <v>Chemicals Acids &amp; Salts</v>
      </c>
      <c r="N25" s="2">
        <v>9.48</v>
      </c>
      <c r="O25" s="2">
        <v>5.31</v>
      </c>
      <c r="P25" s="2"/>
    </row>
    <row r="26" spans="1:16" ht="15" customHeight="1" x14ac:dyDescent="0.2">
      <c r="A26" s="129" t="s">
        <v>432</v>
      </c>
      <c r="B26" s="142">
        <v>1</v>
      </c>
      <c r="C26" s="515"/>
      <c r="D26" s="106">
        <v>12</v>
      </c>
      <c r="E26" s="106">
        <v>13</v>
      </c>
      <c r="F26" s="126">
        <f>IF(C24="Monthly",AVERAGE(B26*D26*12,B26*E26*12),AVERAGE(B26*D26,B26*E26))</f>
        <v>150</v>
      </c>
      <c r="K26" s="2" t="s">
        <v>49</v>
      </c>
      <c r="L26" s="2" t="s">
        <v>52</v>
      </c>
      <c r="M26" s="2" t="str">
        <f t="shared" si="0"/>
        <v>Chemicals Chemicals including inorganic</v>
      </c>
      <c r="N26" s="2">
        <v>9.48</v>
      </c>
      <c r="O26" s="2">
        <v>5.31</v>
      </c>
      <c r="P26" s="2"/>
    </row>
    <row r="27" spans="1:16" ht="15" customHeight="1" x14ac:dyDescent="0.2">
      <c r="A27" s="112" t="s">
        <v>248</v>
      </c>
      <c r="B27" s="461" t="e">
        <f>MIN(SUM(F24:F26),1.5*F17)</f>
        <v>#DIV/0!</v>
      </c>
      <c r="C27" s="462"/>
      <c r="D27" s="462"/>
      <c r="E27" s="462"/>
      <c r="F27" s="462"/>
      <c r="K27" s="2" t="s">
        <v>49</v>
      </c>
      <c r="L27" s="2" t="s">
        <v>53</v>
      </c>
      <c r="M27" s="2" t="str">
        <f t="shared" si="0"/>
        <v>Chemicals Dyes &amp; pigments</v>
      </c>
      <c r="N27" s="2">
        <v>8.11</v>
      </c>
      <c r="O27" s="2">
        <v>5.31</v>
      </c>
      <c r="P27" s="2"/>
    </row>
    <row r="28" spans="1:16" ht="15" customHeight="1" x14ac:dyDescent="0.3">
      <c r="A28" s="661" t="s">
        <v>9</v>
      </c>
      <c r="B28" s="662"/>
      <c r="C28" s="662"/>
      <c r="D28" s="662"/>
      <c r="E28" s="662"/>
      <c r="F28" s="662"/>
      <c r="K28" s="2" t="s">
        <v>49</v>
      </c>
      <c r="L28" s="2" t="s">
        <v>54</v>
      </c>
      <c r="M28" s="2" t="str">
        <f t="shared" si="0"/>
        <v>Chemicals Fertilizers</v>
      </c>
      <c r="N28" s="2">
        <v>8.81</v>
      </c>
      <c r="O28" s="2">
        <v>5.31</v>
      </c>
      <c r="P28" s="2"/>
    </row>
    <row r="29" spans="1:16" ht="15" customHeight="1" x14ac:dyDescent="0.2">
      <c r="A29" s="123" t="s">
        <v>245</v>
      </c>
      <c r="B29" s="461" t="e">
        <f ca="1">B27+B14</f>
        <v>#DIV/0!</v>
      </c>
      <c r="C29" s="462"/>
      <c r="D29" s="462"/>
      <c r="E29" s="462"/>
      <c r="F29" s="462"/>
      <c r="K29" s="2" t="s">
        <v>49</v>
      </c>
      <c r="L29" s="2" t="s">
        <v>55</v>
      </c>
      <c r="M29" s="2" t="str">
        <f t="shared" si="0"/>
        <v>Chemicals Industrial Gases</v>
      </c>
      <c r="N29" s="2">
        <v>9.48</v>
      </c>
      <c r="O29" s="2">
        <v>5.31</v>
      </c>
      <c r="P29" s="2"/>
    </row>
    <row r="30" spans="1:16" ht="15" customHeight="1" x14ac:dyDescent="0.2">
      <c r="A30" s="123" t="s">
        <v>246</v>
      </c>
      <c r="B30" s="461" t="e">
        <f ca="1">B29/12</f>
        <v>#DIV/0!</v>
      </c>
      <c r="C30" s="462"/>
      <c r="D30" s="462"/>
      <c r="E30" s="462"/>
      <c r="F30" s="462"/>
      <c r="K30" s="2" t="s">
        <v>49</v>
      </c>
      <c r="L30" s="2" t="s">
        <v>56</v>
      </c>
      <c r="M30" s="2" t="str">
        <f t="shared" si="0"/>
        <v>Chemicals Pesticides</v>
      </c>
      <c r="N30" s="2">
        <v>7.45</v>
      </c>
      <c r="O30" s="2">
        <v>5.31</v>
      </c>
      <c r="P30" s="2"/>
    </row>
    <row r="31" spans="1:16" ht="15" customHeight="1" x14ac:dyDescent="0.2">
      <c r="A31" s="123" t="s">
        <v>10</v>
      </c>
      <c r="B31" s="461">
        <f>B9</f>
        <v>0</v>
      </c>
      <c r="C31" s="462"/>
      <c r="D31" s="462"/>
      <c r="E31" s="462"/>
      <c r="F31" s="462"/>
      <c r="K31" s="2" t="s">
        <v>49</v>
      </c>
      <c r="L31" s="2" t="s">
        <v>57</v>
      </c>
      <c r="M31" s="2" t="str">
        <f t="shared" si="0"/>
        <v>Chemicals Petrochemicals including organic</v>
      </c>
      <c r="N31" s="2">
        <v>7.15</v>
      </c>
      <c r="O31" s="2">
        <v>5.31</v>
      </c>
      <c r="P31" s="2"/>
    </row>
    <row r="32" spans="1:16" ht="15" customHeight="1" x14ac:dyDescent="0.2">
      <c r="A32" s="123" t="s">
        <v>777</v>
      </c>
      <c r="B32" s="461">
        <f>-PMT(B3/12,B4,B2)</f>
        <v>0</v>
      </c>
      <c r="C32" s="462"/>
      <c r="D32" s="462"/>
      <c r="E32" s="462"/>
      <c r="F32" s="462"/>
      <c r="K32" s="2" t="s">
        <v>49</v>
      </c>
      <c r="L32" s="2" t="s">
        <v>58</v>
      </c>
      <c r="M32" s="2" t="str">
        <f t="shared" si="0"/>
        <v>Chemicals Polymers</v>
      </c>
      <c r="N32" s="2">
        <v>6.29</v>
      </c>
      <c r="O32" s="2">
        <v>5.31</v>
      </c>
      <c r="P32" s="2"/>
    </row>
    <row r="33" spans="1:17" ht="15" customHeight="1" x14ac:dyDescent="0.2">
      <c r="A33" s="123" t="s">
        <v>776</v>
      </c>
      <c r="B33" s="663" t="e">
        <f ca="1">(B31+B32)/B30</f>
        <v>#DIV/0!</v>
      </c>
      <c r="C33" s="664"/>
      <c r="D33" s="664"/>
      <c r="E33" s="664"/>
      <c r="F33" s="664"/>
      <c r="K33" s="2" t="s">
        <v>49</v>
      </c>
      <c r="L33" s="2" t="s">
        <v>59</v>
      </c>
      <c r="M33" s="2" t="str">
        <f t="shared" si="0"/>
        <v>Chemicals Refractories</v>
      </c>
      <c r="N33" s="2">
        <v>10.11</v>
      </c>
      <c r="O33" s="2">
        <v>5.31</v>
      </c>
      <c r="P33" s="2"/>
    </row>
    <row r="34" spans="1:17" ht="15" customHeight="1" x14ac:dyDescent="0.2">
      <c r="A34" s="123" t="s">
        <v>775</v>
      </c>
      <c r="B34" s="461" t="e">
        <f ca="1">IF(B33&gt;75%,"Not Eligible for applied Loan Amount","Eligible for Loan Maximum upto INR 50 lacs")</f>
        <v>#DIV/0!</v>
      </c>
      <c r="C34" s="462"/>
      <c r="D34" s="462"/>
      <c r="E34" s="462"/>
      <c r="F34" s="462"/>
      <c r="K34" s="2" t="s">
        <v>60</v>
      </c>
      <c r="L34" s="2" t="s">
        <v>61</v>
      </c>
      <c r="M34" s="2" t="str">
        <f t="shared" si="0"/>
        <v>Computers Computer – Education</v>
      </c>
      <c r="N34" s="2"/>
      <c r="O34" s="2"/>
      <c r="P34" s="2">
        <v>10.73</v>
      </c>
    </row>
    <row r="35" spans="1:17" ht="7.5" customHeight="1" x14ac:dyDescent="0.2">
      <c r="K35" s="2" t="s">
        <v>60</v>
      </c>
      <c r="L35" s="2" t="s">
        <v>62</v>
      </c>
      <c r="M35" s="2" t="str">
        <f t="shared" si="0"/>
        <v>Computers Computer – Software</v>
      </c>
      <c r="N35" s="2"/>
      <c r="O35" s="2"/>
      <c r="P35" s="2">
        <v>12.9</v>
      </c>
    </row>
    <row r="36" spans="1:17" ht="15" hidden="1" customHeight="1" x14ac:dyDescent="0.2">
      <c r="K36" s="2" t="s">
        <v>60</v>
      </c>
      <c r="L36" s="2" t="s">
        <v>63</v>
      </c>
      <c r="M36" s="2" t="str">
        <f t="shared" si="0"/>
        <v>Computers Computer – Electronics</v>
      </c>
      <c r="N36" s="2">
        <v>7.98</v>
      </c>
      <c r="O36" s="2">
        <v>7.98</v>
      </c>
      <c r="P36" s="2"/>
    </row>
    <row r="37" spans="1:17" ht="9" hidden="1" customHeight="1" x14ac:dyDescent="0.2">
      <c r="K37" s="2" t="s">
        <v>64</v>
      </c>
      <c r="L37" s="2" t="s">
        <v>65</v>
      </c>
      <c r="M37" s="2" t="str">
        <f t="shared" si="0"/>
        <v>Construction Ceramic Tiles &amp; Sanitary ware</v>
      </c>
      <c r="N37" s="2">
        <v>9.64</v>
      </c>
      <c r="O37" s="2">
        <v>5.04</v>
      </c>
      <c r="P37" s="2"/>
    </row>
    <row r="38" spans="1:17" ht="15" hidden="1" customHeight="1" x14ac:dyDescent="0.2">
      <c r="K38" s="2" t="s">
        <v>64</v>
      </c>
      <c r="L38" s="2" t="s">
        <v>66</v>
      </c>
      <c r="M38" s="2" t="str">
        <f t="shared" si="0"/>
        <v>Construction Commercial Complex</v>
      </c>
      <c r="N38" s="2"/>
      <c r="O38" s="2"/>
      <c r="P38" s="2">
        <v>9.65</v>
      </c>
    </row>
    <row r="39" spans="1:17" ht="15" hidden="1" customHeight="1" x14ac:dyDescent="0.2">
      <c r="K39" s="2" t="s">
        <v>64</v>
      </c>
      <c r="L39" s="2" t="s">
        <v>67</v>
      </c>
      <c r="M39" s="2" t="str">
        <f t="shared" si="0"/>
        <v>Construction Construction (Residential)</v>
      </c>
      <c r="N39" s="2"/>
      <c r="O39" s="2"/>
      <c r="P39" s="2">
        <v>13.94</v>
      </c>
    </row>
    <row r="40" spans="1:17" ht="15" hidden="1" customHeight="1" x14ac:dyDescent="0.2">
      <c r="K40" s="2" t="s">
        <v>64</v>
      </c>
      <c r="L40" s="2" t="s">
        <v>70</v>
      </c>
      <c r="M40" s="2" t="str">
        <f t="shared" si="0"/>
        <v>Construction Construction (Roads)</v>
      </c>
      <c r="N40" s="2"/>
      <c r="O40" s="2"/>
      <c r="P40" s="2">
        <v>13.01</v>
      </c>
    </row>
    <row r="41" spans="1:17" ht="15" hidden="1" customHeight="1" x14ac:dyDescent="0.2">
      <c r="K41" s="2" t="s">
        <v>71</v>
      </c>
      <c r="L41" s="2" t="s">
        <v>71</v>
      </c>
      <c r="M41" s="2" t="str">
        <f t="shared" si="0"/>
        <v>Consumer Electronics Consumer Electronics</v>
      </c>
      <c r="N41" s="2">
        <v>7.98</v>
      </c>
      <c r="O41" s="2">
        <v>7.98</v>
      </c>
      <c r="P41" s="2"/>
    </row>
    <row r="42" spans="1:17" ht="15" hidden="1" customHeight="1" x14ac:dyDescent="0.2">
      <c r="K42" s="2" t="s">
        <v>72</v>
      </c>
      <c r="L42" s="2" t="s">
        <v>73</v>
      </c>
      <c r="M42" s="2" t="str">
        <f t="shared" si="0"/>
        <v>Containers &amp; Packaging Packaging</v>
      </c>
      <c r="N42" s="2">
        <v>9.4499999999999993</v>
      </c>
      <c r="O42" s="2">
        <v>9.4499999999999993</v>
      </c>
      <c r="P42" s="2">
        <v>9.4499999999999993</v>
      </c>
      <c r="Q42" s="3" t="e">
        <f>PMT(#REF!/12,#REF!,-#REF!)</f>
        <v>#REF!</v>
      </c>
    </row>
    <row r="43" spans="1:17" ht="15" hidden="1" customHeight="1" x14ac:dyDescent="0.2">
      <c r="K43" s="2" t="s">
        <v>74</v>
      </c>
      <c r="L43" s="2" t="s">
        <v>75</v>
      </c>
      <c r="M43" s="2" t="str">
        <f t="shared" si="0"/>
        <v>Durables Hardware, Plumbing &amp; Heating Equipment</v>
      </c>
      <c r="N43" s="2">
        <v>6.94</v>
      </c>
      <c r="O43" s="2">
        <v>6.94</v>
      </c>
      <c r="P43" s="2">
        <v>6.94</v>
      </c>
    </row>
    <row r="44" spans="1:17" ht="15" hidden="1" customHeight="1" x14ac:dyDescent="0.2">
      <c r="K44" s="2" t="s">
        <v>76</v>
      </c>
      <c r="L44" s="2" t="s">
        <v>77</v>
      </c>
      <c r="M44" s="2" t="str">
        <f t="shared" si="0"/>
        <v>Electronics Domestic Appliances &amp; Machinery</v>
      </c>
      <c r="N44" s="2">
        <v>8.58</v>
      </c>
      <c r="O44" s="2">
        <v>8.58</v>
      </c>
      <c r="P44" s="2"/>
    </row>
    <row r="45" spans="1:17" ht="15" hidden="1" customHeight="1" x14ac:dyDescent="0.2">
      <c r="K45" s="2" t="s">
        <v>78</v>
      </c>
      <c r="L45" s="2" t="s">
        <v>79</v>
      </c>
      <c r="M45" s="2" t="str">
        <f t="shared" si="0"/>
        <v>Entertainments &amp; Leisure Hotels &amp; Restaurants</v>
      </c>
      <c r="N45" s="2"/>
      <c r="O45" s="2"/>
      <c r="P45" s="2">
        <v>18.14</v>
      </c>
    </row>
    <row r="46" spans="1:17" ht="15" hidden="1" customHeight="1" x14ac:dyDescent="0.2">
      <c r="K46" s="2" t="s">
        <v>78</v>
      </c>
      <c r="L46" s="2" t="s">
        <v>80</v>
      </c>
      <c r="M46" s="2" t="str">
        <f t="shared" si="0"/>
        <v>Entertainments &amp; Leisure Recreation &amp; Amusement Parks</v>
      </c>
      <c r="N46" s="2"/>
      <c r="O46" s="2"/>
      <c r="P46" s="2">
        <v>10.38</v>
      </c>
    </row>
    <row r="47" spans="1:17" ht="15" hidden="1" customHeight="1" x14ac:dyDescent="0.2">
      <c r="K47" s="2" t="s">
        <v>78</v>
      </c>
      <c r="L47" s="2" t="s">
        <v>81</v>
      </c>
      <c r="M47" s="2" t="str">
        <f t="shared" si="0"/>
        <v>Entertainments &amp; Leisure Travel Services</v>
      </c>
      <c r="N47" s="2"/>
      <c r="O47" s="2"/>
      <c r="P47" s="2">
        <v>5.4</v>
      </c>
    </row>
    <row r="48" spans="1:17" ht="15" hidden="1" customHeight="1" x14ac:dyDescent="0.2">
      <c r="K48" s="2" t="s">
        <v>82</v>
      </c>
      <c r="L48" s="2" t="s">
        <v>82</v>
      </c>
      <c r="M48" s="2" t="str">
        <f t="shared" si="0"/>
        <v>FMCG FMCG</v>
      </c>
      <c r="N48" s="2">
        <v>7.6</v>
      </c>
      <c r="O48" s="2">
        <v>5.04</v>
      </c>
      <c r="P48" s="2"/>
    </row>
    <row r="49" spans="11:16" ht="15" hidden="1" customHeight="1" x14ac:dyDescent="0.2">
      <c r="K49" s="2" t="s">
        <v>83</v>
      </c>
      <c r="L49" s="2" t="s">
        <v>84</v>
      </c>
      <c r="M49" s="2" t="str">
        <f t="shared" si="0"/>
        <v>Food and Beverages Beer, Wine &amp;Distilled Alcoholic Beverages</v>
      </c>
      <c r="N49" s="2">
        <v>7.17</v>
      </c>
      <c r="O49" s="2">
        <v>3.95</v>
      </c>
      <c r="P49" s="2"/>
    </row>
    <row r="50" spans="11:16" ht="15" hidden="1" customHeight="1" x14ac:dyDescent="0.2">
      <c r="K50" s="2" t="s">
        <v>83</v>
      </c>
      <c r="L50" s="2" t="s">
        <v>85</v>
      </c>
      <c r="M50" s="2" t="str">
        <f t="shared" si="0"/>
        <v>Food and Beverages Processed/Packaged, foods/foods &amp; beverages products (other than poultry meat)</v>
      </c>
      <c r="N50" s="2">
        <v>6.49</v>
      </c>
      <c r="O50" s="2">
        <v>3.95</v>
      </c>
      <c r="P50" s="2"/>
    </row>
    <row r="51" spans="11:16" ht="15" hidden="1" customHeight="1" x14ac:dyDescent="0.2">
      <c r="K51" s="2" t="s">
        <v>83</v>
      </c>
      <c r="L51" s="2" t="s">
        <v>86</v>
      </c>
      <c r="M51" s="2" t="str">
        <f t="shared" si="0"/>
        <v>Food and Beverages Soft Drinks</v>
      </c>
      <c r="N51" s="2">
        <v>7.17</v>
      </c>
      <c r="O51" s="2">
        <v>3.95</v>
      </c>
      <c r="P51" s="2"/>
    </row>
    <row r="52" spans="11:16" ht="15" hidden="1" customHeight="1" x14ac:dyDescent="0.2">
      <c r="K52" s="2" t="s">
        <v>87</v>
      </c>
      <c r="L52" s="2" t="s">
        <v>88</v>
      </c>
      <c r="M52" s="2" t="str">
        <f t="shared" si="0"/>
        <v>Food Processing Bakery products</v>
      </c>
      <c r="N52" s="2">
        <v>4.34</v>
      </c>
      <c r="O52" s="2">
        <v>3.95</v>
      </c>
      <c r="P52" s="2"/>
    </row>
    <row r="53" spans="11:16" ht="15" hidden="1" customHeight="1" x14ac:dyDescent="0.2">
      <c r="K53" s="2" t="s">
        <v>89</v>
      </c>
      <c r="L53" s="2" t="s">
        <v>90</v>
      </c>
      <c r="M53" s="2" t="str">
        <f t="shared" si="0"/>
        <v>Food Products Dairy products</v>
      </c>
      <c r="N53" s="2">
        <v>5.33</v>
      </c>
      <c r="O53" s="2">
        <v>3.95</v>
      </c>
      <c r="P53" s="2"/>
    </row>
    <row r="54" spans="11:16" ht="15" hidden="1" customHeight="1" x14ac:dyDescent="0.2">
      <c r="K54" s="2" t="s">
        <v>89</v>
      </c>
      <c r="L54" s="2" t="s">
        <v>91</v>
      </c>
      <c r="M54" s="2" t="str">
        <f t="shared" si="0"/>
        <v>Food Products Marine foods</v>
      </c>
      <c r="N54" s="2">
        <v>9.42</v>
      </c>
      <c r="O54" s="2">
        <v>3.95</v>
      </c>
      <c r="P54" s="2"/>
    </row>
    <row r="55" spans="11:16" ht="15" hidden="1" customHeight="1" x14ac:dyDescent="0.2">
      <c r="K55" s="2" t="s">
        <v>89</v>
      </c>
      <c r="L55" s="2" t="s">
        <v>92</v>
      </c>
      <c r="M55" s="2" t="str">
        <f t="shared" si="0"/>
        <v>Food Products Milling products</v>
      </c>
      <c r="N55" s="2">
        <v>3.4</v>
      </c>
      <c r="O55" s="2">
        <v>3.95</v>
      </c>
      <c r="P55" s="2"/>
    </row>
    <row r="56" spans="11:16" ht="15" hidden="1" customHeight="1" x14ac:dyDescent="0.2">
      <c r="K56" s="2" t="s">
        <v>89</v>
      </c>
      <c r="L56" s="2" t="s">
        <v>93</v>
      </c>
      <c r="M56" s="2" t="str">
        <f t="shared" si="0"/>
        <v>Food Products Rice</v>
      </c>
      <c r="N56" s="2">
        <v>4.8899999999999997</v>
      </c>
      <c r="O56" s="2">
        <v>3.95</v>
      </c>
      <c r="P56" s="2"/>
    </row>
    <row r="57" spans="11:16" ht="15" hidden="1" customHeight="1" x14ac:dyDescent="0.2">
      <c r="K57" s="2" t="s">
        <v>89</v>
      </c>
      <c r="L57" s="2" t="s">
        <v>94</v>
      </c>
      <c r="M57" s="2" t="str">
        <f t="shared" si="0"/>
        <v>Food Products Soya bean products</v>
      </c>
      <c r="N57" s="2">
        <v>6.64</v>
      </c>
      <c r="O57" s="2">
        <v>3.95</v>
      </c>
      <c r="P57" s="2"/>
    </row>
    <row r="58" spans="11:16" ht="15" hidden="1" customHeight="1" x14ac:dyDescent="0.2">
      <c r="K58" s="2" t="s">
        <v>95</v>
      </c>
      <c r="L58" s="2" t="s">
        <v>96</v>
      </c>
      <c r="M58" s="2" t="str">
        <f t="shared" si="0"/>
        <v>Granite / Marbles Granite</v>
      </c>
      <c r="N58" s="2">
        <v>11.15</v>
      </c>
      <c r="O58" s="2">
        <v>5.8</v>
      </c>
      <c r="P58" s="2"/>
    </row>
    <row r="59" spans="11:16" ht="15" hidden="1" customHeight="1" x14ac:dyDescent="0.2">
      <c r="K59" s="2" t="s">
        <v>97</v>
      </c>
      <c r="L59" s="2" t="s">
        <v>98</v>
      </c>
      <c r="M59" s="2" t="str">
        <f t="shared" si="0"/>
        <v>Hardware Equipment Office Equipment</v>
      </c>
      <c r="N59" s="2">
        <v>7.98</v>
      </c>
      <c r="O59" s="2">
        <v>7.98</v>
      </c>
      <c r="P59" s="2"/>
    </row>
    <row r="60" spans="11:16" ht="15" hidden="1" customHeight="1" x14ac:dyDescent="0.2">
      <c r="K60" s="2" t="s">
        <v>99</v>
      </c>
      <c r="L60" s="2" t="s">
        <v>100</v>
      </c>
      <c r="M60" s="2" t="str">
        <f t="shared" si="0"/>
        <v>Healthcare Medical &amp; Health Services/Diagnostic center</v>
      </c>
      <c r="N60" s="2"/>
      <c r="O60" s="2"/>
      <c r="P60" s="2">
        <v>18.5</v>
      </c>
    </row>
    <row r="61" spans="11:16" ht="15" hidden="1" customHeight="1" x14ac:dyDescent="0.2">
      <c r="K61" s="2" t="s">
        <v>99</v>
      </c>
      <c r="L61" s="2" t="s">
        <v>101</v>
      </c>
      <c r="M61" s="2" t="str">
        <f t="shared" si="0"/>
        <v>Healthcare Medical Equipment &amp; medical supplies</v>
      </c>
      <c r="N61" s="2">
        <v>8.8000000000000007</v>
      </c>
      <c r="O61" s="2">
        <v>8.8000000000000007</v>
      </c>
      <c r="P61" s="2"/>
    </row>
    <row r="62" spans="11:16" ht="15" hidden="1" customHeight="1" x14ac:dyDescent="0.2">
      <c r="K62" s="2" t="s">
        <v>102</v>
      </c>
      <c r="L62" s="2" t="s">
        <v>103</v>
      </c>
      <c r="M62" s="2" t="str">
        <f t="shared" si="0"/>
        <v>Healthcare Providers Diagnostic centers</v>
      </c>
      <c r="N62" s="2"/>
      <c r="O62" s="2"/>
      <c r="P62" s="2">
        <v>18.5</v>
      </c>
    </row>
    <row r="63" spans="11:16" ht="15" hidden="1" customHeight="1" x14ac:dyDescent="0.2">
      <c r="K63" s="2" t="s">
        <v>102</v>
      </c>
      <c r="L63" s="2" t="s">
        <v>104</v>
      </c>
      <c r="M63" s="2" t="str">
        <f t="shared" ref="M63:M126" si="1">K63&amp;" "&amp;L63</f>
        <v>Healthcare Providers Drugs&amp;Pharmaceuticals</v>
      </c>
      <c r="N63" s="2">
        <v>11.15</v>
      </c>
      <c r="O63" s="2">
        <v>5.65</v>
      </c>
      <c r="P63" s="2"/>
    </row>
    <row r="64" spans="11:16" ht="15" hidden="1" customHeight="1" x14ac:dyDescent="0.2">
      <c r="K64" s="2" t="s">
        <v>102</v>
      </c>
      <c r="L64" s="2" t="s">
        <v>105</v>
      </c>
      <c r="M64" s="2" t="str">
        <f t="shared" si="1"/>
        <v>Healthcare Providers Hospitals</v>
      </c>
      <c r="N64" s="2"/>
      <c r="O64" s="2"/>
      <c r="P64" s="2">
        <v>13.41</v>
      </c>
    </row>
    <row r="65" spans="11:16" ht="15" hidden="1" customHeight="1" x14ac:dyDescent="0.2">
      <c r="K65" s="2" t="s">
        <v>106</v>
      </c>
      <c r="L65" s="2" t="s">
        <v>107</v>
      </c>
      <c r="M65" s="2" t="str">
        <f t="shared" si="1"/>
        <v>Household Products Detergents &amp; intermediates</v>
      </c>
      <c r="N65" s="2">
        <v>7.6</v>
      </c>
      <c r="O65" s="2">
        <v>5.04</v>
      </c>
      <c r="P65" s="2"/>
    </row>
    <row r="66" spans="11:16" ht="15" hidden="1" customHeight="1" x14ac:dyDescent="0.2">
      <c r="K66" s="2" t="s">
        <v>106</v>
      </c>
      <c r="L66" s="2" t="s">
        <v>108</v>
      </c>
      <c r="M66" s="2" t="str">
        <f t="shared" si="1"/>
        <v>Household Products Electronics Equipment</v>
      </c>
      <c r="N66" s="2">
        <v>8.58</v>
      </c>
      <c r="O66" s="2">
        <v>8.58</v>
      </c>
      <c r="P66" s="2"/>
    </row>
    <row r="67" spans="11:16" ht="15" hidden="1" customHeight="1" x14ac:dyDescent="0.2">
      <c r="K67" s="2" t="s">
        <v>106</v>
      </c>
      <c r="L67" s="2" t="s">
        <v>109</v>
      </c>
      <c r="M67" s="2" t="str">
        <f t="shared" si="1"/>
        <v>Household Products non - electrical machinery</v>
      </c>
      <c r="N67" s="2"/>
      <c r="O67" s="2"/>
      <c r="P67" s="2"/>
    </row>
    <row r="68" spans="11:16" ht="15" hidden="1" customHeight="1" x14ac:dyDescent="0.2">
      <c r="K68" s="2" t="s">
        <v>106</v>
      </c>
      <c r="L68" s="2" t="s">
        <v>110</v>
      </c>
      <c r="M68" s="2" t="str">
        <f t="shared" si="1"/>
        <v>Household Products Personal Care</v>
      </c>
      <c r="N68" s="2">
        <v>7.6</v>
      </c>
      <c r="O68" s="2">
        <v>5.04</v>
      </c>
      <c r="P68" s="2"/>
    </row>
    <row r="69" spans="11:16" ht="15" hidden="1" customHeight="1" x14ac:dyDescent="0.2">
      <c r="K69" s="2" t="s">
        <v>111</v>
      </c>
      <c r="L69" s="2" t="s">
        <v>112</v>
      </c>
      <c r="M69" s="2" t="str">
        <f t="shared" si="1"/>
        <v>Industrial Equipment Abrasives &amp; Grinding</v>
      </c>
      <c r="N69" s="2">
        <v>8.2200000000000006</v>
      </c>
      <c r="O69" s="2">
        <v>8.2200000000000006</v>
      </c>
      <c r="P69" s="2"/>
    </row>
    <row r="70" spans="11:16" ht="15" hidden="1" customHeight="1" x14ac:dyDescent="0.2">
      <c r="K70" s="2" t="s">
        <v>111</v>
      </c>
      <c r="L70" s="2" t="s">
        <v>113</v>
      </c>
      <c r="M70" s="2" t="str">
        <f t="shared" si="1"/>
        <v>Industrial Equipment Bearings</v>
      </c>
      <c r="N70" s="2">
        <v>11.78</v>
      </c>
      <c r="O70" s="2">
        <v>11.78</v>
      </c>
      <c r="P70" s="2"/>
    </row>
    <row r="71" spans="11:16" ht="15" hidden="1" customHeight="1" x14ac:dyDescent="0.2">
      <c r="K71" s="2" t="s">
        <v>111</v>
      </c>
      <c r="L71" s="2" t="s">
        <v>114</v>
      </c>
      <c r="M71" s="2" t="str">
        <f t="shared" si="1"/>
        <v>Industrial Equipment Compressors</v>
      </c>
      <c r="N71" s="2">
        <v>11.94</v>
      </c>
      <c r="O71" s="2">
        <v>11.94</v>
      </c>
      <c r="P71" s="2"/>
    </row>
    <row r="72" spans="11:16" ht="15" hidden="1" customHeight="1" x14ac:dyDescent="0.2">
      <c r="K72" s="2" t="s">
        <v>111</v>
      </c>
      <c r="L72" s="2" t="s">
        <v>115</v>
      </c>
      <c r="M72" s="2" t="str">
        <f t="shared" si="1"/>
        <v>Industrial Equipment Electrical Equipment’s/Railway equipment</v>
      </c>
      <c r="N72" s="2">
        <v>10.36</v>
      </c>
      <c r="O72" s="2">
        <v>5.1100000000000003</v>
      </c>
      <c r="P72" s="2"/>
    </row>
    <row r="73" spans="11:16" ht="15" hidden="1" customHeight="1" x14ac:dyDescent="0.2">
      <c r="K73" s="2" t="s">
        <v>111</v>
      </c>
      <c r="L73" s="2" t="s">
        <v>116</v>
      </c>
      <c r="M73" s="2" t="str">
        <f t="shared" si="1"/>
        <v>Industrial Equipment Welding electrodes / sticks / wires / fluxes welding related only</v>
      </c>
      <c r="N73" s="2">
        <v>10.62</v>
      </c>
      <c r="O73" s="2">
        <v>10.62</v>
      </c>
      <c r="P73" s="2"/>
    </row>
    <row r="74" spans="11:16" ht="15" hidden="1" customHeight="1" x14ac:dyDescent="0.2">
      <c r="K74" s="2" t="s">
        <v>111</v>
      </c>
      <c r="L74" s="2" t="s">
        <v>117</v>
      </c>
      <c r="M74" s="2" t="str">
        <f t="shared" si="1"/>
        <v>Industrial Equipment Engines</v>
      </c>
      <c r="N74" s="2">
        <v>8.2799999999999994</v>
      </c>
      <c r="O74" s="2">
        <v>8.2799999999999994</v>
      </c>
      <c r="P74" s="2"/>
    </row>
    <row r="75" spans="11:16" ht="15" hidden="1" customHeight="1" x14ac:dyDescent="0.2">
      <c r="K75" s="2" t="s">
        <v>111</v>
      </c>
      <c r="L75" s="2" t="s">
        <v>118</v>
      </c>
      <c r="M75" s="2" t="str">
        <f t="shared" si="1"/>
        <v>Industrial Equipment Fasteners</v>
      </c>
      <c r="N75" s="2">
        <v>11.57</v>
      </c>
      <c r="O75" s="2">
        <v>11.57</v>
      </c>
      <c r="P75" s="2"/>
    </row>
    <row r="76" spans="11:16" ht="15" hidden="1" customHeight="1" x14ac:dyDescent="0.2">
      <c r="K76" s="2" t="s">
        <v>111</v>
      </c>
      <c r="L76" s="2" t="s">
        <v>119</v>
      </c>
      <c r="M76" s="2" t="str">
        <f t="shared" si="1"/>
        <v>Industrial Equipment Industrial furnaces</v>
      </c>
      <c r="N76" s="2">
        <v>2.12</v>
      </c>
      <c r="O76" s="2">
        <v>2.12</v>
      </c>
      <c r="P76" s="2"/>
    </row>
    <row r="77" spans="11:16" ht="15" hidden="1" customHeight="1" x14ac:dyDescent="0.2">
      <c r="K77" s="2" t="s">
        <v>111</v>
      </c>
      <c r="L77" s="2" t="s">
        <v>120</v>
      </c>
      <c r="M77" s="2" t="str">
        <f t="shared" si="1"/>
        <v>Industrial Equipment Industrial machinery (All Types)</v>
      </c>
      <c r="N77" s="2">
        <v>10.36</v>
      </c>
      <c r="O77" s="2">
        <v>5.1100000000000003</v>
      </c>
      <c r="P77" s="2"/>
    </row>
    <row r="78" spans="11:16" ht="15" hidden="1" customHeight="1" x14ac:dyDescent="0.2">
      <c r="K78" s="2" t="s">
        <v>111</v>
      </c>
      <c r="L78" s="2" t="s">
        <v>121</v>
      </c>
      <c r="M78" s="2" t="str">
        <f t="shared" si="1"/>
        <v>Industrial Equipment Machine Tools</v>
      </c>
      <c r="N78" s="2">
        <v>9.2100000000000009</v>
      </c>
      <c r="O78" s="2">
        <v>9.2100000000000009</v>
      </c>
      <c r="P78" s="2"/>
    </row>
    <row r="79" spans="11:16" ht="15" hidden="1" customHeight="1" x14ac:dyDescent="0.2">
      <c r="K79" s="2" t="s">
        <v>111</v>
      </c>
      <c r="L79" s="2" t="s">
        <v>122</v>
      </c>
      <c r="M79" s="2" t="str">
        <f t="shared" si="1"/>
        <v>Industrial Equipment Motors &amp; generators</v>
      </c>
      <c r="N79" s="2">
        <v>10.36</v>
      </c>
      <c r="O79" s="2">
        <v>5.1100000000000003</v>
      </c>
      <c r="P79" s="2"/>
    </row>
    <row r="80" spans="11:16" ht="15" hidden="1" customHeight="1" x14ac:dyDescent="0.2">
      <c r="K80" s="2" t="s">
        <v>111</v>
      </c>
      <c r="L80" s="2" t="s">
        <v>123</v>
      </c>
      <c r="M80" s="2" t="str">
        <f t="shared" si="1"/>
        <v>Industrial Equipment Power transmission line services</v>
      </c>
      <c r="N80" s="2"/>
      <c r="O80" s="2"/>
      <c r="P80" s="2">
        <v>12.91</v>
      </c>
    </row>
    <row r="81" spans="11:16" ht="15" hidden="1" customHeight="1" x14ac:dyDescent="0.2">
      <c r="K81" s="2" t="s">
        <v>111</v>
      </c>
      <c r="L81" s="2" t="s">
        <v>124</v>
      </c>
      <c r="M81" s="2" t="str">
        <f t="shared" si="1"/>
        <v>Industrial Equipment Pumps</v>
      </c>
      <c r="N81" s="2">
        <v>12.81</v>
      </c>
      <c r="O81" s="2">
        <v>12.81</v>
      </c>
      <c r="P81" s="2"/>
    </row>
    <row r="82" spans="11:16" ht="15" hidden="1" customHeight="1" x14ac:dyDescent="0.2">
      <c r="K82" s="2" t="s">
        <v>111</v>
      </c>
      <c r="L82" s="2" t="s">
        <v>125</v>
      </c>
      <c r="M82" s="2" t="str">
        <f t="shared" si="1"/>
        <v>Industrial Equipment Storage batteries</v>
      </c>
      <c r="N82" s="2">
        <v>7.75</v>
      </c>
      <c r="O82" s="2">
        <v>7.75</v>
      </c>
      <c r="P82" s="2"/>
    </row>
    <row r="83" spans="11:16" ht="15" hidden="1" customHeight="1" x14ac:dyDescent="0.2">
      <c r="K83" s="2" t="s">
        <v>111</v>
      </c>
      <c r="L83" s="2" t="s">
        <v>126</v>
      </c>
      <c r="M83" s="2" t="str">
        <f t="shared" si="1"/>
        <v>Industrial Equipment Structure’s</v>
      </c>
      <c r="N83" s="2">
        <v>6.6</v>
      </c>
      <c r="O83" s="2">
        <v>6.6</v>
      </c>
      <c r="P83" s="2"/>
    </row>
    <row r="84" spans="11:16" ht="15" hidden="1" customHeight="1" x14ac:dyDescent="0.2">
      <c r="K84" s="2" t="s">
        <v>111</v>
      </c>
      <c r="L84" s="2" t="s">
        <v>127</v>
      </c>
      <c r="M84" s="2" t="str">
        <f t="shared" si="1"/>
        <v>Industrial Equipment Switching apparatus</v>
      </c>
      <c r="N84" s="2">
        <v>9.91</v>
      </c>
      <c r="O84" s="2">
        <v>9.91</v>
      </c>
      <c r="P84" s="2"/>
    </row>
    <row r="85" spans="11:16" ht="15" hidden="1" customHeight="1" x14ac:dyDescent="0.2">
      <c r="K85" s="2" t="s">
        <v>111</v>
      </c>
      <c r="L85" s="2" t="s">
        <v>128</v>
      </c>
      <c r="M85" s="2" t="str">
        <f t="shared" si="1"/>
        <v>Industrial Equipment Transformers</v>
      </c>
      <c r="N85" s="2">
        <v>7.13</v>
      </c>
      <c r="O85" s="2">
        <v>7.13</v>
      </c>
      <c r="P85" s="2"/>
    </row>
    <row r="86" spans="11:16" ht="15" hidden="1" customHeight="1" x14ac:dyDescent="0.2">
      <c r="K86" s="2" t="s">
        <v>129</v>
      </c>
      <c r="L86" s="2" t="s">
        <v>130</v>
      </c>
      <c r="M86" s="2" t="str">
        <f t="shared" si="1"/>
        <v>Jewelry Gems &amp;Jewelry</v>
      </c>
      <c r="N86" s="2">
        <v>6.61</v>
      </c>
      <c r="O86" s="2">
        <v>6.61</v>
      </c>
      <c r="P86" s="2"/>
    </row>
    <row r="87" spans="11:16" ht="15" hidden="1" customHeight="1" x14ac:dyDescent="0.2">
      <c r="K87" s="2" t="s">
        <v>131</v>
      </c>
      <c r="L87" s="2" t="s">
        <v>132</v>
      </c>
      <c r="M87" s="2" t="str">
        <f t="shared" si="1"/>
        <v>Media Advertising</v>
      </c>
      <c r="N87" s="2"/>
      <c r="O87" s="2"/>
      <c r="P87" s="2">
        <v>12.47</v>
      </c>
    </row>
    <row r="88" spans="11:16" ht="15" hidden="1" customHeight="1" x14ac:dyDescent="0.2">
      <c r="K88" s="2" t="s">
        <v>131</v>
      </c>
      <c r="L88" s="2" t="s">
        <v>133</v>
      </c>
      <c r="M88" s="2" t="str">
        <f t="shared" si="1"/>
        <v>Media Animation Content Provider</v>
      </c>
      <c r="N88" s="2"/>
      <c r="O88" s="2"/>
      <c r="P88" s="2">
        <v>12.9</v>
      </c>
    </row>
    <row r="89" spans="11:16" ht="15" hidden="1" customHeight="1" x14ac:dyDescent="0.2">
      <c r="K89" s="2" t="s">
        <v>131</v>
      </c>
      <c r="L89" s="2" t="s">
        <v>134</v>
      </c>
      <c r="M89" s="2" t="str">
        <f t="shared" si="1"/>
        <v>Media Cable and other pay television services</v>
      </c>
      <c r="N89" s="2"/>
      <c r="O89" s="2"/>
      <c r="P89" s="2">
        <v>9.06</v>
      </c>
    </row>
    <row r="90" spans="11:16" ht="15" hidden="1" customHeight="1" x14ac:dyDescent="0.2">
      <c r="K90" s="2" t="s">
        <v>131</v>
      </c>
      <c r="L90" s="2" t="s">
        <v>135</v>
      </c>
      <c r="M90" s="2" t="str">
        <f t="shared" si="1"/>
        <v>Media Printing</v>
      </c>
      <c r="N90" s="2"/>
      <c r="O90" s="2"/>
      <c r="P90" s="2">
        <v>11.95</v>
      </c>
    </row>
    <row r="91" spans="11:16" ht="15" hidden="1" customHeight="1" x14ac:dyDescent="0.2">
      <c r="K91" s="2" t="s">
        <v>131</v>
      </c>
      <c r="L91" s="2" t="s">
        <v>136</v>
      </c>
      <c r="M91" s="2" t="str">
        <f t="shared" si="1"/>
        <v>Media Publishing</v>
      </c>
      <c r="N91" s="2"/>
      <c r="O91" s="2"/>
      <c r="P91" s="2">
        <v>11.95</v>
      </c>
    </row>
    <row r="92" spans="11:16" ht="15" hidden="1" customHeight="1" x14ac:dyDescent="0.2">
      <c r="K92" s="2" t="s">
        <v>137</v>
      </c>
      <c r="L92" s="2" t="s">
        <v>138</v>
      </c>
      <c r="M92" s="2" t="str">
        <f t="shared" si="1"/>
        <v>Metals Aluminum&amp;Aluminum Products (Manufacturer)</v>
      </c>
      <c r="N92" s="2">
        <v>7.6</v>
      </c>
      <c r="O92" s="2">
        <v>3</v>
      </c>
      <c r="P92" s="2"/>
    </row>
    <row r="93" spans="11:16" ht="15" hidden="1" customHeight="1" x14ac:dyDescent="0.2">
      <c r="K93" s="2" t="s">
        <v>137</v>
      </c>
      <c r="L93" s="2" t="s">
        <v>139</v>
      </c>
      <c r="M93" s="2" t="str">
        <f t="shared" si="1"/>
        <v>Metals Castings &amp; forgings</v>
      </c>
      <c r="N93" s="2">
        <v>10.64</v>
      </c>
      <c r="O93" s="2">
        <v>3</v>
      </c>
      <c r="P93" s="2"/>
    </row>
    <row r="94" spans="11:16" ht="15" hidden="1" customHeight="1" x14ac:dyDescent="0.2">
      <c r="K94" s="2" t="s">
        <v>137</v>
      </c>
      <c r="L94" s="2" t="s">
        <v>140</v>
      </c>
      <c r="M94" s="2" t="str">
        <f t="shared" si="1"/>
        <v>Metals Copper &amp; copper products (other than wire)</v>
      </c>
      <c r="N94" s="2">
        <v>7.13</v>
      </c>
      <c r="O94" s="2">
        <v>3</v>
      </c>
      <c r="P94" s="2"/>
    </row>
    <row r="95" spans="11:16" ht="15" hidden="1" customHeight="1" x14ac:dyDescent="0.2">
      <c r="K95" s="2" t="s">
        <v>137</v>
      </c>
      <c r="L95" s="2" t="s">
        <v>141</v>
      </c>
      <c r="M95" s="2" t="str">
        <f t="shared" si="1"/>
        <v>Metals Ferro alloys, ferrous metals &amp; Pig iron</v>
      </c>
      <c r="N95" s="2">
        <v>7.51</v>
      </c>
      <c r="O95" s="2">
        <v>3</v>
      </c>
      <c r="P95" s="2"/>
    </row>
    <row r="96" spans="11:16" ht="15" hidden="1" customHeight="1" x14ac:dyDescent="0.2">
      <c r="K96" s="2" t="s">
        <v>137</v>
      </c>
      <c r="L96" s="2" t="s">
        <v>142</v>
      </c>
      <c r="M96" s="2" t="str">
        <f t="shared" si="1"/>
        <v>Metals Other non-metallic mineral products</v>
      </c>
      <c r="N96" s="2">
        <v>7.57</v>
      </c>
      <c r="O96" s="2">
        <v>3</v>
      </c>
      <c r="P96" s="2"/>
    </row>
    <row r="97" spans="11:16" ht="15" hidden="1" customHeight="1" x14ac:dyDescent="0.2">
      <c r="K97" s="2" t="s">
        <v>137</v>
      </c>
      <c r="L97" s="2" t="s">
        <v>143</v>
      </c>
      <c r="M97" s="2" t="str">
        <f t="shared" si="1"/>
        <v>Metals Metal Products (other than Steel, Aluminum and Copper) finished metal product only</v>
      </c>
      <c r="N97" s="2">
        <v>9.17</v>
      </c>
      <c r="O97" s="2">
        <v>3</v>
      </c>
      <c r="P97" s="2"/>
    </row>
    <row r="98" spans="11:16" ht="15" hidden="1" customHeight="1" x14ac:dyDescent="0.2">
      <c r="K98" s="2" t="s">
        <v>137</v>
      </c>
      <c r="L98" s="2" t="s">
        <v>144</v>
      </c>
      <c r="M98" s="2" t="str">
        <f t="shared" si="1"/>
        <v>Metals Metallic ores</v>
      </c>
      <c r="N98" s="2">
        <v>9.25</v>
      </c>
      <c r="O98" s="2">
        <v>3</v>
      </c>
      <c r="P98" s="2"/>
    </row>
    <row r="99" spans="11:16" ht="15" hidden="1" customHeight="1" x14ac:dyDescent="0.2">
      <c r="K99" s="2" t="s">
        <v>137</v>
      </c>
      <c r="L99" s="2" t="s">
        <v>145</v>
      </c>
      <c r="M99" s="2" t="str">
        <f t="shared" si="1"/>
        <v>Metals Other non-ferrous metals/Other non-metallic</v>
      </c>
      <c r="N99" s="2"/>
      <c r="O99" s="2">
        <v>3</v>
      </c>
      <c r="P99" s="2"/>
    </row>
    <row r="100" spans="11:16" ht="15" hidden="1" customHeight="1" x14ac:dyDescent="0.2">
      <c r="K100" s="2" t="s">
        <v>137</v>
      </c>
      <c r="L100" s="2" t="s">
        <v>146</v>
      </c>
      <c r="M100" s="2" t="str">
        <f t="shared" si="1"/>
        <v>Metals Rolled coils and rolled products</v>
      </c>
      <c r="N100" s="2">
        <v>6.67</v>
      </c>
      <c r="O100" s="2">
        <v>3</v>
      </c>
      <c r="P100" s="2"/>
    </row>
    <row r="101" spans="11:16" ht="15" hidden="1" customHeight="1" x14ac:dyDescent="0.2">
      <c r="K101" s="2" t="s">
        <v>137</v>
      </c>
      <c r="L101" s="2" t="s">
        <v>147</v>
      </c>
      <c r="M101" s="2" t="str">
        <f t="shared" si="1"/>
        <v>Metals Tubes and pipes</v>
      </c>
      <c r="N101" s="2">
        <v>6.67</v>
      </c>
      <c r="O101" s="2">
        <v>3</v>
      </c>
      <c r="P101" s="2"/>
    </row>
    <row r="102" spans="11:16" ht="15" hidden="1" customHeight="1" x14ac:dyDescent="0.2">
      <c r="K102" s="2" t="s">
        <v>137</v>
      </c>
      <c r="L102" s="2" t="s">
        <v>148</v>
      </c>
      <c r="M102" s="2" t="str">
        <f t="shared" si="1"/>
        <v>Metals Wires and cables</v>
      </c>
      <c r="N102" s="2">
        <v>5</v>
      </c>
      <c r="O102" s="2">
        <v>3</v>
      </c>
      <c r="P102" s="2"/>
    </row>
    <row r="103" spans="11:16" ht="15" hidden="1" customHeight="1" x14ac:dyDescent="0.2">
      <c r="K103" s="2" t="s">
        <v>149</v>
      </c>
      <c r="L103" s="2" t="s">
        <v>150</v>
      </c>
      <c r="M103" s="2" t="str">
        <f t="shared" si="1"/>
        <v>Mining Coal and Lignite</v>
      </c>
      <c r="N103" s="2">
        <v>8.06</v>
      </c>
      <c r="O103" s="2">
        <v>3.84</v>
      </c>
      <c r="P103" s="2"/>
    </row>
    <row r="104" spans="11:16" ht="15" hidden="1" customHeight="1" x14ac:dyDescent="0.2">
      <c r="K104" s="2" t="s">
        <v>149</v>
      </c>
      <c r="L104" s="2" t="s">
        <v>151</v>
      </c>
      <c r="M104" s="2" t="str">
        <f t="shared" si="1"/>
        <v>Mining Minerals</v>
      </c>
      <c r="N104" s="2">
        <v>11.25</v>
      </c>
      <c r="O104" s="2">
        <v>3.84</v>
      </c>
      <c r="P104" s="2"/>
    </row>
    <row r="105" spans="11:16" ht="15" hidden="1" customHeight="1" x14ac:dyDescent="0.2">
      <c r="K105" s="2" t="s">
        <v>149</v>
      </c>
      <c r="L105" s="2" t="s">
        <v>152</v>
      </c>
      <c r="M105" s="2" t="str">
        <f t="shared" si="1"/>
        <v>Mining Minerals &amp; energy Sources</v>
      </c>
      <c r="N105" s="2">
        <v>11.25</v>
      </c>
      <c r="O105" s="2">
        <v>3.84</v>
      </c>
      <c r="P105" s="2"/>
    </row>
    <row r="106" spans="11:16" ht="15" hidden="1" customHeight="1" x14ac:dyDescent="0.2">
      <c r="K106" s="2" t="s">
        <v>153</v>
      </c>
      <c r="L106" s="2" t="s">
        <v>154</v>
      </c>
      <c r="M106" s="2" t="str">
        <f t="shared" si="1"/>
        <v>Other Construction &amp; allied activities Maintenance of buildings (Facility Management)</v>
      </c>
      <c r="N106" s="2"/>
      <c r="O106" s="2"/>
      <c r="P106" s="2">
        <v>12.45</v>
      </c>
    </row>
    <row r="107" spans="11:16" ht="15" hidden="1" customHeight="1" x14ac:dyDescent="0.2">
      <c r="K107" s="2" t="s">
        <v>155</v>
      </c>
      <c r="L107" s="2" t="s">
        <v>156</v>
      </c>
      <c r="M107" s="2" t="str">
        <f t="shared" si="1"/>
        <v>Other Fund based Financial Services Commission agents services (Only those booking commission income)</v>
      </c>
      <c r="N107" s="2"/>
      <c r="O107" s="2"/>
      <c r="P107" s="2">
        <v>15.8</v>
      </c>
    </row>
    <row r="108" spans="11:16" ht="15" hidden="1" customHeight="1" x14ac:dyDescent="0.2">
      <c r="K108" s="2" t="s">
        <v>157</v>
      </c>
      <c r="L108" s="2" t="s">
        <v>158</v>
      </c>
      <c r="M108" s="2" t="str">
        <f t="shared" si="1"/>
        <v>Others R &amp; D</v>
      </c>
      <c r="N108" s="2"/>
      <c r="O108" s="2"/>
      <c r="P108" s="2">
        <v>11</v>
      </c>
    </row>
    <row r="109" spans="11:16" ht="15" hidden="1" customHeight="1" x14ac:dyDescent="0.2">
      <c r="K109" s="2" t="s">
        <v>157</v>
      </c>
      <c r="L109" s="2" t="s">
        <v>159</v>
      </c>
      <c r="M109" s="2" t="str">
        <f t="shared" si="1"/>
        <v>Others Glass &amp; Glass Products</v>
      </c>
      <c r="N109" s="2">
        <v>11.58</v>
      </c>
      <c r="O109" s="2">
        <v>11.58</v>
      </c>
      <c r="P109" s="2"/>
    </row>
    <row r="110" spans="11:16" ht="15" hidden="1" customHeight="1" x14ac:dyDescent="0.2">
      <c r="K110" s="2" t="s">
        <v>157</v>
      </c>
      <c r="L110" s="2" t="s">
        <v>160</v>
      </c>
      <c r="M110" s="2" t="str">
        <f t="shared" si="1"/>
        <v>Others Industries not classified elsewhere (Manufacturing)</v>
      </c>
      <c r="N110" s="2">
        <v>7.74</v>
      </c>
      <c r="O110" s="2"/>
      <c r="P110" s="2"/>
    </row>
    <row r="111" spans="11:16" ht="15" hidden="1" customHeight="1" x14ac:dyDescent="0.2">
      <c r="K111" s="2" t="s">
        <v>157</v>
      </c>
      <c r="L111" s="2" t="s">
        <v>161</v>
      </c>
      <c r="M111" s="2" t="str">
        <f t="shared" si="1"/>
        <v>Others Industries not classified elsewhere (Services)</v>
      </c>
      <c r="N111" s="2"/>
      <c r="O111" s="2"/>
      <c r="P111" s="2">
        <v>6.5</v>
      </c>
    </row>
    <row r="112" spans="11:16" ht="15" hidden="1" customHeight="1" x14ac:dyDescent="0.2">
      <c r="K112" s="2" t="s">
        <v>157</v>
      </c>
      <c r="L112" s="2" t="s">
        <v>162</v>
      </c>
      <c r="M112" s="2" t="str">
        <f t="shared" si="1"/>
        <v>Others Industries not classified elsewhere (Trading)</v>
      </c>
      <c r="N112" s="2"/>
      <c r="O112" s="2">
        <v>5.04</v>
      </c>
      <c r="P112" s="2"/>
    </row>
    <row r="113" spans="11:16" ht="15" hidden="1" customHeight="1" x14ac:dyDescent="0.2">
      <c r="K113" s="2" t="s">
        <v>163</v>
      </c>
      <c r="L113" s="2" t="s">
        <v>164</v>
      </c>
      <c r="M113" s="2" t="str">
        <f t="shared" si="1"/>
        <v>Paints Paints &amp; Varnishes</v>
      </c>
      <c r="N113" s="2">
        <v>6.7</v>
      </c>
      <c r="O113" s="2">
        <v>6.7</v>
      </c>
      <c r="P113" s="2"/>
    </row>
    <row r="114" spans="11:16" ht="15" hidden="1" customHeight="1" x14ac:dyDescent="0.2">
      <c r="K114" s="2" t="s">
        <v>165</v>
      </c>
      <c r="L114" s="2" t="s">
        <v>166</v>
      </c>
      <c r="M114" s="2" t="str">
        <f t="shared" si="1"/>
        <v>Paper Paper &amp; Paper Products</v>
      </c>
      <c r="N114" s="2">
        <v>7.61</v>
      </c>
      <c r="O114" s="2">
        <v>7.61</v>
      </c>
      <c r="P114" s="2"/>
    </row>
    <row r="115" spans="11:16" ht="15" hidden="1" customHeight="1" x14ac:dyDescent="0.2">
      <c r="K115" s="2" t="s">
        <v>167</v>
      </c>
      <c r="L115" s="2" t="s">
        <v>168</v>
      </c>
      <c r="M115" s="2" t="str">
        <f t="shared" si="1"/>
        <v>Petroleum Products LRG Cylinders</v>
      </c>
      <c r="N115" s="2">
        <v>12.07</v>
      </c>
      <c r="O115" s="2"/>
      <c r="P115" s="2"/>
    </row>
    <row r="116" spans="11:16" ht="15" hidden="1" customHeight="1" x14ac:dyDescent="0.2">
      <c r="K116" s="2" t="s">
        <v>167</v>
      </c>
      <c r="L116" s="2" t="s">
        <v>169</v>
      </c>
      <c r="M116" s="2" t="str">
        <f t="shared" si="1"/>
        <v>Petroleum Products Lubricants</v>
      </c>
      <c r="N116" s="2">
        <v>7.1</v>
      </c>
      <c r="O116" s="2">
        <v>7.1</v>
      </c>
      <c r="P116" s="2"/>
    </row>
    <row r="117" spans="11:16" ht="15" hidden="1" customHeight="1" x14ac:dyDescent="0.2">
      <c r="K117" s="2" t="s">
        <v>167</v>
      </c>
      <c r="L117" s="2" t="s">
        <v>167</v>
      </c>
      <c r="M117" s="2" t="str">
        <f t="shared" si="1"/>
        <v>Petroleum Products Petroleum Products</v>
      </c>
      <c r="N117" s="2">
        <v>5.0599999999999996</v>
      </c>
      <c r="O117" s="2">
        <v>5.0599999999999996</v>
      </c>
      <c r="P117" s="2"/>
    </row>
    <row r="118" spans="11:16" ht="15" hidden="1" customHeight="1" x14ac:dyDescent="0.2">
      <c r="K118" s="2" t="s">
        <v>170</v>
      </c>
      <c r="L118" s="2" t="s">
        <v>170</v>
      </c>
      <c r="M118" s="2" t="str">
        <f t="shared" si="1"/>
        <v>Photographic &amp; Allied Products Photographic &amp; Allied Products</v>
      </c>
      <c r="N118" s="2">
        <v>5.98</v>
      </c>
      <c r="O118" s="2">
        <v>5.98</v>
      </c>
      <c r="P118" s="2"/>
    </row>
    <row r="119" spans="11:16" ht="15" hidden="1" customHeight="1" x14ac:dyDescent="0.2">
      <c r="K119" s="2" t="s">
        <v>171</v>
      </c>
      <c r="L119" s="2" t="s">
        <v>172</v>
      </c>
      <c r="M119" s="2" t="str">
        <f t="shared" si="1"/>
        <v>Plastics Plastics Films</v>
      </c>
      <c r="N119" s="2">
        <v>8.24</v>
      </c>
      <c r="O119" s="2">
        <v>8.24</v>
      </c>
      <c r="P119" s="2"/>
    </row>
    <row r="120" spans="11:16" ht="15" hidden="1" customHeight="1" x14ac:dyDescent="0.2">
      <c r="K120" s="2" t="s">
        <v>171</v>
      </c>
      <c r="L120" s="2" t="s">
        <v>173</v>
      </c>
      <c r="M120" s="2" t="str">
        <f t="shared" si="1"/>
        <v>Plastics Plastics packaging goods</v>
      </c>
      <c r="N120" s="2">
        <v>9.4499999999999993</v>
      </c>
      <c r="O120" s="2">
        <v>9.4499999999999993</v>
      </c>
      <c r="P120" s="2"/>
    </row>
    <row r="121" spans="11:16" ht="15" hidden="1" customHeight="1" x14ac:dyDescent="0.2">
      <c r="K121" s="2" t="s">
        <v>171</v>
      </c>
      <c r="L121" s="2" t="s">
        <v>174</v>
      </c>
      <c r="M121" s="2" t="str">
        <f t="shared" si="1"/>
        <v>Plastics Plastics tubes, Pipes, fittings &amp; sheets</v>
      </c>
      <c r="N121" s="2">
        <v>9.01</v>
      </c>
      <c r="O121" s="2">
        <v>9.01</v>
      </c>
      <c r="P121" s="2"/>
    </row>
    <row r="122" spans="11:16" ht="15" hidden="1" customHeight="1" x14ac:dyDescent="0.2">
      <c r="K122" s="2" t="s">
        <v>43</v>
      </c>
      <c r="L122" s="2" t="s">
        <v>175</v>
      </c>
      <c r="M122" s="2" t="str">
        <f t="shared" si="1"/>
        <v>Professional Services Consultants/Business Consultancy</v>
      </c>
      <c r="N122" s="2"/>
      <c r="O122" s="2"/>
      <c r="P122" s="2">
        <v>8.0399999999999991</v>
      </c>
    </row>
    <row r="123" spans="11:16" ht="15" hidden="1" customHeight="1" x14ac:dyDescent="0.2">
      <c r="K123" s="2" t="s">
        <v>43</v>
      </c>
      <c r="L123" s="2" t="s">
        <v>176</v>
      </c>
      <c r="M123" s="2" t="str">
        <f t="shared" si="1"/>
        <v>Professional Services Education Consultancy</v>
      </c>
      <c r="N123" s="2"/>
      <c r="O123" s="2"/>
      <c r="P123" s="2">
        <v>8.75</v>
      </c>
    </row>
    <row r="124" spans="11:16" ht="15" hidden="1" customHeight="1" x14ac:dyDescent="0.2">
      <c r="K124" s="2" t="s">
        <v>43</v>
      </c>
      <c r="L124" s="2" t="s">
        <v>177</v>
      </c>
      <c r="M124" s="2" t="str">
        <f t="shared" si="1"/>
        <v>Professional Services Entertainment and media content provider</v>
      </c>
      <c r="N124" s="2"/>
      <c r="O124" s="2"/>
      <c r="P124" s="2">
        <v>4.66</v>
      </c>
    </row>
    <row r="125" spans="11:16" ht="15" hidden="1" customHeight="1" x14ac:dyDescent="0.2">
      <c r="K125" s="2" t="s">
        <v>43</v>
      </c>
      <c r="L125" s="2" t="s">
        <v>178</v>
      </c>
      <c r="M125" s="2" t="str">
        <f t="shared" si="1"/>
        <v>Professional Services Event management services</v>
      </c>
      <c r="N125" s="2"/>
      <c r="O125" s="2"/>
      <c r="P125" s="2">
        <v>15.78</v>
      </c>
    </row>
    <row r="126" spans="11:16" ht="15" hidden="1" customHeight="1" x14ac:dyDescent="0.2">
      <c r="K126" s="2" t="s">
        <v>43</v>
      </c>
      <c r="L126" s="2" t="s">
        <v>179</v>
      </c>
      <c r="M126" s="2" t="str">
        <f t="shared" si="1"/>
        <v>Professional Services Motion Picture production, distribution and exhibition</v>
      </c>
      <c r="N126" s="2"/>
      <c r="O126" s="2"/>
      <c r="P126" s="2">
        <v>9.4600000000000009</v>
      </c>
    </row>
    <row r="127" spans="11:16" ht="15" hidden="1" customHeight="1" x14ac:dyDescent="0.2">
      <c r="K127" s="2" t="s">
        <v>43</v>
      </c>
      <c r="L127" s="2" t="s">
        <v>180</v>
      </c>
      <c r="M127" s="2" t="str">
        <f t="shared" ref="M127:M167" si="2">K127&amp;" "&amp;L127</f>
        <v>Professional Services Public Relations</v>
      </c>
      <c r="N127" s="2"/>
      <c r="O127" s="2"/>
      <c r="P127" s="2">
        <v>4.7699999999999996</v>
      </c>
    </row>
    <row r="128" spans="11:16" ht="15" hidden="1" customHeight="1" x14ac:dyDescent="0.2">
      <c r="K128" s="2" t="s">
        <v>43</v>
      </c>
      <c r="L128" s="2" t="s">
        <v>181</v>
      </c>
      <c r="M128" s="2" t="str">
        <f t="shared" si="2"/>
        <v>Professional Services Real estate infrastructure services</v>
      </c>
      <c r="N128" s="2"/>
      <c r="O128" s="2"/>
      <c r="P128" s="2">
        <v>11.22</v>
      </c>
    </row>
    <row r="129" spans="11:16" ht="15" hidden="1" customHeight="1" x14ac:dyDescent="0.2">
      <c r="K129" s="2" t="s">
        <v>43</v>
      </c>
      <c r="L129" s="2" t="s">
        <v>182</v>
      </c>
      <c r="M129" s="2" t="str">
        <f t="shared" si="2"/>
        <v>Professional Services Technical consultancy and engineering services</v>
      </c>
      <c r="N129" s="2"/>
      <c r="O129" s="2"/>
      <c r="P129" s="2">
        <v>10.36</v>
      </c>
    </row>
    <row r="130" spans="11:16" ht="15" hidden="1" customHeight="1" x14ac:dyDescent="0.2">
      <c r="K130" s="2" t="s">
        <v>43</v>
      </c>
      <c r="L130" s="2" t="s">
        <v>183</v>
      </c>
      <c r="M130" s="2" t="str">
        <f t="shared" si="2"/>
        <v>Professional Services Placement &amp; HR consultancy services</v>
      </c>
      <c r="N130" s="2"/>
      <c r="O130" s="2"/>
      <c r="P130" s="2">
        <v>1.95</v>
      </c>
    </row>
    <row r="131" spans="11:16" ht="15" hidden="1" customHeight="1" x14ac:dyDescent="0.2">
      <c r="K131" s="2" t="s">
        <v>184</v>
      </c>
      <c r="L131" s="2" t="s">
        <v>184</v>
      </c>
      <c r="M131" s="2" t="str">
        <f t="shared" si="2"/>
        <v>Radiobroadcasting media Radiobroadcasting media</v>
      </c>
      <c r="N131" s="2"/>
      <c r="O131" s="2"/>
      <c r="P131" s="2">
        <v>15.93</v>
      </c>
    </row>
    <row r="132" spans="11:16" ht="15" hidden="1" customHeight="1" x14ac:dyDescent="0.2">
      <c r="K132" s="2" t="s">
        <v>185</v>
      </c>
      <c r="L132" s="2" t="s">
        <v>186</v>
      </c>
      <c r="M132" s="2" t="str">
        <f t="shared" si="2"/>
        <v>Retail trading Departmental stores</v>
      </c>
      <c r="N132" s="2"/>
      <c r="O132" s="2">
        <v>2.2599999999999998</v>
      </c>
      <c r="P132" s="2"/>
    </row>
    <row r="133" spans="11:16" ht="15" hidden="1" customHeight="1" x14ac:dyDescent="0.2">
      <c r="K133" s="2" t="s">
        <v>187</v>
      </c>
      <c r="L133" s="2" t="s">
        <v>188</v>
      </c>
      <c r="M133" s="2" t="str">
        <f t="shared" si="2"/>
        <v>Road Transport Infrastructure services Toll revenue</v>
      </c>
      <c r="N133" s="2"/>
      <c r="O133" s="2"/>
      <c r="P133" s="2"/>
    </row>
    <row r="134" spans="11:16" ht="15" hidden="1" customHeight="1" x14ac:dyDescent="0.2">
      <c r="K134" s="2" t="s">
        <v>187</v>
      </c>
      <c r="L134" s="2" t="s">
        <v>189</v>
      </c>
      <c r="M134" s="2" t="str">
        <f t="shared" si="2"/>
        <v>Road Transport Infrastructure services Other motor transport services</v>
      </c>
      <c r="N134" s="2"/>
      <c r="O134" s="2"/>
      <c r="P134" s="2">
        <v>6.5</v>
      </c>
    </row>
    <row r="135" spans="11:16" ht="15" hidden="1" customHeight="1" x14ac:dyDescent="0.2">
      <c r="K135" s="2" t="s">
        <v>190</v>
      </c>
      <c r="L135" s="2" t="s">
        <v>191</v>
      </c>
      <c r="M135" s="2" t="str">
        <f t="shared" si="2"/>
        <v>Rubber Rubber &amp; rubber products</v>
      </c>
      <c r="N135" s="2">
        <v>12.03</v>
      </c>
      <c r="O135" s="2">
        <v>12.03</v>
      </c>
      <c r="P135" s="2"/>
    </row>
    <row r="136" spans="11:16" ht="15" hidden="1" customHeight="1" x14ac:dyDescent="0.2">
      <c r="K136" s="2" t="s">
        <v>192</v>
      </c>
      <c r="L136" s="2" t="s">
        <v>193</v>
      </c>
      <c r="M136" s="2" t="str">
        <f t="shared" si="2"/>
        <v>Services Renting Services</v>
      </c>
      <c r="N136" s="2"/>
      <c r="O136" s="2"/>
      <c r="P136" s="2">
        <v>12.7</v>
      </c>
    </row>
    <row r="137" spans="11:16" ht="15" hidden="1" customHeight="1" x14ac:dyDescent="0.2">
      <c r="K137" s="2" t="s">
        <v>194</v>
      </c>
      <c r="L137" s="2" t="s">
        <v>195</v>
      </c>
      <c r="M137" s="2" t="str">
        <f t="shared" si="2"/>
        <v>Services - Communication Communication equipment (other than mobile phone wholesaler, retailer)</v>
      </c>
      <c r="N137" s="2">
        <v>12.8</v>
      </c>
      <c r="O137" s="2"/>
      <c r="P137" s="2">
        <v>12.8</v>
      </c>
    </row>
    <row r="138" spans="11:16" ht="15" hidden="1" customHeight="1" x14ac:dyDescent="0.2">
      <c r="K138" s="2" t="s">
        <v>194</v>
      </c>
      <c r="L138" s="2" t="s">
        <v>196</v>
      </c>
      <c r="M138" s="2" t="str">
        <f t="shared" si="2"/>
        <v>Services - Communication Internet Services</v>
      </c>
      <c r="N138" s="2"/>
      <c r="O138" s="2"/>
      <c r="P138" s="2">
        <v>10.88</v>
      </c>
    </row>
    <row r="139" spans="11:16" ht="15" hidden="1" customHeight="1" x14ac:dyDescent="0.2">
      <c r="K139" s="2" t="s">
        <v>194</v>
      </c>
      <c r="L139" s="2" t="s">
        <v>197</v>
      </c>
      <c r="M139" s="2" t="str">
        <f t="shared" si="2"/>
        <v>Services - Communication Other communication services (wireless services, fax services, paper services, other telephone services, other communication services)</v>
      </c>
      <c r="N139" s="2"/>
      <c r="O139" s="2"/>
      <c r="P139" s="2">
        <v>6.5</v>
      </c>
    </row>
    <row r="140" spans="11:16" ht="15" hidden="1" customHeight="1" x14ac:dyDescent="0.2">
      <c r="K140" s="2" t="s">
        <v>198</v>
      </c>
      <c r="L140" s="2" t="s">
        <v>199</v>
      </c>
      <c r="M140" s="2" t="str">
        <f t="shared" si="2"/>
        <v>Software ITES/ Call Centers</v>
      </c>
      <c r="N140" s="2"/>
      <c r="O140" s="2"/>
      <c r="P140" s="2">
        <v>7.36</v>
      </c>
    </row>
    <row r="141" spans="11:16" ht="15" hidden="1" customHeight="1" x14ac:dyDescent="0.2">
      <c r="K141" s="2" t="s">
        <v>200</v>
      </c>
      <c r="L141" s="2" t="s">
        <v>201</v>
      </c>
      <c r="M141" s="2" t="str">
        <f t="shared" si="2"/>
        <v>Specially Footwear</v>
      </c>
      <c r="N141" s="2">
        <v>8.6999999999999993</v>
      </c>
      <c r="O141" s="2">
        <v>8.6999999999999993</v>
      </c>
      <c r="P141" s="2"/>
    </row>
    <row r="142" spans="11:16" ht="15" hidden="1" customHeight="1" x14ac:dyDescent="0.2">
      <c r="K142" s="2" t="s">
        <v>200</v>
      </c>
      <c r="L142" s="2" t="s">
        <v>202</v>
      </c>
      <c r="M142" s="2" t="str">
        <f t="shared" si="2"/>
        <v>Specially Books, Office Suppliers &amp; Stationery</v>
      </c>
      <c r="N142" s="2">
        <v>5.26</v>
      </c>
      <c r="O142" s="2">
        <v>5.26</v>
      </c>
      <c r="P142" s="2"/>
    </row>
    <row r="143" spans="11:16" ht="15" hidden="1" customHeight="1" x14ac:dyDescent="0.2">
      <c r="K143" s="2" t="s">
        <v>200</v>
      </c>
      <c r="L143" s="2" t="s">
        <v>203</v>
      </c>
      <c r="M143" s="2" t="str">
        <f t="shared" si="2"/>
        <v>Specially Clock &amp; watches</v>
      </c>
      <c r="N143" s="2">
        <v>12.67</v>
      </c>
      <c r="O143" s="2">
        <v>12.67</v>
      </c>
      <c r="P143" s="2"/>
    </row>
    <row r="144" spans="11:16" ht="15" hidden="1" customHeight="1" x14ac:dyDescent="0.2">
      <c r="K144" s="2" t="s">
        <v>200</v>
      </c>
      <c r="L144" s="2" t="s">
        <v>204</v>
      </c>
      <c r="M144" s="2" t="str">
        <f t="shared" si="2"/>
        <v>Specially Hobby, Toys &amp; Games</v>
      </c>
      <c r="N144" s="2">
        <v>15.87</v>
      </c>
      <c r="O144" s="2">
        <v>15.87</v>
      </c>
      <c r="P144" s="2"/>
    </row>
    <row r="145" spans="11:16" ht="15" hidden="1" customHeight="1" x14ac:dyDescent="0.2">
      <c r="K145" s="2" t="s">
        <v>200</v>
      </c>
      <c r="L145" s="2" t="s">
        <v>205</v>
      </c>
      <c r="M145" s="2" t="str">
        <f t="shared" si="2"/>
        <v>Specially Home Furniture &amp; Finishing</v>
      </c>
      <c r="N145" s="2">
        <v>4.63</v>
      </c>
      <c r="O145" s="2">
        <v>4.63</v>
      </c>
      <c r="P145" s="2"/>
    </row>
    <row r="146" spans="11:16" ht="15" hidden="1" customHeight="1" x14ac:dyDescent="0.2">
      <c r="K146" s="2" t="s">
        <v>200</v>
      </c>
      <c r="L146" s="2" t="s">
        <v>206</v>
      </c>
      <c r="M146" s="2" t="str">
        <f t="shared" si="2"/>
        <v>Specially Luggage &amp; Leather Goods</v>
      </c>
      <c r="N146" s="2">
        <v>8.6999999999999993</v>
      </c>
      <c r="O146" s="2">
        <v>8.6999999999999993</v>
      </c>
      <c r="P146" s="2"/>
    </row>
    <row r="147" spans="11:16" ht="15" hidden="1" customHeight="1" x14ac:dyDescent="0.2">
      <c r="K147" s="2" t="s">
        <v>200</v>
      </c>
      <c r="L147" s="2" t="s">
        <v>207</v>
      </c>
      <c r="M147" s="2" t="str">
        <f t="shared" si="2"/>
        <v>Specially Opticians &amp; Optical instruments</v>
      </c>
      <c r="N147" s="2">
        <v>9.26</v>
      </c>
      <c r="O147" s="2">
        <v>9.26</v>
      </c>
      <c r="P147" s="2"/>
    </row>
    <row r="148" spans="11:16" ht="15" hidden="1" customHeight="1" x14ac:dyDescent="0.2">
      <c r="K148" s="2" t="s">
        <v>200</v>
      </c>
      <c r="L148" s="2" t="s">
        <v>208</v>
      </c>
      <c r="M148" s="2" t="str">
        <f t="shared" si="2"/>
        <v>Specially Pens and Pencils</v>
      </c>
      <c r="N148" s="2">
        <v>5.72</v>
      </c>
      <c r="O148" s="2">
        <v>5.72</v>
      </c>
      <c r="P148" s="2"/>
    </row>
    <row r="149" spans="11:16" ht="15" hidden="1" customHeight="1" x14ac:dyDescent="0.2">
      <c r="K149" s="2" t="s">
        <v>200</v>
      </c>
      <c r="L149" s="2" t="s">
        <v>209</v>
      </c>
      <c r="M149" s="2" t="str">
        <f t="shared" si="2"/>
        <v>Specially Sports Goods</v>
      </c>
      <c r="N149" s="2">
        <v>6.54</v>
      </c>
      <c r="O149" s="2">
        <v>6.54</v>
      </c>
      <c r="P149" s="2"/>
    </row>
    <row r="150" spans="11:16" ht="15" hidden="1" customHeight="1" x14ac:dyDescent="0.2">
      <c r="K150" s="2" t="s">
        <v>200</v>
      </c>
      <c r="L150" s="2" t="s">
        <v>210</v>
      </c>
      <c r="M150" s="2" t="str">
        <f t="shared" si="2"/>
        <v>Specially Wood and wood products / Sports goods</v>
      </c>
      <c r="N150" s="2">
        <v>6.54</v>
      </c>
      <c r="O150" s="2">
        <v>6.54</v>
      </c>
      <c r="P150" s="2"/>
    </row>
    <row r="151" spans="11:16" ht="15" hidden="1" customHeight="1" x14ac:dyDescent="0.2">
      <c r="K151" s="2" t="s">
        <v>211</v>
      </c>
      <c r="L151" s="2" t="s">
        <v>212</v>
      </c>
      <c r="M151" s="2" t="str">
        <f t="shared" si="2"/>
        <v>Telecommunication services Cellular phone infrastructure</v>
      </c>
      <c r="N151" s="2"/>
      <c r="O151" s="2"/>
      <c r="P151" s="2">
        <v>12.96</v>
      </c>
    </row>
    <row r="152" spans="11:16" ht="15" hidden="1" customHeight="1" x14ac:dyDescent="0.2">
      <c r="K152" s="2" t="s">
        <v>213</v>
      </c>
      <c r="L152" s="2" t="s">
        <v>213</v>
      </c>
      <c r="M152" s="2" t="str">
        <f t="shared" si="2"/>
        <v>Television broadcasting media Television broadcasting media</v>
      </c>
      <c r="N152" s="2"/>
      <c r="O152" s="2"/>
      <c r="P152" s="2">
        <v>11.09</v>
      </c>
    </row>
    <row r="153" spans="11:16" ht="15" hidden="1" customHeight="1" x14ac:dyDescent="0.2">
      <c r="K153" s="2" t="s">
        <v>214</v>
      </c>
      <c r="L153" s="2" t="s">
        <v>215</v>
      </c>
      <c r="M153" s="2" t="str">
        <f t="shared" si="2"/>
        <v>Textiles Blankets &amp; Carpets</v>
      </c>
      <c r="N153" s="2">
        <v>9.51</v>
      </c>
      <c r="O153" s="2">
        <v>4.9000000000000004</v>
      </c>
      <c r="P153" s="2"/>
    </row>
    <row r="154" spans="11:16" ht="15" hidden="1" customHeight="1" x14ac:dyDescent="0.2">
      <c r="K154" s="2" t="s">
        <v>214</v>
      </c>
      <c r="L154" s="2" t="s">
        <v>216</v>
      </c>
      <c r="M154" s="2" t="str">
        <f t="shared" si="2"/>
        <v>Textiles Blended yarn</v>
      </c>
      <c r="N154" s="2">
        <v>8.99</v>
      </c>
      <c r="O154" s="2">
        <v>4.9000000000000004</v>
      </c>
      <c r="P154" s="2"/>
    </row>
    <row r="155" spans="11:16" ht="15" hidden="1" customHeight="1" x14ac:dyDescent="0.2">
      <c r="K155" s="2" t="s">
        <v>214</v>
      </c>
      <c r="L155" s="2" t="s">
        <v>217</v>
      </c>
      <c r="M155" s="2" t="str">
        <f t="shared" si="2"/>
        <v>Textiles Jute</v>
      </c>
      <c r="N155" s="2">
        <v>4.2300000000000004</v>
      </c>
      <c r="O155" s="2">
        <v>4.9000000000000004</v>
      </c>
      <c r="P155" s="2"/>
    </row>
    <row r="156" spans="11:16" ht="15" hidden="1" customHeight="1" x14ac:dyDescent="0.2">
      <c r="K156" s="2" t="s">
        <v>214</v>
      </c>
      <c r="L156" s="2" t="s">
        <v>218</v>
      </c>
      <c r="M156" s="2" t="str">
        <f t="shared" si="2"/>
        <v>Textiles Readymade Garments</v>
      </c>
      <c r="N156" s="2">
        <v>8.43</v>
      </c>
      <c r="O156" s="2">
        <v>4.9000000000000004</v>
      </c>
      <c r="P156" s="2"/>
    </row>
    <row r="157" spans="11:16" ht="15" hidden="1" customHeight="1" x14ac:dyDescent="0.2">
      <c r="K157" s="2" t="s">
        <v>214</v>
      </c>
      <c r="L157" s="2" t="s">
        <v>219</v>
      </c>
      <c r="M157" s="2" t="str">
        <f t="shared" si="2"/>
        <v>Textiles Textiles - Cotton</v>
      </c>
      <c r="N157" s="2">
        <v>9.66</v>
      </c>
      <c r="O157" s="2">
        <v>4.9000000000000004</v>
      </c>
      <c r="P157" s="2"/>
    </row>
    <row r="158" spans="11:16" ht="15" hidden="1" customHeight="1" x14ac:dyDescent="0.2">
      <c r="K158" s="2" t="s">
        <v>214</v>
      </c>
      <c r="L158" s="2" t="s">
        <v>220</v>
      </c>
      <c r="M158" s="2" t="str">
        <f t="shared" si="2"/>
        <v>Textiles Textiles - Silk</v>
      </c>
      <c r="N158" s="2">
        <v>7</v>
      </c>
      <c r="O158" s="2">
        <v>4.9000000000000004</v>
      </c>
      <c r="P158" s="2"/>
    </row>
    <row r="159" spans="11:16" ht="15" hidden="1" customHeight="1" x14ac:dyDescent="0.2">
      <c r="K159" s="2" t="s">
        <v>214</v>
      </c>
      <c r="L159" s="2" t="s">
        <v>221</v>
      </c>
      <c r="M159" s="2" t="str">
        <f t="shared" si="2"/>
        <v>Textiles Textiles - Synthetic</v>
      </c>
      <c r="N159" s="2">
        <v>8.0399999999999991</v>
      </c>
      <c r="O159" s="2">
        <v>4.9000000000000004</v>
      </c>
      <c r="P159" s="2"/>
    </row>
    <row r="160" spans="11:16" ht="15" hidden="1" customHeight="1" x14ac:dyDescent="0.2">
      <c r="K160" s="2" t="s">
        <v>214</v>
      </c>
      <c r="L160" s="2" t="s">
        <v>222</v>
      </c>
      <c r="M160" s="2" t="str">
        <f t="shared" si="2"/>
        <v>Textiles Textiles - Specialized (Other than Cotton, Jute &amp; Yarn, Silk and Synthetic)</v>
      </c>
      <c r="N160" s="2">
        <v>12.36</v>
      </c>
      <c r="O160" s="2">
        <v>4.9000000000000004</v>
      </c>
      <c r="P160" s="2"/>
    </row>
    <row r="161" spans="11:16" ht="15" hidden="1" customHeight="1" x14ac:dyDescent="0.2">
      <c r="K161" s="2" t="s">
        <v>214</v>
      </c>
      <c r="L161" s="2" t="s">
        <v>223</v>
      </c>
      <c r="M161" s="2" t="str">
        <f t="shared" si="2"/>
        <v>Textiles Woolen Textiles</v>
      </c>
      <c r="N161" s="2">
        <v>9.51</v>
      </c>
      <c r="O161" s="2">
        <v>4.9000000000000004</v>
      </c>
      <c r="P161" s="2"/>
    </row>
    <row r="162" spans="11:16" ht="15" hidden="1" customHeight="1" x14ac:dyDescent="0.2">
      <c r="K162" s="2" t="s">
        <v>224</v>
      </c>
      <c r="L162" s="2" t="s">
        <v>225</v>
      </c>
      <c r="M162" s="2" t="str">
        <f t="shared" si="2"/>
        <v>Transportation Logistics Cargo (Cargo Handling air &amp; water)</v>
      </c>
      <c r="N162" s="2"/>
      <c r="O162" s="2"/>
      <c r="P162" s="2">
        <v>9.64</v>
      </c>
    </row>
    <row r="163" spans="11:16" ht="15" hidden="1" customHeight="1" x14ac:dyDescent="0.2">
      <c r="K163" s="2" t="s">
        <v>224</v>
      </c>
      <c r="L163" s="2" t="s">
        <v>226</v>
      </c>
      <c r="M163" s="2" t="str">
        <f t="shared" si="2"/>
        <v>Transportation Logistics Courier</v>
      </c>
      <c r="N163" s="2"/>
      <c r="O163" s="2"/>
      <c r="P163" s="2">
        <v>6.48</v>
      </c>
    </row>
    <row r="164" spans="11:16" ht="15" hidden="1" customHeight="1" x14ac:dyDescent="0.2">
      <c r="K164" s="2" t="s">
        <v>224</v>
      </c>
      <c r="L164" s="2" t="s">
        <v>227</v>
      </c>
      <c r="M164" s="2" t="str">
        <f t="shared" si="2"/>
        <v>Transportation Logistics Goods Transport Services (Road)</v>
      </c>
      <c r="N164" s="2"/>
      <c r="O164" s="2"/>
      <c r="P164" s="2">
        <v>8.3800000000000008</v>
      </c>
    </row>
    <row r="165" spans="11:16" ht="15" hidden="1" customHeight="1" x14ac:dyDescent="0.2">
      <c r="K165" s="2" t="s">
        <v>224</v>
      </c>
      <c r="L165" s="2" t="s">
        <v>228</v>
      </c>
      <c r="M165" s="2" t="str">
        <f t="shared" si="2"/>
        <v>Transportation Logistics Passenger Transport Services (Road)</v>
      </c>
      <c r="N165" s="2"/>
      <c r="O165" s="2"/>
      <c r="P165" s="2">
        <v>8.3800000000000008</v>
      </c>
    </row>
    <row r="166" spans="11:16" ht="15" hidden="1" customHeight="1" x14ac:dyDescent="0.2">
      <c r="K166" s="2" t="s">
        <v>224</v>
      </c>
      <c r="L166" s="2" t="s">
        <v>229</v>
      </c>
      <c r="M166" s="2" t="str">
        <f t="shared" si="2"/>
        <v>Transportation Logistics Storage &amp; Warehousing</v>
      </c>
      <c r="N166" s="2"/>
      <c r="O166" s="2"/>
      <c r="P166" s="2">
        <v>13.17</v>
      </c>
    </row>
    <row r="167" spans="11:16" ht="15" hidden="1" customHeight="1" x14ac:dyDescent="0.2">
      <c r="K167" s="2" t="s">
        <v>224</v>
      </c>
      <c r="L167" s="2" t="s">
        <v>230</v>
      </c>
      <c r="M167" s="2" t="str">
        <f t="shared" si="2"/>
        <v>Transportation Logistics Portal</v>
      </c>
      <c r="N167" s="2"/>
      <c r="O167" s="2"/>
      <c r="P167" s="2">
        <v>18.86</v>
      </c>
    </row>
  </sheetData>
  <sheetProtection algorithmName="SHA-512" hashValue="zlAvbxrmg+TCM5NkMtmclhi6bs26nIB7cLgLBoIbb3hsXfC0NuiFrG9QnQanLYCM3F8fbvJNbc9or6vMmL3+mg==" saltValue="4cHCgJELFQrsWcL953syDg==" spinCount="100000" sheet="1" objects="1" scenarios="1"/>
  <dataConsolidate/>
  <mergeCells count="37">
    <mergeCell ref="A15:F15"/>
    <mergeCell ref="B19:C19"/>
    <mergeCell ref="B20:C20"/>
    <mergeCell ref="Q8:R8"/>
    <mergeCell ref="Q9:R9"/>
    <mergeCell ref="Q11:R11"/>
    <mergeCell ref="Q12:R12"/>
    <mergeCell ref="Q14:R14"/>
    <mergeCell ref="F17:F21"/>
    <mergeCell ref="B4:F4"/>
    <mergeCell ref="B5:F5"/>
    <mergeCell ref="B6:F6"/>
    <mergeCell ref="A1:F1"/>
    <mergeCell ref="B2:F2"/>
    <mergeCell ref="B3:F3"/>
    <mergeCell ref="B7:F7"/>
    <mergeCell ref="A8:F8"/>
    <mergeCell ref="B13:F13"/>
    <mergeCell ref="B14:F14"/>
    <mergeCell ref="B11:C11"/>
    <mergeCell ref="B12:C12"/>
    <mergeCell ref="B9:F9"/>
    <mergeCell ref="A10:F10"/>
    <mergeCell ref="A11:A12"/>
    <mergeCell ref="A22:F22"/>
    <mergeCell ref="B16:C16"/>
    <mergeCell ref="B17:C17"/>
    <mergeCell ref="B18:C18"/>
    <mergeCell ref="B27:F27"/>
    <mergeCell ref="C24:C26"/>
    <mergeCell ref="A28:F28"/>
    <mergeCell ref="B29:F29"/>
    <mergeCell ref="B30:F30"/>
    <mergeCell ref="B34:F34"/>
    <mergeCell ref="B31:F31"/>
    <mergeCell ref="B32:F32"/>
    <mergeCell ref="B33:F33"/>
  </mergeCells>
  <dataValidations count="5">
    <dataValidation type="whole" allowBlank="1" showInputMessage="1" showErrorMessage="1" sqref="B4" xr:uid="{00000000-0002-0000-1300-000000000000}">
      <formula1>12</formula1>
      <formula2>60</formula2>
    </dataValidation>
    <dataValidation type="list" allowBlank="1" showInputMessage="1" showErrorMessage="1" sqref="C24" xr:uid="{00000000-0002-0000-1300-000001000000}">
      <formula1>"Monthly,Annualy"</formula1>
    </dataValidation>
    <dataValidation type="list" allowBlank="1" showInputMessage="1" showErrorMessage="1" sqref="B5:F5" xr:uid="{00000000-0002-0000-1300-000002000000}">
      <formula1>"Manufacturer,Trader, Service"</formula1>
    </dataValidation>
    <dataValidation operator="greaterThanOrEqual" showInputMessage="1" showErrorMessage="1" sqref="B3:F3" xr:uid="{00000000-0002-0000-1300-000003000000}"/>
    <dataValidation type="list" allowBlank="1" showInputMessage="1" showErrorMessage="1" sqref="B6:F6" xr:uid="{00000000-0002-0000-1300-000004000000}">
      <formula1>$M$2:$M$167</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6"/>
  <dimension ref="A1:XFC27"/>
  <sheetViews>
    <sheetView workbookViewId="0">
      <selection activeCell="F24" sqref="F24"/>
    </sheetView>
  </sheetViews>
  <sheetFormatPr defaultColWidth="0" defaultRowHeight="15" customHeight="1" zeroHeight="1" x14ac:dyDescent="0.2"/>
  <cols>
    <col min="1" max="1" width="50.140625" style="23" bestFit="1" customWidth="1"/>
    <col min="2" max="2" width="12" style="23" bestFit="1" customWidth="1"/>
    <col min="3" max="3" width="9.140625" style="23" bestFit="1" customWidth="1"/>
    <col min="4" max="6" width="29.140625" style="23" customWidth="1"/>
    <col min="7" max="7" width="14.140625" style="23" hidden="1"/>
    <col min="8" max="16383" width="9.140625" style="23" hidden="1"/>
    <col min="16384" max="16384" width="8.28515625" style="23" hidden="1"/>
  </cols>
  <sheetData>
    <row r="1" spans="1:6" ht="20.25" x14ac:dyDescent="0.3">
      <c r="A1" s="439" t="s">
        <v>260</v>
      </c>
      <c r="B1" s="439"/>
      <c r="C1" s="439"/>
      <c r="D1" s="439"/>
      <c r="E1" s="439"/>
      <c r="F1" s="439"/>
    </row>
    <row r="2" spans="1:6" ht="14.25" customHeight="1" x14ac:dyDescent="0.2">
      <c r="A2" s="129" t="s">
        <v>0</v>
      </c>
      <c r="B2" s="381">
        <f>'Loan Details'!B3</f>
        <v>0</v>
      </c>
      <c r="C2" s="381"/>
      <c r="D2" s="381"/>
      <c r="E2" s="381"/>
      <c r="F2" s="381"/>
    </row>
    <row r="3" spans="1:6" ht="14.25" x14ac:dyDescent="0.2">
      <c r="A3" s="129" t="s">
        <v>2</v>
      </c>
      <c r="B3" s="382">
        <f>'Loan Details'!B4</f>
        <v>0.18</v>
      </c>
      <c r="C3" s="382"/>
      <c r="D3" s="382"/>
      <c r="E3" s="382"/>
      <c r="F3" s="382"/>
    </row>
    <row r="4" spans="1:6" ht="14.25" x14ac:dyDescent="0.2">
      <c r="A4" s="129" t="s">
        <v>3</v>
      </c>
      <c r="B4" s="383">
        <f>'Loan Details'!B5</f>
        <v>48</v>
      </c>
      <c r="C4" s="383"/>
      <c r="D4" s="383"/>
      <c r="E4" s="383"/>
      <c r="F4" s="383"/>
    </row>
    <row r="5" spans="1:6" ht="15" customHeight="1" x14ac:dyDescent="0.3">
      <c r="A5" s="517" t="s">
        <v>4</v>
      </c>
      <c r="B5" s="517"/>
      <c r="C5" s="517"/>
      <c r="D5" s="517"/>
      <c r="E5" s="517"/>
      <c r="F5" s="517"/>
    </row>
    <row r="6" spans="1:6" ht="14.25" customHeight="1" x14ac:dyDescent="0.2">
      <c r="A6" s="129" t="s">
        <v>5</v>
      </c>
      <c r="B6" s="381">
        <f>'Loan Details'!C12</f>
        <v>0</v>
      </c>
      <c r="C6" s="381"/>
      <c r="D6" s="381"/>
      <c r="E6" s="381"/>
      <c r="F6" s="381"/>
    </row>
    <row r="7" spans="1:6" ht="18.75" x14ac:dyDescent="0.3">
      <c r="A7" s="517" t="s">
        <v>682</v>
      </c>
      <c r="B7" s="517"/>
      <c r="C7" s="517"/>
      <c r="D7" s="517"/>
      <c r="E7" s="517"/>
      <c r="F7" s="517"/>
    </row>
    <row r="8" spans="1:6" ht="12.75" customHeight="1" x14ac:dyDescent="0.2">
      <c r="A8" s="525" t="s">
        <v>260</v>
      </c>
      <c r="B8" s="665" t="s">
        <v>7</v>
      </c>
      <c r="C8" s="666"/>
      <c r="D8" s="124" t="s">
        <v>231</v>
      </c>
      <c r="E8" s="125" t="s">
        <v>232</v>
      </c>
      <c r="F8" s="124" t="s">
        <v>233</v>
      </c>
    </row>
    <row r="9" spans="1:6" ht="12.75" customHeight="1" x14ac:dyDescent="0.2">
      <c r="A9" s="526"/>
      <c r="B9" s="669">
        <v>1</v>
      </c>
      <c r="C9" s="670"/>
      <c r="D9" s="106">
        <f>'Loan Details'!C16</f>
        <v>0</v>
      </c>
      <c r="E9" s="106">
        <f>'Loan Details'!E16</f>
        <v>0</v>
      </c>
      <c r="F9" s="122">
        <f>MIN(AVERAGE(D9,E9),1.3*D9)*B9</f>
        <v>0</v>
      </c>
    </row>
    <row r="10" spans="1:6" ht="18.75" x14ac:dyDescent="0.3">
      <c r="A10" s="517" t="s">
        <v>244</v>
      </c>
      <c r="B10" s="517"/>
      <c r="C10" s="517"/>
      <c r="D10" s="517"/>
      <c r="E10" s="517"/>
      <c r="F10" s="517"/>
    </row>
    <row r="11" spans="1:6" ht="15" customHeight="1" x14ac:dyDescent="0.2">
      <c r="A11" s="114" t="s">
        <v>563</v>
      </c>
      <c r="B11" s="111" t="s">
        <v>7</v>
      </c>
      <c r="C11" s="111" t="s">
        <v>8</v>
      </c>
      <c r="D11" s="111" t="s">
        <v>231</v>
      </c>
      <c r="E11" s="111" t="s">
        <v>232</v>
      </c>
      <c r="F11" s="111" t="s">
        <v>233</v>
      </c>
    </row>
    <row r="12" spans="1:6" ht="15" customHeight="1" x14ac:dyDescent="0.2">
      <c r="A12" s="129" t="s">
        <v>431</v>
      </c>
      <c r="B12" s="142">
        <v>1</v>
      </c>
      <c r="C12" s="515" t="s">
        <v>241</v>
      </c>
      <c r="D12" s="106">
        <v>1</v>
      </c>
      <c r="E12" s="106">
        <v>1</v>
      </c>
      <c r="F12" s="259">
        <f>IF(C12="Monthly",AVERAGE(B12*D12*12,B12*E12*12),AVERAGE(B12*D12,B12*E12))</f>
        <v>12</v>
      </c>
    </row>
    <row r="13" spans="1:6" ht="15" customHeight="1" x14ac:dyDescent="0.2">
      <c r="A13" s="129" t="s">
        <v>433</v>
      </c>
      <c r="B13" s="142">
        <v>1</v>
      </c>
      <c r="C13" s="515"/>
      <c r="D13" s="106">
        <v>1</v>
      </c>
      <c r="E13" s="106">
        <v>2</v>
      </c>
      <c r="F13" s="126">
        <f>IF(C12="Monthly",AVERAGE(B13*D13*12,B13*E13*12),AVERAGE(B13*D13,B13*E13))</f>
        <v>18</v>
      </c>
    </row>
    <row r="14" spans="1:6" ht="15" customHeight="1" x14ac:dyDescent="0.2">
      <c r="A14" s="129" t="s">
        <v>432</v>
      </c>
      <c r="B14" s="142">
        <v>1</v>
      </c>
      <c r="C14" s="515"/>
      <c r="D14" s="106">
        <v>10</v>
      </c>
      <c r="E14" s="106">
        <v>20</v>
      </c>
      <c r="F14" s="126">
        <f>IF(C12="Monthly",AVERAGE(B14*D14*12,B14*E14*12),AVERAGE(B14*D14,B14*E14))</f>
        <v>180</v>
      </c>
    </row>
    <row r="15" spans="1:6" ht="15" customHeight="1" x14ac:dyDescent="0.2">
      <c r="A15" s="114" t="s">
        <v>248</v>
      </c>
      <c r="B15" s="514">
        <f>MIN(SUM(F12:F14),1.5*F9)</f>
        <v>0</v>
      </c>
      <c r="C15" s="514"/>
      <c r="D15" s="514"/>
      <c r="E15" s="514"/>
      <c r="F15" s="514"/>
    </row>
    <row r="16" spans="1:6" ht="15" customHeight="1" x14ac:dyDescent="0.2">
      <c r="A16" s="123" t="s">
        <v>261</v>
      </c>
      <c r="B16" s="410"/>
      <c r="C16" s="410"/>
      <c r="D16" s="106">
        <v>0</v>
      </c>
      <c r="E16" s="106">
        <v>0</v>
      </c>
      <c r="F16" s="126">
        <f>IF(E16&gt;(F9*20%),-E16,0)</f>
        <v>0</v>
      </c>
    </row>
    <row r="17" spans="1:6" ht="15" customHeight="1" x14ac:dyDescent="0.3">
      <c r="A17" s="517" t="s">
        <v>9</v>
      </c>
      <c r="B17" s="517"/>
      <c r="C17" s="517"/>
      <c r="D17" s="517"/>
      <c r="E17" s="517"/>
      <c r="F17" s="517"/>
    </row>
    <row r="18" spans="1:6" ht="15" customHeight="1" x14ac:dyDescent="0.2">
      <c r="A18" s="129" t="s">
        <v>245</v>
      </c>
      <c r="B18" s="514">
        <f>SUM(F9,B15,F16)</f>
        <v>0</v>
      </c>
      <c r="C18" s="514"/>
      <c r="D18" s="514"/>
      <c r="E18" s="514"/>
      <c r="F18" s="514"/>
    </row>
    <row r="19" spans="1:6" ht="15" customHeight="1" x14ac:dyDescent="0.2">
      <c r="A19" s="129" t="s">
        <v>246</v>
      </c>
      <c r="B19" s="514">
        <f>B18/12</f>
        <v>0</v>
      </c>
      <c r="C19" s="514"/>
      <c r="D19" s="514"/>
      <c r="E19" s="514"/>
      <c r="F19" s="514"/>
    </row>
    <row r="20" spans="1:6" ht="15" customHeight="1" x14ac:dyDescent="0.2">
      <c r="A20" s="129" t="s">
        <v>10</v>
      </c>
      <c r="B20" s="514">
        <f>B6</f>
        <v>0</v>
      </c>
      <c r="C20" s="514"/>
      <c r="D20" s="514"/>
      <c r="E20" s="514"/>
      <c r="F20" s="514"/>
    </row>
    <row r="21" spans="1:6" ht="15" customHeight="1" x14ac:dyDescent="0.2">
      <c r="A21" s="123" t="s">
        <v>777</v>
      </c>
      <c r="B21" s="461">
        <f>-PMT(B3/12,B4,B2)</f>
        <v>0</v>
      </c>
      <c r="C21" s="462"/>
      <c r="D21" s="462"/>
      <c r="E21" s="462"/>
      <c r="F21" s="462"/>
    </row>
    <row r="22" spans="1:6" ht="15" customHeight="1" x14ac:dyDescent="0.2">
      <c r="A22" s="123" t="s">
        <v>776</v>
      </c>
      <c r="B22" s="663" t="e">
        <f>(B20+B21)/B19</f>
        <v>#DIV/0!</v>
      </c>
      <c r="C22" s="664"/>
      <c r="D22" s="664"/>
      <c r="E22" s="664"/>
      <c r="F22" s="664"/>
    </row>
    <row r="23" spans="1:6" ht="15" customHeight="1" x14ac:dyDescent="0.2">
      <c r="A23" s="123" t="s">
        <v>775</v>
      </c>
      <c r="B23" s="461" t="e">
        <f>IF(B22&gt;75%,"Not Eligible for applied Loan Amount","Eligible for applied Loan Amount")</f>
        <v>#DIV/0!</v>
      </c>
      <c r="C23" s="462"/>
      <c r="D23" s="462"/>
      <c r="E23" s="462"/>
      <c r="F23" s="462"/>
    </row>
    <row r="24" spans="1:6" ht="5.25" customHeight="1" x14ac:dyDescent="0.2"/>
    <row r="25" spans="1:6" ht="9" hidden="1" customHeight="1" x14ac:dyDescent="0.2"/>
    <row r="27" spans="1:6" ht="7.5" hidden="1" customHeight="1" x14ac:dyDescent="0.2"/>
  </sheetData>
  <sheetProtection algorithmName="SHA-512" hashValue="6OkzU135zUv5EQ+BAzQBJM51hR+Hi7KUdMpRyhwlP4sdfb97EWbfgRR7cpWzycAuykp+z6BvdrE7pE6BPqPx7A==" saltValue="hFczgv7QILxbsECdP4lGrQ==" spinCount="100000" sheet="1" objects="1" scenarios="1"/>
  <mergeCells count="21">
    <mergeCell ref="B4:F4"/>
    <mergeCell ref="A1:F1"/>
    <mergeCell ref="B2:F2"/>
    <mergeCell ref="B3:F3"/>
    <mergeCell ref="B9:C9"/>
    <mergeCell ref="A5:F5"/>
    <mergeCell ref="B8:C8"/>
    <mergeCell ref="B6:F6"/>
    <mergeCell ref="A7:F7"/>
    <mergeCell ref="A8:A9"/>
    <mergeCell ref="A10:F10"/>
    <mergeCell ref="C12:C14"/>
    <mergeCell ref="B15:F15"/>
    <mergeCell ref="B16:C16"/>
    <mergeCell ref="A17:F17"/>
    <mergeCell ref="B18:F18"/>
    <mergeCell ref="B19:F19"/>
    <mergeCell ref="B23:F23"/>
    <mergeCell ref="B20:F20"/>
    <mergeCell ref="B21:F21"/>
    <mergeCell ref="B22:F22"/>
  </mergeCells>
  <dataValidations xWindow="994" yWindow="209" count="3">
    <dataValidation type="whole" allowBlank="1" showInputMessage="1" showErrorMessage="1" sqref="B4" xr:uid="{00000000-0002-0000-1400-000000000000}">
      <formula1>12</formula1>
      <formula2>60</formula2>
    </dataValidation>
    <dataValidation type="list" allowBlank="1" showInputMessage="1" showErrorMessage="1" sqref="C12" xr:uid="{00000000-0002-0000-1400-000001000000}">
      <formula1>"Monthly,Annualy"</formula1>
    </dataValidation>
    <dataValidation operator="greaterThanOrEqual" showInputMessage="1" showErrorMessage="1" sqref="B3:F3" xr:uid="{00000000-0002-0000-1400-000002000000}"/>
  </dataValidation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7"/>
  <dimension ref="A1:V168"/>
  <sheetViews>
    <sheetView showGridLines="0" topLeftCell="A10" zoomScaleNormal="100" workbookViewId="0">
      <selection activeCell="B29" sqref="B29:F29"/>
    </sheetView>
  </sheetViews>
  <sheetFormatPr defaultColWidth="0" defaultRowHeight="15" customHeight="1" zeroHeight="1" x14ac:dyDescent="0.2"/>
  <cols>
    <col min="1" max="1" width="54.28515625" style="18" bestFit="1" customWidth="1"/>
    <col min="2" max="2" width="12" style="18" bestFit="1" customWidth="1"/>
    <col min="3" max="3" width="9.140625" style="18" bestFit="1" customWidth="1"/>
    <col min="4" max="6" width="27.28515625" style="18" customWidth="1"/>
    <col min="7" max="7" width="1" style="18" customWidth="1"/>
    <col min="8" max="11" width="2.5703125" style="18" hidden="1" customWidth="1"/>
    <col min="12" max="13" width="9.140625" style="18" hidden="1" customWidth="1"/>
    <col min="14" max="14" width="58.140625" style="18" hidden="1" customWidth="1"/>
    <col min="15" max="15" width="12.85546875" style="18" hidden="1" customWidth="1"/>
    <col min="16" max="16" width="6.85546875" style="18" hidden="1" customWidth="1"/>
    <col min="17" max="17" width="9.140625" style="18" hidden="1" customWidth="1"/>
    <col min="18" max="18" width="11.7109375" style="18" hidden="1" customWidth="1"/>
    <col min="19" max="19" width="9.140625" style="18" hidden="1" customWidth="1"/>
    <col min="20" max="20" width="10.28515625" style="18" hidden="1" customWidth="1"/>
    <col min="21" max="16384" width="9.140625" style="18" hidden="1"/>
  </cols>
  <sheetData>
    <row r="1" spans="1:17" ht="20.25" x14ac:dyDescent="0.3">
      <c r="A1" s="439" t="s">
        <v>561</v>
      </c>
      <c r="B1" s="439"/>
      <c r="C1" s="439"/>
      <c r="D1" s="439"/>
      <c r="E1" s="439"/>
      <c r="F1" s="439"/>
      <c r="L1" s="2" t="s">
        <v>19</v>
      </c>
      <c r="M1" s="2" t="s">
        <v>20</v>
      </c>
      <c r="N1" s="2"/>
      <c r="O1" s="2" t="s">
        <v>15</v>
      </c>
      <c r="P1" s="2" t="s">
        <v>21</v>
      </c>
      <c r="Q1" s="2" t="s">
        <v>22</v>
      </c>
    </row>
    <row r="2" spans="1:17" ht="19.5" customHeight="1" x14ac:dyDescent="0.2">
      <c r="A2" s="129" t="s">
        <v>0</v>
      </c>
      <c r="B2" s="381">
        <f>'Loan Details'!B3</f>
        <v>0</v>
      </c>
      <c r="C2" s="381"/>
      <c r="D2" s="381"/>
      <c r="E2" s="381"/>
      <c r="F2" s="381"/>
      <c r="L2" s="2" t="s">
        <v>23</v>
      </c>
      <c r="M2" s="2" t="s">
        <v>23</v>
      </c>
      <c r="N2" s="2" t="s">
        <v>267</v>
      </c>
      <c r="O2" s="2">
        <v>6.64</v>
      </c>
      <c r="P2" s="2">
        <v>3.95</v>
      </c>
      <c r="Q2" s="2"/>
    </row>
    <row r="3" spans="1:17" ht="15" customHeight="1" x14ac:dyDescent="0.2">
      <c r="A3" s="129" t="s">
        <v>2</v>
      </c>
      <c r="B3" s="382">
        <f>'Loan Details'!B4</f>
        <v>0.18</v>
      </c>
      <c r="C3" s="382"/>
      <c r="D3" s="382"/>
      <c r="E3" s="382"/>
      <c r="F3" s="382"/>
      <c r="L3" s="2" t="s">
        <v>23</v>
      </c>
      <c r="M3" s="2" t="s">
        <v>24</v>
      </c>
      <c r="N3" s="2" t="s">
        <v>268</v>
      </c>
      <c r="O3" s="2">
        <v>5.8</v>
      </c>
      <c r="P3" s="2">
        <v>3.95</v>
      </c>
      <c r="Q3" s="2"/>
    </row>
    <row r="4" spans="1:17" ht="15" customHeight="1" x14ac:dyDescent="0.2">
      <c r="A4" s="129" t="s">
        <v>3</v>
      </c>
      <c r="B4" s="383">
        <f>'Loan Details'!B5</f>
        <v>48</v>
      </c>
      <c r="C4" s="383"/>
      <c r="D4" s="383"/>
      <c r="E4" s="383"/>
      <c r="F4" s="383"/>
      <c r="L4" s="2" t="s">
        <v>23</v>
      </c>
      <c r="M4" s="2" t="s">
        <v>25</v>
      </c>
      <c r="N4" s="2" t="s">
        <v>269</v>
      </c>
      <c r="O4" s="2">
        <v>3.57</v>
      </c>
      <c r="P4" s="2">
        <v>3.57</v>
      </c>
      <c r="Q4" s="2"/>
    </row>
    <row r="5" spans="1:17" ht="15" customHeight="1" x14ac:dyDescent="0.2">
      <c r="A5" s="129" t="s">
        <v>14</v>
      </c>
      <c r="B5" s="383">
        <f>'Loan Details'!C9</f>
        <v>0</v>
      </c>
      <c r="C5" s="383"/>
      <c r="D5" s="383"/>
      <c r="E5" s="383"/>
      <c r="F5" s="383"/>
      <c r="L5" s="2" t="s">
        <v>23</v>
      </c>
      <c r="M5" s="2" t="s">
        <v>26</v>
      </c>
      <c r="N5" s="2" t="s">
        <v>270</v>
      </c>
      <c r="O5" s="2">
        <v>9.69</v>
      </c>
      <c r="P5" s="2">
        <v>3.95</v>
      </c>
      <c r="Q5" s="2"/>
    </row>
    <row r="6" spans="1:17" ht="15" customHeight="1" x14ac:dyDescent="0.2">
      <c r="A6" s="129" t="s">
        <v>16</v>
      </c>
      <c r="B6" s="383">
        <f>'Loan Details'!C10</f>
        <v>0</v>
      </c>
      <c r="C6" s="383"/>
      <c r="D6" s="383"/>
      <c r="E6" s="383"/>
      <c r="F6" s="383"/>
      <c r="L6" s="2" t="s">
        <v>23</v>
      </c>
      <c r="M6" s="2" t="s">
        <v>27</v>
      </c>
      <c r="N6" s="2" t="s">
        <v>271</v>
      </c>
      <c r="O6" s="2">
        <v>6.64</v>
      </c>
      <c r="P6" s="2">
        <v>3.95</v>
      </c>
      <c r="Q6" s="2"/>
    </row>
    <row r="7" spans="1:17" ht="15" customHeight="1" x14ac:dyDescent="0.2">
      <c r="A7" s="129" t="s">
        <v>18</v>
      </c>
      <c r="B7" s="520" t="e">
        <f ca="1">INDIRECT(ADDRESS(MATCH(B6,N:N,0),MATCH(B5,1:1,0),,,))</f>
        <v>#N/A</v>
      </c>
      <c r="C7" s="520"/>
      <c r="D7" s="520"/>
      <c r="E7" s="520"/>
      <c r="F7" s="520"/>
      <c r="L7" s="2" t="s">
        <v>23</v>
      </c>
      <c r="M7" s="2" t="s">
        <v>28</v>
      </c>
      <c r="N7" s="2" t="s">
        <v>272</v>
      </c>
      <c r="O7" s="2">
        <v>9.42</v>
      </c>
      <c r="P7" s="2">
        <v>3.95</v>
      </c>
      <c r="Q7" s="2"/>
    </row>
    <row r="8" spans="1:17" ht="15" customHeight="1" x14ac:dyDescent="0.2">
      <c r="A8" s="129" t="s">
        <v>262</v>
      </c>
      <c r="B8" s="678" t="e">
        <f>MIN(((E13-D13)/D13),20%)</f>
        <v>#DIV/0!</v>
      </c>
      <c r="C8" s="678"/>
      <c r="D8" s="678"/>
      <c r="E8" s="678"/>
      <c r="F8" s="678"/>
      <c r="L8" s="2" t="s">
        <v>23</v>
      </c>
      <c r="M8" s="2" t="s">
        <v>29</v>
      </c>
      <c r="N8" s="2" t="s">
        <v>273</v>
      </c>
      <c r="O8" s="2">
        <v>15.98</v>
      </c>
      <c r="P8" s="2">
        <v>3.95</v>
      </c>
      <c r="Q8" s="2"/>
    </row>
    <row r="9" spans="1:17" ht="18.75" x14ac:dyDescent="0.3">
      <c r="A9" s="517" t="s">
        <v>4</v>
      </c>
      <c r="B9" s="517"/>
      <c r="C9" s="517"/>
      <c r="D9" s="517"/>
      <c r="E9" s="517"/>
      <c r="F9" s="517"/>
      <c r="L9" s="2" t="s">
        <v>23</v>
      </c>
      <c r="M9" s="2" t="s">
        <v>30</v>
      </c>
      <c r="N9" s="2" t="s">
        <v>17</v>
      </c>
      <c r="O9" s="2">
        <v>6.64</v>
      </c>
      <c r="P9" s="2">
        <v>3.95</v>
      </c>
      <c r="Q9" s="2"/>
    </row>
    <row r="10" spans="1:17" ht="15" customHeight="1" x14ac:dyDescent="0.2">
      <c r="A10" s="129" t="s">
        <v>5</v>
      </c>
      <c r="B10" s="381">
        <f>'Loan Details'!C12</f>
        <v>0</v>
      </c>
      <c r="C10" s="381"/>
      <c r="D10" s="381"/>
      <c r="E10" s="381"/>
      <c r="F10" s="381"/>
      <c r="L10" s="2" t="s">
        <v>23</v>
      </c>
      <c r="M10" s="2" t="s">
        <v>31</v>
      </c>
      <c r="N10" s="2" t="s">
        <v>274</v>
      </c>
      <c r="O10" s="2">
        <v>8.61</v>
      </c>
      <c r="P10" s="2">
        <v>3.95</v>
      </c>
      <c r="Q10" s="2"/>
    </row>
    <row r="11" spans="1:17" ht="15" customHeight="1" x14ac:dyDescent="0.3">
      <c r="A11" s="517" t="s">
        <v>560</v>
      </c>
      <c r="B11" s="517"/>
      <c r="C11" s="517"/>
      <c r="D11" s="517"/>
      <c r="E11" s="517"/>
      <c r="F11" s="517"/>
      <c r="L11" s="2" t="s">
        <v>23</v>
      </c>
      <c r="M11" s="2" t="s">
        <v>32</v>
      </c>
      <c r="N11" s="2" t="s">
        <v>275</v>
      </c>
      <c r="O11" s="2">
        <v>9.69</v>
      </c>
      <c r="P11" s="2">
        <v>3.95</v>
      </c>
      <c r="Q11" s="2"/>
    </row>
    <row r="12" spans="1:17" ht="15" customHeight="1" x14ac:dyDescent="0.2">
      <c r="A12" s="677" t="s">
        <v>234</v>
      </c>
      <c r="B12" s="665" t="s">
        <v>7</v>
      </c>
      <c r="C12" s="666"/>
      <c r="D12" s="111" t="s">
        <v>231</v>
      </c>
      <c r="E12" s="111" t="s">
        <v>232</v>
      </c>
      <c r="F12" s="111" t="s">
        <v>233</v>
      </c>
      <c r="L12" s="2" t="s">
        <v>23</v>
      </c>
      <c r="M12" s="2" t="s">
        <v>33</v>
      </c>
      <c r="N12" s="2" t="s">
        <v>276</v>
      </c>
      <c r="O12" s="2">
        <v>12.26</v>
      </c>
      <c r="P12" s="2">
        <v>3.95</v>
      </c>
      <c r="Q12" s="2"/>
    </row>
    <row r="13" spans="1:17" ht="15" customHeight="1" x14ac:dyDescent="0.2">
      <c r="A13" s="677"/>
      <c r="B13" s="672">
        <v>1</v>
      </c>
      <c r="C13" s="673"/>
      <c r="D13" s="107">
        <f>'Loan Details'!C15</f>
        <v>0</v>
      </c>
      <c r="E13" s="107">
        <f>'Loan Details'!E15</f>
        <v>0</v>
      </c>
      <c r="F13" s="260" t="str">
        <f>IFERROR(IF(((E13-D13)/D13)&lt;=20%,E13*B13,IF(((E13-D13)/D13)&lt;=50%,B13*MAX(AVERAGE(E13,D13),1.2*D13),IF(((E13-D13)/D13)&gt;100%,B13*D13*150%,B13*AVERAGE(E13,D13)))),"-")</f>
        <v>-</v>
      </c>
      <c r="L13" s="2" t="s">
        <v>23</v>
      </c>
      <c r="M13" s="2" t="s">
        <v>34</v>
      </c>
      <c r="N13" s="2" t="s">
        <v>277</v>
      </c>
      <c r="O13" s="2">
        <v>6.09</v>
      </c>
      <c r="P13" s="2">
        <v>3.95</v>
      </c>
      <c r="Q13" s="2"/>
    </row>
    <row r="14" spans="1:17" ht="15" customHeight="1" x14ac:dyDescent="0.2">
      <c r="A14" s="129" t="s">
        <v>18</v>
      </c>
      <c r="B14" s="572" t="e">
        <f ca="1">B7/100</f>
        <v>#N/A</v>
      </c>
      <c r="C14" s="572"/>
      <c r="D14" s="572"/>
      <c r="E14" s="572"/>
      <c r="F14" s="572"/>
      <c r="L14" s="2" t="s">
        <v>23</v>
      </c>
      <c r="M14" s="2" t="s">
        <v>35</v>
      </c>
      <c r="N14" s="2" t="s">
        <v>278</v>
      </c>
      <c r="O14" s="2">
        <v>6.64</v>
      </c>
      <c r="P14" s="2">
        <v>3.95</v>
      </c>
      <c r="Q14" s="2"/>
    </row>
    <row r="15" spans="1:17" ht="15" customHeight="1" x14ac:dyDescent="0.2">
      <c r="A15" s="129" t="s">
        <v>235</v>
      </c>
      <c r="B15" s="514" t="e">
        <f ca="1">F13*(1+(MIN(((E13-D13)/D13),0.2)))^2*B14</f>
        <v>#VALUE!</v>
      </c>
      <c r="C15" s="514"/>
      <c r="D15" s="514"/>
      <c r="E15" s="514"/>
      <c r="F15" s="514"/>
      <c r="L15" s="2" t="s">
        <v>36</v>
      </c>
      <c r="M15" s="2" t="s">
        <v>36</v>
      </c>
      <c r="N15" s="2" t="s">
        <v>279</v>
      </c>
      <c r="O15" s="2">
        <v>7.43</v>
      </c>
      <c r="P15" s="2">
        <v>7.43</v>
      </c>
      <c r="Q15" s="2"/>
    </row>
    <row r="16" spans="1:17" ht="15" customHeight="1" x14ac:dyDescent="0.3">
      <c r="A16" s="517" t="s">
        <v>562</v>
      </c>
      <c r="B16" s="517"/>
      <c r="C16" s="517"/>
      <c r="D16" s="517"/>
      <c r="E16" s="517"/>
      <c r="F16" s="517"/>
      <c r="L16" s="2" t="s">
        <v>37</v>
      </c>
      <c r="M16" s="2" t="s">
        <v>38</v>
      </c>
      <c r="N16" s="2" t="s">
        <v>280</v>
      </c>
      <c r="O16" s="2"/>
      <c r="P16" s="2">
        <v>5.43</v>
      </c>
      <c r="Q16" s="2"/>
    </row>
    <row r="17" spans="1:17" ht="17.25" customHeight="1" x14ac:dyDescent="0.2">
      <c r="A17" s="114" t="s">
        <v>563</v>
      </c>
      <c r="B17" s="665" t="s">
        <v>7</v>
      </c>
      <c r="C17" s="666"/>
      <c r="D17" s="111" t="s">
        <v>231</v>
      </c>
      <c r="E17" s="111" t="s">
        <v>232</v>
      </c>
      <c r="F17" s="111" t="s">
        <v>233</v>
      </c>
      <c r="L17" s="2" t="s">
        <v>37</v>
      </c>
      <c r="M17" s="2" t="s">
        <v>39</v>
      </c>
      <c r="N17" s="2" t="s">
        <v>281</v>
      </c>
      <c r="O17" s="2">
        <v>10.17</v>
      </c>
      <c r="P17" s="2">
        <v>5.43</v>
      </c>
      <c r="Q17" s="2"/>
    </row>
    <row r="18" spans="1:17" ht="15" customHeight="1" x14ac:dyDescent="0.2">
      <c r="A18" s="129" t="s">
        <v>236</v>
      </c>
      <c r="B18" s="672">
        <v>1</v>
      </c>
      <c r="C18" s="673"/>
      <c r="D18" s="107">
        <f>'Loan Details'!C17</f>
        <v>0</v>
      </c>
      <c r="E18" s="107">
        <f>'Loan Details'!E17</f>
        <v>0</v>
      </c>
      <c r="F18" s="674" t="e">
        <f>IF(((E22-D22)/D22)&lt;=20%,E22,IF(((E22-D22)/D22)&lt;=50%,MAX(AVERAGE(E22,D22),1.2*D22),AVERAGE(E22,D22)))</f>
        <v>#DIV/0!</v>
      </c>
      <c r="L18" s="2" t="s">
        <v>37</v>
      </c>
      <c r="M18" s="2" t="s">
        <v>40</v>
      </c>
      <c r="N18" s="2" t="s">
        <v>282</v>
      </c>
      <c r="O18" s="2">
        <v>10.17</v>
      </c>
      <c r="P18" s="2">
        <v>5.43</v>
      </c>
      <c r="Q18" s="2"/>
    </row>
    <row r="19" spans="1:17" ht="15" customHeight="1" x14ac:dyDescent="0.2">
      <c r="A19" s="129" t="s">
        <v>237</v>
      </c>
      <c r="B19" s="672">
        <v>1</v>
      </c>
      <c r="C19" s="673"/>
      <c r="D19" s="107">
        <f>'Loan Details'!C20</f>
        <v>0</v>
      </c>
      <c r="E19" s="107">
        <f>'Loan Details'!E20</f>
        <v>0</v>
      </c>
      <c r="F19" s="675"/>
      <c r="L19" s="2" t="s">
        <v>37</v>
      </c>
      <c r="M19" s="2" t="s">
        <v>41</v>
      </c>
      <c r="N19" s="2" t="s">
        <v>283</v>
      </c>
      <c r="O19" s="2">
        <v>2.7</v>
      </c>
      <c r="P19" s="2">
        <v>5.43</v>
      </c>
      <c r="Q19" s="2"/>
    </row>
    <row r="20" spans="1:17" ht="15" customHeight="1" x14ac:dyDescent="0.2">
      <c r="A20" s="129" t="s">
        <v>238</v>
      </c>
      <c r="B20" s="672">
        <v>1</v>
      </c>
      <c r="C20" s="673"/>
      <c r="D20" s="107">
        <f>'Loan Details'!C21</f>
        <v>0</v>
      </c>
      <c r="E20" s="107">
        <f>'Loan Details'!E21</f>
        <v>0</v>
      </c>
      <c r="F20" s="675"/>
      <c r="L20" s="2" t="s">
        <v>37</v>
      </c>
      <c r="M20" s="2" t="s">
        <v>42</v>
      </c>
      <c r="N20" s="2" t="s">
        <v>284</v>
      </c>
      <c r="O20" s="2">
        <v>8.5</v>
      </c>
      <c r="P20" s="2">
        <v>5.43</v>
      </c>
      <c r="Q20" s="2"/>
    </row>
    <row r="21" spans="1:17" ht="15" customHeight="1" x14ac:dyDescent="0.2">
      <c r="A21" s="129" t="s">
        <v>239</v>
      </c>
      <c r="B21" s="672">
        <v>1</v>
      </c>
      <c r="C21" s="673"/>
      <c r="D21" s="107">
        <f>'Loan Details'!C22</f>
        <v>0</v>
      </c>
      <c r="E21" s="107">
        <f>'Loan Details'!E22</f>
        <v>0</v>
      </c>
      <c r="F21" s="675"/>
      <c r="L21" s="2" t="s">
        <v>43</v>
      </c>
      <c r="M21" s="2" t="s">
        <v>44</v>
      </c>
      <c r="N21" s="2" t="s">
        <v>285</v>
      </c>
      <c r="O21" s="2"/>
      <c r="P21" s="2"/>
      <c r="Q21" s="2">
        <v>12.36</v>
      </c>
    </row>
    <row r="22" spans="1:17" ht="15" customHeight="1" x14ac:dyDescent="0.2">
      <c r="A22" s="263"/>
      <c r="B22" s="264"/>
      <c r="C22" s="265"/>
      <c r="D22" s="267">
        <f>SUM(D18:D21)</f>
        <v>0</v>
      </c>
      <c r="E22" s="267">
        <f>SUM(E18:E21)</f>
        <v>0</v>
      </c>
      <c r="F22" s="676"/>
      <c r="L22" s="2"/>
      <c r="M22" s="2"/>
      <c r="N22" s="2"/>
      <c r="O22" s="2"/>
      <c r="P22" s="2"/>
      <c r="Q22" s="2"/>
    </row>
    <row r="23" spans="1:17" ht="15" customHeight="1" x14ac:dyDescent="0.3">
      <c r="A23" s="517" t="s">
        <v>244</v>
      </c>
      <c r="B23" s="517"/>
      <c r="C23" s="517"/>
      <c r="D23" s="517"/>
      <c r="E23" s="517"/>
      <c r="F23" s="517"/>
      <c r="L23" s="2" t="s">
        <v>45</v>
      </c>
      <c r="M23" s="2" t="s">
        <v>46</v>
      </c>
      <c r="N23" s="2" t="s">
        <v>286</v>
      </c>
      <c r="O23" s="2"/>
      <c r="P23" s="2">
        <v>5.04</v>
      </c>
      <c r="Q23" s="2"/>
    </row>
    <row r="24" spans="1:17" ht="15" customHeight="1" x14ac:dyDescent="0.2">
      <c r="A24" s="114" t="s">
        <v>563</v>
      </c>
      <c r="B24" s="111" t="s">
        <v>7</v>
      </c>
      <c r="C24" s="111" t="s">
        <v>8</v>
      </c>
      <c r="D24" s="111" t="s">
        <v>231</v>
      </c>
      <c r="E24" s="111" t="s">
        <v>232</v>
      </c>
      <c r="F24" s="111" t="s">
        <v>233</v>
      </c>
      <c r="L24" s="2" t="s">
        <v>47</v>
      </c>
      <c r="M24" s="2" t="s">
        <v>48</v>
      </c>
      <c r="N24" s="2" t="s">
        <v>266</v>
      </c>
      <c r="O24" s="2">
        <v>10.99</v>
      </c>
      <c r="P24" s="2">
        <v>5.04</v>
      </c>
      <c r="Q24" s="2"/>
    </row>
    <row r="25" spans="1:17" ht="15" customHeight="1" x14ac:dyDescent="0.2">
      <c r="A25" s="129" t="s">
        <v>240</v>
      </c>
      <c r="B25" s="127">
        <v>1</v>
      </c>
      <c r="C25" s="515" t="s">
        <v>559</v>
      </c>
      <c r="D25" s="107">
        <v>0</v>
      </c>
      <c r="E25" s="107">
        <v>0</v>
      </c>
      <c r="F25" s="261">
        <f>IF(C25="Monthly",AVERAGE(B25*D25*12,B25*E25*12),AVERAGE(B25*D25,B25*E25))</f>
        <v>0</v>
      </c>
      <c r="L25" s="2" t="s">
        <v>49</v>
      </c>
      <c r="M25" s="2" t="s">
        <v>50</v>
      </c>
      <c r="N25" s="2" t="s">
        <v>287</v>
      </c>
      <c r="O25" s="2">
        <v>9.48</v>
      </c>
      <c r="P25" s="2">
        <v>5.31</v>
      </c>
      <c r="Q25" s="2"/>
    </row>
    <row r="26" spans="1:17" ht="15" customHeight="1" x14ac:dyDescent="0.2">
      <c r="A26" s="129" t="s">
        <v>242</v>
      </c>
      <c r="B26" s="127">
        <v>1</v>
      </c>
      <c r="C26" s="515"/>
      <c r="D26" s="107">
        <v>0</v>
      </c>
      <c r="E26" s="107">
        <v>0</v>
      </c>
      <c r="F26" s="126">
        <f>IF(C25="Monthly",AVERAGE(B26*D26*12,B26*E26*12),AVERAGE(B26*D26,B26*E26))</f>
        <v>0</v>
      </c>
      <c r="L26" s="2" t="s">
        <v>49</v>
      </c>
      <c r="M26" s="2" t="s">
        <v>51</v>
      </c>
      <c r="N26" s="2" t="s">
        <v>288</v>
      </c>
      <c r="O26" s="2"/>
      <c r="P26" s="2">
        <v>5.31</v>
      </c>
      <c r="Q26" s="2"/>
    </row>
    <row r="27" spans="1:17" ht="15" customHeight="1" x14ac:dyDescent="0.2">
      <c r="A27" s="129" t="s">
        <v>243</v>
      </c>
      <c r="B27" s="127">
        <v>1</v>
      </c>
      <c r="C27" s="515"/>
      <c r="D27" s="107">
        <v>0</v>
      </c>
      <c r="E27" s="107">
        <v>0</v>
      </c>
      <c r="F27" s="126">
        <f>IF(C25="Monthly",AVERAGE(B27*D27*12,B27*E27*12),AVERAGE(B27*D27,B27*E27))</f>
        <v>0</v>
      </c>
      <c r="L27" s="2" t="s">
        <v>49</v>
      </c>
      <c r="M27" s="2" t="s">
        <v>52</v>
      </c>
      <c r="N27" s="2" t="s">
        <v>289</v>
      </c>
      <c r="O27" s="2">
        <v>9.48</v>
      </c>
      <c r="P27" s="2">
        <v>5.31</v>
      </c>
      <c r="Q27" s="2"/>
    </row>
    <row r="28" spans="1:17" ht="15" customHeight="1" x14ac:dyDescent="0.2">
      <c r="A28" s="129" t="s">
        <v>244</v>
      </c>
      <c r="B28" s="127">
        <v>1</v>
      </c>
      <c r="C28" s="515"/>
      <c r="D28" s="107">
        <v>0</v>
      </c>
      <c r="E28" s="107">
        <v>0</v>
      </c>
      <c r="F28" s="126">
        <f>IF(C25="Monthly",AVERAGE(B28*D28*12,B28*E28*12),AVERAGE(B28*D28,B28*E28))</f>
        <v>0</v>
      </c>
      <c r="L28" s="2" t="s">
        <v>49</v>
      </c>
      <c r="M28" s="2" t="s">
        <v>53</v>
      </c>
      <c r="N28" s="2" t="s">
        <v>290</v>
      </c>
      <c r="O28" s="2">
        <v>8.11</v>
      </c>
      <c r="P28" s="2">
        <v>5.31</v>
      </c>
      <c r="Q28" s="2"/>
    </row>
    <row r="29" spans="1:17" ht="15" customHeight="1" x14ac:dyDescent="0.2">
      <c r="A29" s="129" t="s">
        <v>778</v>
      </c>
      <c r="B29" s="514" t="e">
        <f>MIN(SUM(F25:F28),1.5*F18)</f>
        <v>#DIV/0!</v>
      </c>
      <c r="C29" s="514"/>
      <c r="D29" s="514"/>
      <c r="E29" s="514"/>
      <c r="F29" s="514"/>
      <c r="L29" s="2" t="s">
        <v>49</v>
      </c>
      <c r="M29" s="2" t="s">
        <v>54</v>
      </c>
      <c r="N29" s="2" t="s">
        <v>291</v>
      </c>
      <c r="O29" s="2">
        <v>8.81</v>
      </c>
      <c r="P29" s="2">
        <v>5.31</v>
      </c>
      <c r="Q29" s="2"/>
    </row>
    <row r="30" spans="1:17" ht="15" customHeight="1" x14ac:dyDescent="0.3">
      <c r="A30" s="517" t="s">
        <v>9</v>
      </c>
      <c r="B30" s="517"/>
      <c r="C30" s="517"/>
      <c r="D30" s="517"/>
      <c r="E30" s="517"/>
      <c r="F30" s="517"/>
      <c r="L30" s="2" t="s">
        <v>49</v>
      </c>
      <c r="M30" s="2" t="s">
        <v>55</v>
      </c>
      <c r="N30" s="2" t="s">
        <v>292</v>
      </c>
      <c r="O30" s="2">
        <v>9.48</v>
      </c>
      <c r="P30" s="2">
        <v>5.31</v>
      </c>
      <c r="Q30" s="2"/>
    </row>
    <row r="31" spans="1:17" ht="15" customHeight="1" x14ac:dyDescent="0.2">
      <c r="A31" s="129" t="s">
        <v>245</v>
      </c>
      <c r="B31" s="514" t="e">
        <f>MIN(F18*5,B15)+B29</f>
        <v>#DIV/0!</v>
      </c>
      <c r="C31" s="514"/>
      <c r="D31" s="514"/>
      <c r="E31" s="514"/>
      <c r="F31" s="514"/>
      <c r="L31" s="2" t="s">
        <v>49</v>
      </c>
      <c r="M31" s="2" t="s">
        <v>56</v>
      </c>
      <c r="N31" s="2" t="s">
        <v>293</v>
      </c>
      <c r="O31" s="2">
        <v>7.45</v>
      </c>
      <c r="P31" s="2">
        <v>5.31</v>
      </c>
      <c r="Q31" s="2"/>
    </row>
    <row r="32" spans="1:17" ht="15" customHeight="1" x14ac:dyDescent="0.2">
      <c r="A32" s="129" t="s">
        <v>246</v>
      </c>
      <c r="B32" s="514" t="e">
        <f>B31/12</f>
        <v>#DIV/0!</v>
      </c>
      <c r="C32" s="514"/>
      <c r="D32" s="514"/>
      <c r="E32" s="514"/>
      <c r="F32" s="514"/>
      <c r="L32" s="2" t="s">
        <v>49</v>
      </c>
      <c r="M32" s="2" t="s">
        <v>57</v>
      </c>
      <c r="N32" s="2" t="s">
        <v>294</v>
      </c>
      <c r="O32" s="2">
        <v>7.15</v>
      </c>
      <c r="P32" s="2">
        <v>5.31</v>
      </c>
      <c r="Q32" s="2"/>
    </row>
    <row r="33" spans="1:22" ht="15" customHeight="1" x14ac:dyDescent="0.2">
      <c r="A33" s="129" t="s">
        <v>10</v>
      </c>
      <c r="B33" s="514">
        <f>B10</f>
        <v>0</v>
      </c>
      <c r="C33" s="514"/>
      <c r="D33" s="514"/>
      <c r="E33" s="514"/>
      <c r="F33" s="514"/>
      <c r="L33" s="2" t="s">
        <v>49</v>
      </c>
      <c r="M33" s="2" t="s">
        <v>58</v>
      </c>
      <c r="N33" s="2" t="s">
        <v>295</v>
      </c>
      <c r="O33" s="2">
        <v>6.29</v>
      </c>
      <c r="P33" s="2">
        <v>5.31</v>
      </c>
      <c r="Q33" s="2"/>
    </row>
    <row r="34" spans="1:22" ht="15" customHeight="1" x14ac:dyDescent="0.2">
      <c r="A34" s="123" t="s">
        <v>777</v>
      </c>
      <c r="B34" s="461">
        <f>-PMT(B3/12,B4,B2)</f>
        <v>0</v>
      </c>
      <c r="C34" s="462"/>
      <c r="D34" s="462"/>
      <c r="E34" s="462"/>
      <c r="F34" s="462"/>
      <c r="L34" s="2" t="s">
        <v>49</v>
      </c>
      <c r="M34" s="2" t="s">
        <v>59</v>
      </c>
      <c r="N34" s="2" t="s">
        <v>296</v>
      </c>
      <c r="O34" s="2">
        <v>10.11</v>
      </c>
      <c r="P34" s="2">
        <v>5.31</v>
      </c>
      <c r="Q34" s="2"/>
    </row>
    <row r="35" spans="1:22" ht="15" customHeight="1" x14ac:dyDescent="0.2">
      <c r="A35" s="123" t="s">
        <v>776</v>
      </c>
      <c r="B35" s="663" t="e">
        <f>(B33+B34)/B32</f>
        <v>#DIV/0!</v>
      </c>
      <c r="C35" s="664"/>
      <c r="D35" s="664"/>
      <c r="E35" s="664"/>
      <c r="F35" s="664"/>
      <c r="L35" s="2" t="s">
        <v>60</v>
      </c>
      <c r="M35" s="2" t="s">
        <v>61</v>
      </c>
      <c r="N35" s="2" t="s">
        <v>297</v>
      </c>
      <c r="O35" s="2"/>
      <c r="P35" s="2"/>
      <c r="Q35" s="2">
        <v>10.73</v>
      </c>
    </row>
    <row r="36" spans="1:22" ht="15" customHeight="1" x14ac:dyDescent="0.2">
      <c r="A36" s="123" t="s">
        <v>775</v>
      </c>
      <c r="B36" s="461" t="e">
        <f>IF(B35&gt;75%,"Not Eligible for applied Loan Amount","Eligible for applied Loan Amount")</f>
        <v>#DIV/0!</v>
      </c>
      <c r="C36" s="462"/>
      <c r="D36" s="462"/>
      <c r="E36" s="462"/>
      <c r="F36" s="462"/>
      <c r="L36" s="2" t="s">
        <v>60</v>
      </c>
      <c r="M36" s="2" t="s">
        <v>62</v>
      </c>
      <c r="N36" s="2" t="s">
        <v>298</v>
      </c>
      <c r="O36" s="2"/>
      <c r="P36" s="2"/>
      <c r="Q36" s="2">
        <v>12.9</v>
      </c>
    </row>
    <row r="37" spans="1:22" ht="4.5" customHeight="1" x14ac:dyDescent="0.2">
      <c r="L37" s="2" t="s">
        <v>60</v>
      </c>
      <c r="M37" s="2" t="s">
        <v>63</v>
      </c>
      <c r="N37" s="2" t="s">
        <v>299</v>
      </c>
      <c r="O37" s="2">
        <v>7.98</v>
      </c>
      <c r="P37" s="2">
        <v>7.98</v>
      </c>
      <c r="Q37" s="2"/>
    </row>
    <row r="38" spans="1:22" ht="9" hidden="1" customHeight="1" x14ac:dyDescent="0.2">
      <c r="L38" s="2" t="s">
        <v>64</v>
      </c>
      <c r="M38" s="2" t="s">
        <v>65</v>
      </c>
      <c r="N38" s="2" t="s">
        <v>300</v>
      </c>
      <c r="O38" s="2">
        <v>9.64</v>
      </c>
      <c r="P38" s="2">
        <v>5.04</v>
      </c>
      <c r="Q38" s="2"/>
    </row>
    <row r="39" spans="1:22" ht="15" hidden="1" customHeight="1" x14ac:dyDescent="0.2">
      <c r="L39" s="2" t="s">
        <v>64</v>
      </c>
      <c r="M39" s="2" t="s">
        <v>66</v>
      </c>
      <c r="N39" s="2" t="s">
        <v>301</v>
      </c>
      <c r="O39" s="2"/>
      <c r="P39" s="2"/>
      <c r="Q39" s="2">
        <v>9.65</v>
      </c>
    </row>
    <row r="40" spans="1:22" ht="15" hidden="1" customHeight="1" x14ac:dyDescent="0.2">
      <c r="L40" s="2" t="s">
        <v>64</v>
      </c>
      <c r="M40" s="2" t="s">
        <v>434</v>
      </c>
      <c r="N40" s="2" t="s">
        <v>435</v>
      </c>
      <c r="O40" s="2"/>
      <c r="P40" s="2"/>
      <c r="Q40" s="2">
        <v>10.18</v>
      </c>
      <c r="R40" s="62"/>
    </row>
    <row r="41" spans="1:22" ht="14.25" hidden="1" customHeight="1" x14ac:dyDescent="0.2">
      <c r="L41" s="2" t="s">
        <v>64</v>
      </c>
      <c r="M41" s="2" t="s">
        <v>67</v>
      </c>
      <c r="N41" s="2" t="s">
        <v>429</v>
      </c>
      <c r="O41" s="2"/>
      <c r="P41" s="2"/>
      <c r="Q41" s="2">
        <v>13.94</v>
      </c>
      <c r="R41" s="62"/>
    </row>
    <row r="42" spans="1:22" ht="7.5" hidden="1" customHeight="1" x14ac:dyDescent="0.2">
      <c r="L42" s="2" t="s">
        <v>64</v>
      </c>
      <c r="M42" s="2" t="s">
        <v>70</v>
      </c>
      <c r="N42" s="2" t="s">
        <v>302</v>
      </c>
      <c r="O42" s="2"/>
      <c r="P42" s="2"/>
      <c r="Q42" s="2">
        <v>13.01</v>
      </c>
    </row>
    <row r="43" spans="1:22" ht="14.25" hidden="1" customHeight="1" x14ac:dyDescent="0.2">
      <c r="L43" s="2" t="s">
        <v>72</v>
      </c>
      <c r="M43" s="2" t="s">
        <v>73</v>
      </c>
      <c r="N43" s="2" t="s">
        <v>303</v>
      </c>
      <c r="O43" s="2">
        <v>9.4499999999999993</v>
      </c>
      <c r="P43" s="2">
        <v>9.4499999999999993</v>
      </c>
      <c r="Q43" s="2">
        <v>9.4499999999999993</v>
      </c>
      <c r="R43" s="62"/>
    </row>
    <row r="44" spans="1:22" ht="14.25" hidden="1" customHeight="1" x14ac:dyDescent="0.2">
      <c r="L44" s="2" t="s">
        <v>74</v>
      </c>
      <c r="M44" s="2" t="s">
        <v>75</v>
      </c>
      <c r="N44" s="2" t="s">
        <v>304</v>
      </c>
      <c r="O44" s="2">
        <v>6.94</v>
      </c>
      <c r="P44" s="2">
        <v>6.94</v>
      </c>
      <c r="Q44" s="2">
        <v>6.94</v>
      </c>
      <c r="R44" s="62"/>
      <c r="S44" s="1"/>
      <c r="T44" s="1"/>
      <c r="V44" s="21"/>
    </row>
    <row r="45" spans="1:22" ht="15" hidden="1" customHeight="1" x14ac:dyDescent="0.2">
      <c r="L45" s="2" t="s">
        <v>76</v>
      </c>
      <c r="M45" s="2" t="s">
        <v>77</v>
      </c>
      <c r="N45" s="2" t="s">
        <v>305</v>
      </c>
      <c r="O45" s="2">
        <v>8.58</v>
      </c>
      <c r="P45" s="2">
        <v>8.58</v>
      </c>
      <c r="Q45" s="2"/>
      <c r="S45" s="1"/>
      <c r="T45" s="1"/>
      <c r="V45" s="21"/>
    </row>
    <row r="46" spans="1:22" ht="15" hidden="1" customHeight="1" x14ac:dyDescent="0.2">
      <c r="L46" s="2" t="s">
        <v>78</v>
      </c>
      <c r="M46" s="2" t="s">
        <v>79</v>
      </c>
      <c r="N46" s="2" t="s">
        <v>306</v>
      </c>
      <c r="O46" s="2"/>
      <c r="P46" s="2"/>
      <c r="Q46" s="2">
        <v>18.14</v>
      </c>
      <c r="R46" s="62"/>
      <c r="S46" s="1"/>
      <c r="T46" s="1"/>
    </row>
    <row r="47" spans="1:22" ht="15" hidden="1" customHeight="1" x14ac:dyDescent="0.2">
      <c r="L47" s="2" t="s">
        <v>78</v>
      </c>
      <c r="M47" s="2" t="s">
        <v>80</v>
      </c>
      <c r="N47" s="2" t="s">
        <v>307</v>
      </c>
      <c r="O47" s="2"/>
      <c r="P47" s="2"/>
      <c r="Q47" s="2">
        <v>10.38</v>
      </c>
      <c r="S47" s="1"/>
      <c r="T47" s="1"/>
    </row>
    <row r="48" spans="1:22" ht="15" hidden="1" customHeight="1" x14ac:dyDescent="0.2">
      <c r="L48" s="2" t="s">
        <v>78</v>
      </c>
      <c r="M48" s="2" t="s">
        <v>81</v>
      </c>
      <c r="N48" s="2" t="s">
        <v>308</v>
      </c>
      <c r="O48" s="2"/>
      <c r="P48" s="2"/>
      <c r="Q48" s="2">
        <v>5.4</v>
      </c>
    </row>
    <row r="49" spans="7:20" ht="15" hidden="1" customHeight="1" x14ac:dyDescent="0.2">
      <c r="L49" s="2" t="s">
        <v>82</v>
      </c>
      <c r="M49" s="2" t="s">
        <v>82</v>
      </c>
      <c r="N49" s="2" t="s">
        <v>309</v>
      </c>
      <c r="O49" s="2">
        <v>7.6</v>
      </c>
      <c r="P49" s="2">
        <v>5.04</v>
      </c>
      <c r="Q49" s="2"/>
      <c r="S49" s="1"/>
      <c r="T49" s="1"/>
    </row>
    <row r="50" spans="7:20" ht="15" hidden="1" customHeight="1" x14ac:dyDescent="0.2">
      <c r="L50" s="2" t="s">
        <v>83</v>
      </c>
      <c r="M50" s="2" t="s">
        <v>84</v>
      </c>
      <c r="N50" s="2" t="s">
        <v>310</v>
      </c>
      <c r="O50" s="2">
        <v>7.17</v>
      </c>
      <c r="P50" s="2">
        <v>3.95</v>
      </c>
      <c r="Q50" s="2"/>
    </row>
    <row r="51" spans="7:20" ht="15" hidden="1" customHeight="1" x14ac:dyDescent="0.2">
      <c r="L51" s="2" t="s">
        <v>83</v>
      </c>
      <c r="M51" s="2" t="s">
        <v>85</v>
      </c>
      <c r="N51" s="2" t="s">
        <v>311</v>
      </c>
      <c r="O51" s="2">
        <v>6.49</v>
      </c>
      <c r="P51" s="2">
        <v>3.95</v>
      </c>
      <c r="Q51" s="2"/>
    </row>
    <row r="52" spans="7:20" ht="15" hidden="1" customHeight="1" x14ac:dyDescent="0.2">
      <c r="L52" s="2" t="s">
        <v>83</v>
      </c>
      <c r="M52" s="2" t="s">
        <v>86</v>
      </c>
      <c r="N52" s="2" t="s">
        <v>312</v>
      </c>
      <c r="O52" s="2">
        <v>7.17</v>
      </c>
      <c r="P52" s="2">
        <v>3.95</v>
      </c>
      <c r="Q52" s="2"/>
      <c r="S52" s="62"/>
      <c r="T52" s="3"/>
    </row>
    <row r="53" spans="7:20" ht="15" hidden="1" customHeight="1" x14ac:dyDescent="0.2">
      <c r="L53" s="2" t="s">
        <v>87</v>
      </c>
      <c r="M53" s="2" t="s">
        <v>88</v>
      </c>
      <c r="N53" s="2" t="s">
        <v>313</v>
      </c>
      <c r="O53" s="2">
        <v>4.34</v>
      </c>
      <c r="P53" s="2">
        <v>3.95</v>
      </c>
      <c r="Q53" s="2"/>
      <c r="S53" s="62"/>
      <c r="T53" s="22"/>
    </row>
    <row r="54" spans="7:20" ht="15" hidden="1" customHeight="1" x14ac:dyDescent="0.2">
      <c r="L54" s="2" t="s">
        <v>89</v>
      </c>
      <c r="M54" s="2" t="s">
        <v>90</v>
      </c>
      <c r="N54" s="2" t="s">
        <v>314</v>
      </c>
      <c r="O54" s="2">
        <v>5.33</v>
      </c>
      <c r="P54" s="2">
        <v>3.95</v>
      </c>
      <c r="Q54" s="2"/>
    </row>
    <row r="55" spans="7:20" ht="15" hidden="1" customHeight="1" x14ac:dyDescent="0.2">
      <c r="L55" s="2" t="s">
        <v>89</v>
      </c>
      <c r="M55" s="2" t="s">
        <v>91</v>
      </c>
      <c r="N55" s="2" t="s">
        <v>315</v>
      </c>
      <c r="O55" s="2">
        <v>9.42</v>
      </c>
      <c r="P55" s="2">
        <v>3.95</v>
      </c>
      <c r="Q55" s="2"/>
      <c r="S55" s="62"/>
      <c r="T55" s="3"/>
    </row>
    <row r="56" spans="7:20" ht="15" hidden="1" customHeight="1" x14ac:dyDescent="0.2">
      <c r="L56" s="2" t="s">
        <v>89</v>
      </c>
      <c r="M56" s="2" t="s">
        <v>92</v>
      </c>
      <c r="N56" s="2" t="s">
        <v>316</v>
      </c>
      <c r="O56" s="2">
        <v>3.4</v>
      </c>
      <c r="P56" s="2">
        <v>3.95</v>
      </c>
      <c r="Q56" s="2"/>
      <c r="S56" s="62"/>
      <c r="T56" s="22"/>
    </row>
    <row r="57" spans="7:20" ht="15" hidden="1" customHeight="1" x14ac:dyDescent="0.2">
      <c r="L57" s="2" t="s">
        <v>89</v>
      </c>
      <c r="M57" s="2" t="s">
        <v>93</v>
      </c>
      <c r="N57" s="2" t="s">
        <v>317</v>
      </c>
      <c r="O57" s="2">
        <v>4.8899999999999997</v>
      </c>
      <c r="P57" s="2">
        <v>3.95</v>
      </c>
      <c r="Q57" s="2"/>
    </row>
    <row r="58" spans="7:20" ht="15" hidden="1" customHeight="1" x14ac:dyDescent="0.2">
      <c r="L58" s="2" t="s">
        <v>89</v>
      </c>
      <c r="M58" s="2" t="s">
        <v>94</v>
      </c>
      <c r="N58" s="2" t="s">
        <v>318</v>
      </c>
      <c r="O58" s="2">
        <v>6.64</v>
      </c>
      <c r="P58" s="2">
        <v>3.95</v>
      </c>
      <c r="Q58" s="2"/>
      <c r="S58" s="62"/>
    </row>
    <row r="59" spans="7:20" ht="15" hidden="1" customHeight="1" x14ac:dyDescent="0.2">
      <c r="G59" s="24"/>
      <c r="H59" s="24"/>
      <c r="I59" s="24"/>
      <c r="J59" s="24"/>
      <c r="K59" s="24"/>
      <c r="L59" s="2" t="s">
        <v>95</v>
      </c>
      <c r="M59" s="2" t="s">
        <v>96</v>
      </c>
      <c r="N59" s="2" t="s">
        <v>319</v>
      </c>
      <c r="O59" s="2">
        <v>11.15</v>
      </c>
      <c r="P59" s="2">
        <v>5.8</v>
      </c>
      <c r="Q59" s="2"/>
    </row>
    <row r="60" spans="7:20" ht="15" hidden="1" customHeight="1" x14ac:dyDescent="0.2">
      <c r="L60" s="2" t="s">
        <v>97</v>
      </c>
      <c r="M60" s="2" t="s">
        <v>98</v>
      </c>
      <c r="N60" s="2" t="s">
        <v>320</v>
      </c>
      <c r="O60" s="2">
        <v>7.98</v>
      </c>
      <c r="P60" s="2">
        <v>7.98</v>
      </c>
      <c r="Q60" s="2"/>
    </row>
    <row r="61" spans="7:20" ht="15" hidden="1" customHeight="1" x14ac:dyDescent="0.2">
      <c r="L61" s="2" t="s">
        <v>99</v>
      </c>
      <c r="M61" s="2" t="s">
        <v>100</v>
      </c>
      <c r="N61" s="2" t="s">
        <v>321</v>
      </c>
      <c r="O61" s="2"/>
      <c r="P61" s="2"/>
      <c r="Q61" s="2">
        <v>18.5</v>
      </c>
    </row>
    <row r="62" spans="7:20" ht="15" hidden="1" customHeight="1" x14ac:dyDescent="0.2">
      <c r="L62" s="2" t="s">
        <v>99</v>
      </c>
      <c r="M62" s="2" t="s">
        <v>101</v>
      </c>
      <c r="N62" s="2" t="s">
        <v>322</v>
      </c>
      <c r="O62" s="2">
        <v>8.8000000000000007</v>
      </c>
      <c r="P62" s="2">
        <v>8.8000000000000007</v>
      </c>
      <c r="Q62" s="2"/>
    </row>
    <row r="63" spans="7:20" ht="15" hidden="1" customHeight="1" x14ac:dyDescent="0.2">
      <c r="L63" s="2" t="s">
        <v>102</v>
      </c>
      <c r="M63" s="2" t="s">
        <v>103</v>
      </c>
      <c r="N63" s="2" t="s">
        <v>323</v>
      </c>
      <c r="O63" s="2"/>
      <c r="P63" s="2"/>
      <c r="Q63" s="2">
        <v>18.5</v>
      </c>
    </row>
    <row r="64" spans="7:20" ht="15" hidden="1" customHeight="1" x14ac:dyDescent="0.2">
      <c r="L64" s="2" t="s">
        <v>102</v>
      </c>
      <c r="M64" s="2" t="s">
        <v>104</v>
      </c>
      <c r="N64" s="2" t="s">
        <v>324</v>
      </c>
      <c r="O64" s="2">
        <v>11.15</v>
      </c>
      <c r="P64" s="2">
        <v>5.65</v>
      </c>
      <c r="Q64" s="2"/>
    </row>
    <row r="65" spans="7:18" ht="15" hidden="1" customHeight="1" x14ac:dyDescent="0.2">
      <c r="L65" s="2" t="s">
        <v>102</v>
      </c>
      <c r="M65" s="2" t="s">
        <v>105</v>
      </c>
      <c r="N65" s="2" t="s">
        <v>325</v>
      </c>
      <c r="O65" s="2"/>
      <c r="P65" s="2"/>
      <c r="Q65" s="2">
        <v>13.41</v>
      </c>
    </row>
    <row r="66" spans="7:18" ht="15" hidden="1" customHeight="1" x14ac:dyDescent="0.2">
      <c r="L66" s="2" t="s">
        <v>106</v>
      </c>
      <c r="M66" s="2" t="s">
        <v>107</v>
      </c>
      <c r="N66" s="2" t="s">
        <v>326</v>
      </c>
      <c r="O66" s="2">
        <v>7.6</v>
      </c>
      <c r="P66" s="2">
        <v>5.04</v>
      </c>
      <c r="Q66" s="2"/>
    </row>
    <row r="67" spans="7:18" ht="15" hidden="1" customHeight="1" x14ac:dyDescent="0.2">
      <c r="L67" s="2" t="s">
        <v>106</v>
      </c>
      <c r="M67" s="2" t="s">
        <v>108</v>
      </c>
      <c r="N67" s="2" t="s">
        <v>327</v>
      </c>
      <c r="O67" s="2">
        <v>8.58</v>
      </c>
      <c r="P67" s="2">
        <v>8.58</v>
      </c>
      <c r="Q67" s="2"/>
    </row>
    <row r="68" spans="7:18" ht="15" hidden="1" customHeight="1" x14ac:dyDescent="0.2">
      <c r="L68" s="2" t="s">
        <v>106</v>
      </c>
      <c r="M68" s="2" t="s">
        <v>109</v>
      </c>
      <c r="N68" s="2" t="s">
        <v>328</v>
      </c>
      <c r="O68" s="2"/>
      <c r="P68" s="2"/>
      <c r="Q68" s="2"/>
    </row>
    <row r="69" spans="7:18" ht="15" hidden="1" customHeight="1" x14ac:dyDescent="0.2">
      <c r="L69" s="2" t="s">
        <v>106</v>
      </c>
      <c r="M69" s="2" t="s">
        <v>110</v>
      </c>
      <c r="N69" s="2" t="s">
        <v>329</v>
      </c>
      <c r="O69" s="2">
        <v>7.6</v>
      </c>
      <c r="P69" s="2">
        <v>5.04</v>
      </c>
      <c r="Q69" s="2"/>
    </row>
    <row r="70" spans="7:18" ht="15" hidden="1" customHeight="1" x14ac:dyDescent="0.2">
      <c r="L70" s="2" t="s">
        <v>111</v>
      </c>
      <c r="M70" s="2" t="s">
        <v>112</v>
      </c>
      <c r="N70" s="2" t="s">
        <v>330</v>
      </c>
      <c r="O70" s="2">
        <v>8.2200000000000006</v>
      </c>
      <c r="P70" s="2">
        <v>8.2200000000000006</v>
      </c>
      <c r="Q70" s="2"/>
    </row>
    <row r="71" spans="7:18" ht="15" hidden="1" customHeight="1" x14ac:dyDescent="0.2">
      <c r="G71" s="25"/>
      <c r="H71" s="25"/>
      <c r="I71" s="25"/>
      <c r="J71" s="25"/>
      <c r="K71" s="25"/>
      <c r="L71" s="2" t="s">
        <v>111</v>
      </c>
      <c r="M71" s="2" t="s">
        <v>113</v>
      </c>
      <c r="N71" s="2" t="s">
        <v>331</v>
      </c>
      <c r="O71" s="2">
        <v>11.78</v>
      </c>
      <c r="P71" s="2">
        <v>11.78</v>
      </c>
      <c r="Q71" s="2"/>
    </row>
    <row r="72" spans="7:18" ht="15" hidden="1" customHeight="1" x14ac:dyDescent="0.2">
      <c r="L72" s="2" t="s">
        <v>111</v>
      </c>
      <c r="M72" s="2" t="s">
        <v>114</v>
      </c>
      <c r="N72" s="2" t="s">
        <v>332</v>
      </c>
      <c r="O72" s="2">
        <v>11.94</v>
      </c>
      <c r="P72" s="2">
        <v>11.94</v>
      </c>
      <c r="Q72" s="2"/>
    </row>
    <row r="73" spans="7:18" ht="15" hidden="1" customHeight="1" x14ac:dyDescent="0.2">
      <c r="L73" s="2" t="s">
        <v>111</v>
      </c>
      <c r="M73" s="2" t="s">
        <v>115</v>
      </c>
      <c r="N73" s="2" t="s">
        <v>333</v>
      </c>
      <c r="O73" s="2">
        <v>10.36</v>
      </c>
      <c r="P73" s="2">
        <v>5.1100000000000003</v>
      </c>
      <c r="Q73" s="2"/>
    </row>
    <row r="74" spans="7:18" ht="15" hidden="1" customHeight="1" x14ac:dyDescent="0.2">
      <c r="L74" s="2" t="s">
        <v>111</v>
      </c>
      <c r="M74" s="2" t="s">
        <v>116</v>
      </c>
      <c r="N74" s="2" t="s">
        <v>334</v>
      </c>
      <c r="O74" s="2">
        <v>10.62</v>
      </c>
      <c r="P74" s="2">
        <v>10.62</v>
      </c>
      <c r="Q74" s="2"/>
      <c r="R74" s="3"/>
    </row>
    <row r="75" spans="7:18" ht="15" hidden="1" customHeight="1" x14ac:dyDescent="0.2">
      <c r="L75" s="2" t="s">
        <v>111</v>
      </c>
      <c r="M75" s="2" t="s">
        <v>117</v>
      </c>
      <c r="N75" s="2" t="s">
        <v>335</v>
      </c>
      <c r="O75" s="2">
        <v>8.2799999999999994</v>
      </c>
      <c r="P75" s="2">
        <v>8.2799999999999994</v>
      </c>
      <c r="Q75" s="2"/>
    </row>
    <row r="76" spans="7:18" ht="15" hidden="1" customHeight="1" x14ac:dyDescent="0.2">
      <c r="L76" s="2" t="s">
        <v>111</v>
      </c>
      <c r="M76" s="2" t="s">
        <v>118</v>
      </c>
      <c r="N76" s="2" t="s">
        <v>336</v>
      </c>
      <c r="O76" s="2">
        <v>11.57</v>
      </c>
      <c r="P76" s="2">
        <v>11.57</v>
      </c>
      <c r="Q76" s="2"/>
    </row>
    <row r="77" spans="7:18" ht="15" hidden="1" customHeight="1" x14ac:dyDescent="0.2">
      <c r="L77" s="2" t="s">
        <v>111</v>
      </c>
      <c r="M77" s="2" t="s">
        <v>119</v>
      </c>
      <c r="N77" s="2" t="s">
        <v>337</v>
      </c>
      <c r="O77" s="2">
        <v>2.12</v>
      </c>
      <c r="P77" s="2">
        <v>2.12</v>
      </c>
      <c r="Q77" s="2"/>
    </row>
    <row r="78" spans="7:18" ht="15" hidden="1" customHeight="1" x14ac:dyDescent="0.2">
      <c r="L78" s="2" t="s">
        <v>111</v>
      </c>
      <c r="M78" s="2" t="s">
        <v>120</v>
      </c>
      <c r="N78" s="2" t="s">
        <v>338</v>
      </c>
      <c r="O78" s="2">
        <v>10.36</v>
      </c>
      <c r="P78" s="2">
        <v>5.1100000000000003</v>
      </c>
      <c r="Q78" s="2"/>
    </row>
    <row r="79" spans="7:18" ht="15" hidden="1" customHeight="1" x14ac:dyDescent="0.2">
      <c r="L79" s="2" t="s">
        <v>111</v>
      </c>
      <c r="M79" s="2" t="s">
        <v>121</v>
      </c>
      <c r="N79" s="2" t="s">
        <v>339</v>
      </c>
      <c r="O79" s="2">
        <v>9.2100000000000009</v>
      </c>
      <c r="P79" s="2">
        <v>9.2100000000000009</v>
      </c>
      <c r="Q79" s="2"/>
    </row>
    <row r="80" spans="7:18" ht="15" hidden="1" customHeight="1" x14ac:dyDescent="0.2">
      <c r="L80" s="2" t="s">
        <v>111</v>
      </c>
      <c r="M80" s="2" t="s">
        <v>122</v>
      </c>
      <c r="N80" s="2" t="s">
        <v>340</v>
      </c>
      <c r="O80" s="2">
        <v>10.36</v>
      </c>
      <c r="P80" s="2">
        <v>5.1100000000000003</v>
      </c>
      <c r="Q80" s="2"/>
    </row>
    <row r="81" spans="12:17" ht="15" hidden="1" customHeight="1" x14ac:dyDescent="0.2">
      <c r="L81" s="2" t="s">
        <v>111</v>
      </c>
      <c r="M81" s="2" t="s">
        <v>123</v>
      </c>
      <c r="N81" s="2" t="s">
        <v>341</v>
      </c>
      <c r="O81" s="2"/>
      <c r="P81" s="2"/>
      <c r="Q81" s="2">
        <v>12.91</v>
      </c>
    </row>
    <row r="82" spans="12:17" ht="15" hidden="1" customHeight="1" x14ac:dyDescent="0.2">
      <c r="L82" s="2" t="s">
        <v>111</v>
      </c>
      <c r="M82" s="2" t="s">
        <v>124</v>
      </c>
      <c r="N82" s="2" t="s">
        <v>342</v>
      </c>
      <c r="O82" s="2">
        <v>12.81</v>
      </c>
      <c r="P82" s="2">
        <v>12.81</v>
      </c>
      <c r="Q82" s="2"/>
    </row>
    <row r="83" spans="12:17" ht="15" hidden="1" customHeight="1" x14ac:dyDescent="0.2">
      <c r="L83" s="2" t="s">
        <v>111</v>
      </c>
      <c r="M83" s="2" t="s">
        <v>125</v>
      </c>
      <c r="N83" s="2" t="s">
        <v>343</v>
      </c>
      <c r="O83" s="2">
        <v>7.75</v>
      </c>
      <c r="P83" s="2">
        <v>7.75</v>
      </c>
      <c r="Q83" s="2"/>
    </row>
    <row r="84" spans="12:17" ht="15" hidden="1" customHeight="1" x14ac:dyDescent="0.2">
      <c r="L84" s="2" t="s">
        <v>111</v>
      </c>
      <c r="M84" s="2" t="s">
        <v>126</v>
      </c>
      <c r="N84" s="2" t="s">
        <v>344</v>
      </c>
      <c r="O84" s="2">
        <v>6.6</v>
      </c>
      <c r="P84" s="2">
        <v>6.6</v>
      </c>
      <c r="Q84" s="2"/>
    </row>
    <row r="85" spans="12:17" ht="15" hidden="1" customHeight="1" x14ac:dyDescent="0.2">
      <c r="L85" s="2" t="s">
        <v>111</v>
      </c>
      <c r="M85" s="2" t="s">
        <v>127</v>
      </c>
      <c r="N85" s="2" t="s">
        <v>345</v>
      </c>
      <c r="O85" s="2">
        <v>9.91</v>
      </c>
      <c r="P85" s="2">
        <v>9.91</v>
      </c>
      <c r="Q85" s="2"/>
    </row>
    <row r="86" spans="12:17" ht="15" hidden="1" customHeight="1" x14ac:dyDescent="0.2">
      <c r="L86" s="2" t="s">
        <v>111</v>
      </c>
      <c r="M86" s="2" t="s">
        <v>128</v>
      </c>
      <c r="N86" s="2" t="s">
        <v>346</v>
      </c>
      <c r="O86" s="2">
        <v>7.13</v>
      </c>
      <c r="P86" s="2">
        <v>7.13</v>
      </c>
      <c r="Q86" s="2"/>
    </row>
    <row r="87" spans="12:17" ht="15" hidden="1" customHeight="1" x14ac:dyDescent="0.2">
      <c r="L87" s="2" t="s">
        <v>129</v>
      </c>
      <c r="M87" s="2" t="s">
        <v>130</v>
      </c>
      <c r="N87" s="2" t="s">
        <v>347</v>
      </c>
      <c r="O87" s="2">
        <v>6.61</v>
      </c>
      <c r="P87" s="2">
        <v>6.61</v>
      </c>
      <c r="Q87" s="2"/>
    </row>
    <row r="88" spans="12:17" ht="15" hidden="1" customHeight="1" x14ac:dyDescent="0.2">
      <c r="L88" s="2" t="s">
        <v>131</v>
      </c>
      <c r="M88" s="2" t="s">
        <v>132</v>
      </c>
      <c r="N88" s="2" t="s">
        <v>348</v>
      </c>
      <c r="O88" s="2"/>
      <c r="P88" s="2"/>
      <c r="Q88" s="2">
        <v>12.47</v>
      </c>
    </row>
    <row r="89" spans="12:17" ht="15" hidden="1" customHeight="1" x14ac:dyDescent="0.2">
      <c r="L89" s="2" t="s">
        <v>131</v>
      </c>
      <c r="M89" s="2" t="s">
        <v>133</v>
      </c>
      <c r="N89" s="2" t="s">
        <v>349</v>
      </c>
      <c r="O89" s="2"/>
      <c r="P89" s="2"/>
      <c r="Q89" s="2">
        <v>12.9</v>
      </c>
    </row>
    <row r="90" spans="12:17" ht="15" hidden="1" customHeight="1" x14ac:dyDescent="0.2">
      <c r="L90" s="2" t="s">
        <v>131</v>
      </c>
      <c r="M90" s="2" t="s">
        <v>134</v>
      </c>
      <c r="N90" s="2" t="s">
        <v>350</v>
      </c>
      <c r="O90" s="2"/>
      <c r="P90" s="2"/>
      <c r="Q90" s="2">
        <v>9.06</v>
      </c>
    </row>
    <row r="91" spans="12:17" ht="15" hidden="1" customHeight="1" x14ac:dyDescent="0.2">
      <c r="L91" s="2" t="s">
        <v>131</v>
      </c>
      <c r="M91" s="2" t="s">
        <v>135</v>
      </c>
      <c r="N91" s="2" t="s">
        <v>351</v>
      </c>
      <c r="O91" s="2"/>
      <c r="P91" s="2"/>
      <c r="Q91" s="2">
        <v>11.95</v>
      </c>
    </row>
    <row r="92" spans="12:17" ht="15" hidden="1" customHeight="1" x14ac:dyDescent="0.2">
      <c r="L92" s="2" t="s">
        <v>131</v>
      </c>
      <c r="M92" s="2" t="s">
        <v>136</v>
      </c>
      <c r="N92" s="2" t="s">
        <v>352</v>
      </c>
      <c r="O92" s="2"/>
      <c r="P92" s="2"/>
      <c r="Q92" s="2">
        <v>11.95</v>
      </c>
    </row>
    <row r="93" spans="12:17" ht="15" hidden="1" customHeight="1" x14ac:dyDescent="0.2">
      <c r="L93" s="2" t="s">
        <v>137</v>
      </c>
      <c r="M93" s="2" t="s">
        <v>138</v>
      </c>
      <c r="N93" s="2" t="s">
        <v>353</v>
      </c>
      <c r="O93" s="2">
        <v>7.6</v>
      </c>
      <c r="P93" s="2">
        <v>3</v>
      </c>
      <c r="Q93" s="2"/>
    </row>
    <row r="94" spans="12:17" ht="15" hidden="1" customHeight="1" x14ac:dyDescent="0.2">
      <c r="L94" s="2" t="s">
        <v>137</v>
      </c>
      <c r="M94" s="2" t="s">
        <v>139</v>
      </c>
      <c r="N94" s="2" t="s">
        <v>354</v>
      </c>
      <c r="O94" s="2">
        <v>10.64</v>
      </c>
      <c r="P94" s="2">
        <v>3</v>
      </c>
      <c r="Q94" s="2"/>
    </row>
    <row r="95" spans="12:17" ht="15" hidden="1" customHeight="1" x14ac:dyDescent="0.2">
      <c r="L95" s="2" t="s">
        <v>137</v>
      </c>
      <c r="M95" s="2" t="s">
        <v>140</v>
      </c>
      <c r="N95" s="2" t="s">
        <v>355</v>
      </c>
      <c r="O95" s="2">
        <v>7.13</v>
      </c>
      <c r="P95" s="2">
        <v>3</v>
      </c>
      <c r="Q95" s="2"/>
    </row>
    <row r="96" spans="12:17" ht="15" hidden="1" customHeight="1" x14ac:dyDescent="0.2">
      <c r="L96" s="2" t="s">
        <v>137</v>
      </c>
      <c r="M96" s="2" t="s">
        <v>141</v>
      </c>
      <c r="N96" s="2" t="s">
        <v>356</v>
      </c>
      <c r="O96" s="2">
        <v>7.51</v>
      </c>
      <c r="P96" s="2">
        <v>3</v>
      </c>
      <c r="Q96" s="2"/>
    </row>
    <row r="97" spans="12:17" ht="15" hidden="1" customHeight="1" x14ac:dyDescent="0.2">
      <c r="L97" s="2" t="s">
        <v>137</v>
      </c>
      <c r="M97" s="2" t="s">
        <v>142</v>
      </c>
      <c r="N97" s="2" t="s">
        <v>357</v>
      </c>
      <c r="O97" s="2">
        <v>7.57</v>
      </c>
      <c r="P97" s="2">
        <v>3</v>
      </c>
      <c r="Q97" s="2"/>
    </row>
    <row r="98" spans="12:17" ht="15" hidden="1" customHeight="1" x14ac:dyDescent="0.2">
      <c r="L98" s="2" t="s">
        <v>137</v>
      </c>
      <c r="M98" s="2" t="s">
        <v>143</v>
      </c>
      <c r="N98" s="2" t="s">
        <v>358</v>
      </c>
      <c r="O98" s="2">
        <v>9.17</v>
      </c>
      <c r="P98" s="2">
        <v>3</v>
      </c>
      <c r="Q98" s="2"/>
    </row>
    <row r="99" spans="12:17" ht="15" hidden="1" customHeight="1" x14ac:dyDescent="0.2">
      <c r="L99" s="2" t="s">
        <v>137</v>
      </c>
      <c r="M99" s="2" t="s">
        <v>144</v>
      </c>
      <c r="N99" s="2" t="s">
        <v>359</v>
      </c>
      <c r="O99" s="2">
        <v>9.25</v>
      </c>
      <c r="P99" s="2">
        <v>3</v>
      </c>
      <c r="Q99" s="2"/>
    </row>
    <row r="100" spans="12:17" ht="15" hidden="1" customHeight="1" x14ac:dyDescent="0.2">
      <c r="L100" s="2" t="s">
        <v>137</v>
      </c>
      <c r="M100" s="2" t="s">
        <v>145</v>
      </c>
      <c r="N100" s="2" t="s">
        <v>360</v>
      </c>
      <c r="O100" s="2"/>
      <c r="P100" s="2">
        <v>3</v>
      </c>
      <c r="Q100" s="2"/>
    </row>
    <row r="101" spans="12:17" ht="15" hidden="1" customHeight="1" x14ac:dyDescent="0.2">
      <c r="L101" s="2" t="s">
        <v>137</v>
      </c>
      <c r="M101" s="2" t="s">
        <v>146</v>
      </c>
      <c r="N101" s="2" t="s">
        <v>361</v>
      </c>
      <c r="O101" s="2">
        <v>6.67</v>
      </c>
      <c r="P101" s="2">
        <v>3</v>
      </c>
      <c r="Q101" s="2"/>
    </row>
    <row r="102" spans="12:17" ht="15" hidden="1" customHeight="1" x14ac:dyDescent="0.2">
      <c r="L102" s="2" t="s">
        <v>137</v>
      </c>
      <c r="M102" s="2" t="s">
        <v>147</v>
      </c>
      <c r="N102" s="2" t="s">
        <v>362</v>
      </c>
      <c r="O102" s="2">
        <v>6.67</v>
      </c>
      <c r="P102" s="2">
        <v>3</v>
      </c>
      <c r="Q102" s="2"/>
    </row>
    <row r="103" spans="12:17" ht="15" hidden="1" customHeight="1" x14ac:dyDescent="0.2">
      <c r="L103" s="2" t="s">
        <v>137</v>
      </c>
      <c r="M103" s="2" t="s">
        <v>148</v>
      </c>
      <c r="N103" s="2" t="s">
        <v>363</v>
      </c>
      <c r="O103" s="2">
        <v>5</v>
      </c>
      <c r="P103" s="2">
        <v>3</v>
      </c>
      <c r="Q103" s="2"/>
    </row>
    <row r="104" spans="12:17" ht="15" hidden="1" customHeight="1" x14ac:dyDescent="0.2">
      <c r="L104" s="2" t="s">
        <v>149</v>
      </c>
      <c r="M104" s="2" t="s">
        <v>150</v>
      </c>
      <c r="N104" s="2" t="s">
        <v>364</v>
      </c>
      <c r="O104" s="2">
        <v>8.06</v>
      </c>
      <c r="P104" s="2">
        <v>3.84</v>
      </c>
      <c r="Q104" s="2"/>
    </row>
    <row r="105" spans="12:17" ht="15" hidden="1" customHeight="1" x14ac:dyDescent="0.2">
      <c r="L105" s="2" t="s">
        <v>149</v>
      </c>
      <c r="M105" s="2" t="s">
        <v>151</v>
      </c>
      <c r="N105" s="2" t="s">
        <v>365</v>
      </c>
      <c r="O105" s="2">
        <v>11.25</v>
      </c>
      <c r="P105" s="2">
        <v>3.84</v>
      </c>
      <c r="Q105" s="2"/>
    </row>
    <row r="106" spans="12:17" ht="15" hidden="1" customHeight="1" x14ac:dyDescent="0.2">
      <c r="L106" s="2" t="s">
        <v>149</v>
      </c>
      <c r="M106" s="2" t="s">
        <v>152</v>
      </c>
      <c r="N106" s="2" t="s">
        <v>366</v>
      </c>
      <c r="O106" s="2">
        <v>11.25</v>
      </c>
      <c r="P106" s="2">
        <v>3.84</v>
      </c>
      <c r="Q106" s="2"/>
    </row>
    <row r="107" spans="12:17" ht="15" hidden="1" customHeight="1" x14ac:dyDescent="0.2">
      <c r="L107" s="2" t="s">
        <v>153</v>
      </c>
      <c r="M107" s="2" t="s">
        <v>154</v>
      </c>
      <c r="N107" s="2" t="s">
        <v>367</v>
      </c>
      <c r="O107" s="2"/>
      <c r="P107" s="2"/>
      <c r="Q107" s="2">
        <v>12.45</v>
      </c>
    </row>
    <row r="108" spans="12:17" ht="15" hidden="1" customHeight="1" x14ac:dyDescent="0.2">
      <c r="L108" s="2" t="s">
        <v>155</v>
      </c>
      <c r="M108" s="2" t="s">
        <v>156</v>
      </c>
      <c r="N108" s="2" t="s">
        <v>368</v>
      </c>
      <c r="O108" s="2"/>
      <c r="P108" s="2"/>
      <c r="Q108" s="2">
        <v>15.8</v>
      </c>
    </row>
    <row r="109" spans="12:17" ht="15" hidden="1" customHeight="1" x14ac:dyDescent="0.2">
      <c r="L109" s="2" t="s">
        <v>157</v>
      </c>
      <c r="M109" s="2" t="s">
        <v>158</v>
      </c>
      <c r="N109" s="2" t="s">
        <v>369</v>
      </c>
      <c r="O109" s="2"/>
      <c r="P109" s="2"/>
      <c r="Q109" s="2">
        <v>11</v>
      </c>
    </row>
    <row r="110" spans="12:17" ht="15" hidden="1" customHeight="1" x14ac:dyDescent="0.2">
      <c r="L110" s="2" t="s">
        <v>157</v>
      </c>
      <c r="M110" s="2" t="s">
        <v>159</v>
      </c>
      <c r="N110" s="2" t="s">
        <v>370</v>
      </c>
      <c r="O110" s="2">
        <v>11.58</v>
      </c>
      <c r="P110" s="2">
        <v>11.58</v>
      </c>
      <c r="Q110" s="2"/>
    </row>
    <row r="111" spans="12:17" ht="15" hidden="1" customHeight="1" x14ac:dyDescent="0.2">
      <c r="L111" s="2" t="s">
        <v>157</v>
      </c>
      <c r="M111" s="2" t="s">
        <v>160</v>
      </c>
      <c r="N111" s="2" t="s">
        <v>371</v>
      </c>
      <c r="O111" s="2">
        <v>7.74</v>
      </c>
      <c r="P111" s="2"/>
      <c r="Q111" s="2"/>
    </row>
    <row r="112" spans="12:17" ht="15" hidden="1" customHeight="1" x14ac:dyDescent="0.2">
      <c r="L112" s="2" t="s">
        <v>157</v>
      </c>
      <c r="M112" s="2" t="s">
        <v>161</v>
      </c>
      <c r="N112" s="2" t="s">
        <v>372</v>
      </c>
      <c r="O112" s="2"/>
      <c r="P112" s="2"/>
      <c r="Q112" s="2">
        <v>6.5</v>
      </c>
    </row>
    <row r="113" spans="12:17" ht="15" hidden="1" customHeight="1" x14ac:dyDescent="0.2">
      <c r="L113" s="2" t="s">
        <v>157</v>
      </c>
      <c r="M113" s="2" t="s">
        <v>162</v>
      </c>
      <c r="N113" s="2" t="s">
        <v>373</v>
      </c>
      <c r="O113" s="2"/>
      <c r="P113" s="2">
        <v>5.04</v>
      </c>
      <c r="Q113" s="2"/>
    </row>
    <row r="114" spans="12:17" ht="15" hidden="1" customHeight="1" x14ac:dyDescent="0.2">
      <c r="L114" s="2" t="s">
        <v>163</v>
      </c>
      <c r="M114" s="2" t="s">
        <v>164</v>
      </c>
      <c r="N114" s="2" t="s">
        <v>374</v>
      </c>
      <c r="O114" s="2">
        <v>6.7</v>
      </c>
      <c r="P114" s="2">
        <v>6.7</v>
      </c>
      <c r="Q114" s="2"/>
    </row>
    <row r="115" spans="12:17" ht="15" hidden="1" customHeight="1" x14ac:dyDescent="0.2">
      <c r="L115" s="2" t="s">
        <v>165</v>
      </c>
      <c r="M115" s="2" t="s">
        <v>166</v>
      </c>
      <c r="N115" s="2" t="s">
        <v>375</v>
      </c>
      <c r="O115" s="2">
        <v>7.61</v>
      </c>
      <c r="P115" s="2">
        <v>7.61</v>
      </c>
      <c r="Q115" s="2"/>
    </row>
    <row r="116" spans="12:17" ht="15" hidden="1" customHeight="1" x14ac:dyDescent="0.2">
      <c r="L116" s="2" t="s">
        <v>167</v>
      </c>
      <c r="M116" s="2" t="s">
        <v>168</v>
      </c>
      <c r="N116" s="2" t="s">
        <v>376</v>
      </c>
      <c r="O116" s="2">
        <v>12.07</v>
      </c>
      <c r="P116" s="2"/>
      <c r="Q116" s="2"/>
    </row>
    <row r="117" spans="12:17" ht="15" hidden="1" customHeight="1" x14ac:dyDescent="0.2">
      <c r="L117" s="2" t="s">
        <v>167</v>
      </c>
      <c r="M117" s="2" t="s">
        <v>169</v>
      </c>
      <c r="N117" s="2" t="s">
        <v>377</v>
      </c>
      <c r="O117" s="2">
        <v>7.1</v>
      </c>
      <c r="P117" s="2">
        <v>7.1</v>
      </c>
      <c r="Q117" s="2"/>
    </row>
    <row r="118" spans="12:17" ht="15" hidden="1" customHeight="1" x14ac:dyDescent="0.2">
      <c r="L118" s="2" t="s">
        <v>167</v>
      </c>
      <c r="M118" s="2" t="s">
        <v>167</v>
      </c>
      <c r="N118" s="2" t="s">
        <v>378</v>
      </c>
      <c r="O118" s="2">
        <v>5.0599999999999996</v>
      </c>
      <c r="P118" s="2">
        <v>5.0599999999999996</v>
      </c>
      <c r="Q118" s="2"/>
    </row>
    <row r="119" spans="12:17" ht="15" hidden="1" customHeight="1" x14ac:dyDescent="0.2">
      <c r="L119" s="2" t="s">
        <v>170</v>
      </c>
      <c r="M119" s="2" t="s">
        <v>170</v>
      </c>
      <c r="N119" s="2" t="s">
        <v>379</v>
      </c>
      <c r="O119" s="2">
        <v>5.98</v>
      </c>
      <c r="P119" s="2">
        <v>5.98</v>
      </c>
      <c r="Q119" s="2"/>
    </row>
    <row r="120" spans="12:17" ht="15" hidden="1" customHeight="1" x14ac:dyDescent="0.2">
      <c r="L120" s="2" t="s">
        <v>171</v>
      </c>
      <c r="M120" s="2" t="s">
        <v>172</v>
      </c>
      <c r="N120" s="2" t="s">
        <v>380</v>
      </c>
      <c r="O120" s="2">
        <v>8.24</v>
      </c>
      <c r="P120" s="2">
        <v>8.24</v>
      </c>
      <c r="Q120" s="2"/>
    </row>
    <row r="121" spans="12:17" ht="15" hidden="1" customHeight="1" x14ac:dyDescent="0.2">
      <c r="L121" s="2" t="s">
        <v>171</v>
      </c>
      <c r="M121" s="2" t="s">
        <v>173</v>
      </c>
      <c r="N121" s="2" t="s">
        <v>381</v>
      </c>
      <c r="O121" s="2">
        <v>9.4499999999999993</v>
      </c>
      <c r="P121" s="2">
        <v>9.4499999999999993</v>
      </c>
      <c r="Q121" s="2"/>
    </row>
    <row r="122" spans="12:17" ht="15" hidden="1" customHeight="1" x14ac:dyDescent="0.2">
      <c r="L122" s="2" t="s">
        <v>171</v>
      </c>
      <c r="M122" s="2" t="s">
        <v>174</v>
      </c>
      <c r="N122" s="2" t="s">
        <v>382</v>
      </c>
      <c r="O122" s="2">
        <v>9.01</v>
      </c>
      <c r="P122" s="2">
        <v>9.01</v>
      </c>
      <c r="Q122" s="2"/>
    </row>
    <row r="123" spans="12:17" ht="15" hidden="1" customHeight="1" x14ac:dyDescent="0.2">
      <c r="L123" s="2" t="s">
        <v>43</v>
      </c>
      <c r="M123" s="2" t="s">
        <v>175</v>
      </c>
      <c r="N123" s="2" t="s">
        <v>383</v>
      </c>
      <c r="O123" s="2"/>
      <c r="P123" s="2"/>
      <c r="Q123" s="2">
        <v>8.0399999999999991</v>
      </c>
    </row>
    <row r="124" spans="12:17" ht="15" hidden="1" customHeight="1" x14ac:dyDescent="0.2">
      <c r="L124" s="2" t="s">
        <v>43</v>
      </c>
      <c r="M124" s="2" t="s">
        <v>176</v>
      </c>
      <c r="N124" s="2" t="s">
        <v>384</v>
      </c>
      <c r="O124" s="2"/>
      <c r="P124" s="2"/>
      <c r="Q124" s="2">
        <v>8.75</v>
      </c>
    </row>
    <row r="125" spans="12:17" ht="15" hidden="1" customHeight="1" x14ac:dyDescent="0.2">
      <c r="L125" s="2" t="s">
        <v>43</v>
      </c>
      <c r="M125" s="2" t="s">
        <v>177</v>
      </c>
      <c r="N125" s="2" t="s">
        <v>385</v>
      </c>
      <c r="O125" s="2"/>
      <c r="P125" s="2"/>
      <c r="Q125" s="2">
        <v>4.66</v>
      </c>
    </row>
    <row r="126" spans="12:17" ht="15" hidden="1" customHeight="1" x14ac:dyDescent="0.2">
      <c r="L126" s="2" t="s">
        <v>43</v>
      </c>
      <c r="M126" s="2" t="s">
        <v>178</v>
      </c>
      <c r="N126" s="2" t="s">
        <v>386</v>
      </c>
      <c r="O126" s="2"/>
      <c r="P126" s="2"/>
      <c r="Q126" s="2">
        <v>15.78</v>
      </c>
    </row>
    <row r="127" spans="12:17" ht="15" hidden="1" customHeight="1" x14ac:dyDescent="0.2">
      <c r="L127" s="2" t="s">
        <v>43</v>
      </c>
      <c r="M127" s="2" t="s">
        <v>179</v>
      </c>
      <c r="N127" s="2" t="s">
        <v>387</v>
      </c>
      <c r="O127" s="2"/>
      <c r="P127" s="2"/>
      <c r="Q127" s="2">
        <v>9.4600000000000009</v>
      </c>
    </row>
    <row r="128" spans="12:17" ht="15" hidden="1" customHeight="1" x14ac:dyDescent="0.2">
      <c r="L128" s="2" t="s">
        <v>43</v>
      </c>
      <c r="M128" s="2" t="s">
        <v>180</v>
      </c>
      <c r="N128" s="2" t="s">
        <v>388</v>
      </c>
      <c r="O128" s="2"/>
      <c r="P128" s="2"/>
      <c r="Q128" s="2">
        <v>4.7699999999999996</v>
      </c>
    </row>
    <row r="129" spans="12:17" ht="15" hidden="1" customHeight="1" x14ac:dyDescent="0.2">
      <c r="L129" s="2" t="s">
        <v>43</v>
      </c>
      <c r="M129" s="2" t="s">
        <v>181</v>
      </c>
      <c r="N129" s="2" t="s">
        <v>389</v>
      </c>
      <c r="O129" s="2"/>
      <c r="P129" s="2"/>
      <c r="Q129" s="2">
        <v>11.22</v>
      </c>
    </row>
    <row r="130" spans="12:17" ht="15" hidden="1" customHeight="1" x14ac:dyDescent="0.2">
      <c r="L130" s="2" t="s">
        <v>43</v>
      </c>
      <c r="M130" s="2" t="s">
        <v>182</v>
      </c>
      <c r="N130" s="2" t="s">
        <v>390</v>
      </c>
      <c r="O130" s="2"/>
      <c r="P130" s="2"/>
      <c r="Q130" s="2">
        <v>10.36</v>
      </c>
    </row>
    <row r="131" spans="12:17" ht="15" hidden="1" customHeight="1" x14ac:dyDescent="0.2">
      <c r="L131" s="2" t="s">
        <v>43</v>
      </c>
      <c r="M131" s="2" t="s">
        <v>183</v>
      </c>
      <c r="N131" s="2" t="s">
        <v>391</v>
      </c>
      <c r="O131" s="2"/>
      <c r="P131" s="2"/>
      <c r="Q131" s="2">
        <v>1.95</v>
      </c>
    </row>
    <row r="132" spans="12:17" ht="15" hidden="1" customHeight="1" x14ac:dyDescent="0.2">
      <c r="L132" s="2" t="s">
        <v>184</v>
      </c>
      <c r="M132" s="2" t="s">
        <v>184</v>
      </c>
      <c r="N132" s="2" t="s">
        <v>392</v>
      </c>
      <c r="O132" s="2"/>
      <c r="P132" s="2"/>
      <c r="Q132" s="2">
        <v>15.93</v>
      </c>
    </row>
    <row r="133" spans="12:17" ht="15" hidden="1" customHeight="1" x14ac:dyDescent="0.2">
      <c r="L133" s="2" t="s">
        <v>185</v>
      </c>
      <c r="M133" s="2" t="s">
        <v>186</v>
      </c>
      <c r="N133" s="2" t="s">
        <v>393</v>
      </c>
      <c r="O133" s="2"/>
      <c r="P133" s="2">
        <v>2.2599999999999998</v>
      </c>
      <c r="Q133" s="2"/>
    </row>
    <row r="134" spans="12:17" ht="15" hidden="1" customHeight="1" x14ac:dyDescent="0.2">
      <c r="L134" s="2" t="s">
        <v>187</v>
      </c>
      <c r="M134" s="2" t="s">
        <v>188</v>
      </c>
      <c r="N134" s="2" t="s">
        <v>394</v>
      </c>
      <c r="O134" s="2"/>
      <c r="P134" s="2"/>
      <c r="Q134" s="2"/>
    </row>
    <row r="135" spans="12:17" ht="15" hidden="1" customHeight="1" x14ac:dyDescent="0.2">
      <c r="L135" s="2" t="s">
        <v>187</v>
      </c>
      <c r="M135" s="2" t="s">
        <v>189</v>
      </c>
      <c r="N135" s="2" t="s">
        <v>395</v>
      </c>
      <c r="O135" s="2"/>
      <c r="P135" s="2"/>
      <c r="Q135" s="2">
        <v>6.5</v>
      </c>
    </row>
    <row r="136" spans="12:17" ht="15" hidden="1" customHeight="1" x14ac:dyDescent="0.2">
      <c r="L136" s="2" t="s">
        <v>190</v>
      </c>
      <c r="M136" s="2" t="s">
        <v>191</v>
      </c>
      <c r="N136" s="2" t="s">
        <v>396</v>
      </c>
      <c r="O136" s="2">
        <v>12.03</v>
      </c>
      <c r="P136" s="2">
        <v>12.03</v>
      </c>
      <c r="Q136" s="2"/>
    </row>
    <row r="137" spans="12:17" ht="15" hidden="1" customHeight="1" x14ac:dyDescent="0.2">
      <c r="L137" s="2" t="s">
        <v>192</v>
      </c>
      <c r="M137" s="2" t="s">
        <v>193</v>
      </c>
      <c r="N137" s="2" t="s">
        <v>397</v>
      </c>
      <c r="O137" s="2"/>
      <c r="P137" s="2"/>
      <c r="Q137" s="2">
        <v>12.7</v>
      </c>
    </row>
    <row r="138" spans="12:17" ht="15" hidden="1" customHeight="1" x14ac:dyDescent="0.2">
      <c r="L138" s="2" t="s">
        <v>194</v>
      </c>
      <c r="M138" s="2" t="s">
        <v>195</v>
      </c>
      <c r="N138" s="2" t="s">
        <v>398</v>
      </c>
      <c r="O138" s="2">
        <v>12.8</v>
      </c>
      <c r="P138" s="2"/>
      <c r="Q138" s="2">
        <v>12.8</v>
      </c>
    </row>
    <row r="139" spans="12:17" ht="15" hidden="1" customHeight="1" x14ac:dyDescent="0.2">
      <c r="L139" s="2" t="s">
        <v>194</v>
      </c>
      <c r="M139" s="2" t="s">
        <v>196</v>
      </c>
      <c r="N139" s="2" t="s">
        <v>399</v>
      </c>
      <c r="O139" s="2"/>
      <c r="P139" s="2"/>
      <c r="Q139" s="2">
        <v>10.88</v>
      </c>
    </row>
    <row r="140" spans="12:17" ht="15" hidden="1" customHeight="1" x14ac:dyDescent="0.2">
      <c r="L140" s="2" t="s">
        <v>194</v>
      </c>
      <c r="M140" s="2" t="s">
        <v>197</v>
      </c>
      <c r="N140" s="2" t="s">
        <v>400</v>
      </c>
      <c r="O140" s="2"/>
      <c r="P140" s="2"/>
      <c r="Q140" s="2">
        <v>6.5</v>
      </c>
    </row>
    <row r="141" spans="12:17" ht="15" hidden="1" customHeight="1" x14ac:dyDescent="0.2">
      <c r="L141" s="2" t="s">
        <v>198</v>
      </c>
      <c r="M141" s="2" t="s">
        <v>199</v>
      </c>
      <c r="N141" s="2" t="s">
        <v>401</v>
      </c>
      <c r="O141" s="2"/>
      <c r="P141" s="2"/>
      <c r="Q141" s="2">
        <v>7.36</v>
      </c>
    </row>
    <row r="142" spans="12:17" ht="15" hidden="1" customHeight="1" x14ac:dyDescent="0.2">
      <c r="L142" s="2" t="s">
        <v>200</v>
      </c>
      <c r="M142" s="2" t="s">
        <v>201</v>
      </c>
      <c r="N142" s="2" t="s">
        <v>402</v>
      </c>
      <c r="O142" s="2">
        <v>8.6999999999999993</v>
      </c>
      <c r="P142" s="2">
        <v>8.6999999999999993</v>
      </c>
      <c r="Q142" s="2"/>
    </row>
    <row r="143" spans="12:17" ht="15" hidden="1" customHeight="1" x14ac:dyDescent="0.2">
      <c r="L143" s="2" t="s">
        <v>200</v>
      </c>
      <c r="M143" s="2" t="s">
        <v>202</v>
      </c>
      <c r="N143" s="2" t="s">
        <v>403</v>
      </c>
      <c r="O143" s="2">
        <v>5.26</v>
      </c>
      <c r="P143" s="2">
        <v>5.26</v>
      </c>
      <c r="Q143" s="2"/>
    </row>
    <row r="144" spans="12:17" ht="15" hidden="1" customHeight="1" x14ac:dyDescent="0.2">
      <c r="L144" s="2" t="s">
        <v>200</v>
      </c>
      <c r="M144" s="2" t="s">
        <v>203</v>
      </c>
      <c r="N144" s="2" t="s">
        <v>404</v>
      </c>
      <c r="O144" s="2">
        <v>12.67</v>
      </c>
      <c r="P144" s="2">
        <v>12.67</v>
      </c>
      <c r="Q144" s="2"/>
    </row>
    <row r="145" spans="12:17" ht="15" hidden="1" customHeight="1" x14ac:dyDescent="0.2">
      <c r="L145" s="2" t="s">
        <v>200</v>
      </c>
      <c r="M145" s="2" t="s">
        <v>204</v>
      </c>
      <c r="N145" s="2" t="s">
        <v>405</v>
      </c>
      <c r="O145" s="2">
        <v>15.87</v>
      </c>
      <c r="P145" s="2">
        <v>15.87</v>
      </c>
      <c r="Q145" s="2"/>
    </row>
    <row r="146" spans="12:17" ht="15" hidden="1" customHeight="1" x14ac:dyDescent="0.2">
      <c r="L146" s="2" t="s">
        <v>200</v>
      </c>
      <c r="M146" s="2" t="s">
        <v>205</v>
      </c>
      <c r="N146" s="2" t="s">
        <v>406</v>
      </c>
      <c r="O146" s="2">
        <v>4.63</v>
      </c>
      <c r="P146" s="2">
        <v>4.63</v>
      </c>
      <c r="Q146" s="2"/>
    </row>
    <row r="147" spans="12:17" ht="15" hidden="1" customHeight="1" x14ac:dyDescent="0.2">
      <c r="L147" s="2" t="s">
        <v>200</v>
      </c>
      <c r="M147" s="2" t="s">
        <v>206</v>
      </c>
      <c r="N147" s="2" t="s">
        <v>407</v>
      </c>
      <c r="O147" s="2">
        <v>8.6999999999999993</v>
      </c>
      <c r="P147" s="2">
        <v>8.6999999999999993</v>
      </c>
      <c r="Q147" s="2"/>
    </row>
    <row r="148" spans="12:17" ht="15" hidden="1" customHeight="1" x14ac:dyDescent="0.2">
      <c r="L148" s="2" t="s">
        <v>200</v>
      </c>
      <c r="M148" s="2" t="s">
        <v>207</v>
      </c>
      <c r="N148" s="2" t="s">
        <v>408</v>
      </c>
      <c r="O148" s="2">
        <v>9.26</v>
      </c>
      <c r="P148" s="2">
        <v>9.26</v>
      </c>
      <c r="Q148" s="2"/>
    </row>
    <row r="149" spans="12:17" ht="15" hidden="1" customHeight="1" x14ac:dyDescent="0.2">
      <c r="L149" s="2" t="s">
        <v>200</v>
      </c>
      <c r="M149" s="2" t="s">
        <v>208</v>
      </c>
      <c r="N149" s="2" t="s">
        <v>409</v>
      </c>
      <c r="O149" s="2">
        <v>5.72</v>
      </c>
      <c r="P149" s="2">
        <v>5.72</v>
      </c>
      <c r="Q149" s="2"/>
    </row>
    <row r="150" spans="12:17" ht="15" hidden="1" customHeight="1" x14ac:dyDescent="0.2">
      <c r="L150" s="2" t="s">
        <v>200</v>
      </c>
      <c r="M150" s="2" t="s">
        <v>209</v>
      </c>
      <c r="N150" s="2" t="s">
        <v>410</v>
      </c>
      <c r="O150" s="2">
        <v>6.54</v>
      </c>
      <c r="P150" s="2">
        <v>6.54</v>
      </c>
      <c r="Q150" s="2"/>
    </row>
    <row r="151" spans="12:17" ht="15" hidden="1" customHeight="1" x14ac:dyDescent="0.2">
      <c r="L151" s="2" t="s">
        <v>200</v>
      </c>
      <c r="M151" s="2" t="s">
        <v>210</v>
      </c>
      <c r="N151" s="2" t="s">
        <v>411</v>
      </c>
      <c r="O151" s="2">
        <v>6.54</v>
      </c>
      <c r="P151" s="2">
        <v>6.54</v>
      </c>
      <c r="Q151" s="2"/>
    </row>
    <row r="152" spans="12:17" ht="15" hidden="1" customHeight="1" x14ac:dyDescent="0.2">
      <c r="L152" s="2" t="s">
        <v>211</v>
      </c>
      <c r="M152" s="2" t="s">
        <v>212</v>
      </c>
      <c r="N152" s="2" t="s">
        <v>412</v>
      </c>
      <c r="O152" s="2"/>
      <c r="P152" s="2"/>
      <c r="Q152" s="2">
        <v>12.96</v>
      </c>
    </row>
    <row r="153" spans="12:17" ht="15" hidden="1" customHeight="1" x14ac:dyDescent="0.2">
      <c r="L153" s="2" t="s">
        <v>213</v>
      </c>
      <c r="M153" s="2" t="s">
        <v>213</v>
      </c>
      <c r="N153" s="2" t="s">
        <v>413</v>
      </c>
      <c r="O153" s="2"/>
      <c r="P153" s="2"/>
      <c r="Q153" s="2">
        <v>11.09</v>
      </c>
    </row>
    <row r="154" spans="12:17" ht="15" hidden="1" customHeight="1" x14ac:dyDescent="0.2">
      <c r="L154" s="2" t="s">
        <v>214</v>
      </c>
      <c r="M154" s="2" t="s">
        <v>215</v>
      </c>
      <c r="N154" s="2" t="s">
        <v>414</v>
      </c>
      <c r="O154" s="2">
        <v>9.51</v>
      </c>
      <c r="P154" s="2">
        <v>4.9000000000000004</v>
      </c>
      <c r="Q154" s="2"/>
    </row>
    <row r="155" spans="12:17" ht="15" hidden="1" customHeight="1" x14ac:dyDescent="0.2">
      <c r="L155" s="2" t="s">
        <v>214</v>
      </c>
      <c r="M155" s="2" t="s">
        <v>216</v>
      </c>
      <c r="N155" s="2" t="s">
        <v>415</v>
      </c>
      <c r="O155" s="2">
        <v>8.99</v>
      </c>
      <c r="P155" s="2">
        <v>4.9000000000000004</v>
      </c>
      <c r="Q155" s="2"/>
    </row>
    <row r="156" spans="12:17" ht="15" hidden="1" customHeight="1" x14ac:dyDescent="0.2">
      <c r="L156" s="2" t="s">
        <v>214</v>
      </c>
      <c r="M156" s="2" t="s">
        <v>217</v>
      </c>
      <c r="N156" s="2" t="s">
        <v>416</v>
      </c>
      <c r="O156" s="2">
        <v>4.2300000000000004</v>
      </c>
      <c r="P156" s="2">
        <v>4.9000000000000004</v>
      </c>
      <c r="Q156" s="2"/>
    </row>
    <row r="157" spans="12:17" ht="15" hidden="1" customHeight="1" x14ac:dyDescent="0.2">
      <c r="L157" s="2" t="s">
        <v>214</v>
      </c>
      <c r="M157" s="2" t="s">
        <v>218</v>
      </c>
      <c r="N157" s="2" t="s">
        <v>417</v>
      </c>
      <c r="O157" s="2">
        <v>8.43</v>
      </c>
      <c r="P157" s="2">
        <v>4.9000000000000004</v>
      </c>
      <c r="Q157" s="2"/>
    </row>
    <row r="158" spans="12:17" ht="15" hidden="1" customHeight="1" x14ac:dyDescent="0.2">
      <c r="L158" s="2" t="s">
        <v>214</v>
      </c>
      <c r="M158" s="2" t="s">
        <v>219</v>
      </c>
      <c r="N158" s="2" t="s">
        <v>418</v>
      </c>
      <c r="O158" s="2">
        <v>9.66</v>
      </c>
      <c r="P158" s="2">
        <v>4.9000000000000004</v>
      </c>
      <c r="Q158" s="2"/>
    </row>
    <row r="159" spans="12:17" ht="15" hidden="1" customHeight="1" x14ac:dyDescent="0.2">
      <c r="L159" s="2" t="s">
        <v>214</v>
      </c>
      <c r="M159" s="2" t="s">
        <v>220</v>
      </c>
      <c r="N159" s="2" t="s">
        <v>419</v>
      </c>
      <c r="O159" s="2">
        <v>7</v>
      </c>
      <c r="P159" s="2">
        <v>4.9000000000000004</v>
      </c>
      <c r="Q159" s="2"/>
    </row>
    <row r="160" spans="12:17" ht="15" hidden="1" customHeight="1" x14ac:dyDescent="0.2">
      <c r="L160" s="2" t="s">
        <v>214</v>
      </c>
      <c r="M160" s="2" t="s">
        <v>221</v>
      </c>
      <c r="N160" s="2" t="s">
        <v>420</v>
      </c>
      <c r="O160" s="2">
        <v>8.0399999999999991</v>
      </c>
      <c r="P160" s="2">
        <v>4.9000000000000004</v>
      </c>
      <c r="Q160" s="2"/>
    </row>
    <row r="161" spans="12:17" ht="15" hidden="1" customHeight="1" x14ac:dyDescent="0.2">
      <c r="L161" s="2" t="s">
        <v>214</v>
      </c>
      <c r="M161" s="2" t="s">
        <v>222</v>
      </c>
      <c r="N161" s="2" t="s">
        <v>421</v>
      </c>
      <c r="O161" s="2">
        <v>12.36</v>
      </c>
      <c r="P161" s="2">
        <v>4.9000000000000004</v>
      </c>
      <c r="Q161" s="2"/>
    </row>
    <row r="162" spans="12:17" ht="15" hidden="1" customHeight="1" x14ac:dyDescent="0.2">
      <c r="L162" s="2" t="s">
        <v>214</v>
      </c>
      <c r="M162" s="2" t="s">
        <v>223</v>
      </c>
      <c r="N162" s="2" t="s">
        <v>422</v>
      </c>
      <c r="O162" s="2">
        <v>9.51</v>
      </c>
      <c r="P162" s="2">
        <v>4.9000000000000004</v>
      </c>
      <c r="Q162" s="2"/>
    </row>
    <row r="163" spans="12:17" ht="15" hidden="1" customHeight="1" x14ac:dyDescent="0.2">
      <c r="L163" s="2" t="s">
        <v>224</v>
      </c>
      <c r="M163" s="2" t="s">
        <v>225</v>
      </c>
      <c r="N163" s="2" t="s">
        <v>423</v>
      </c>
      <c r="O163" s="2"/>
      <c r="P163" s="2"/>
      <c r="Q163" s="2">
        <v>9.64</v>
      </c>
    </row>
    <row r="164" spans="12:17" ht="15" hidden="1" customHeight="1" x14ac:dyDescent="0.2">
      <c r="L164" s="2" t="s">
        <v>224</v>
      </c>
      <c r="M164" s="2" t="s">
        <v>226</v>
      </c>
      <c r="N164" s="2" t="s">
        <v>424</v>
      </c>
      <c r="O164" s="2"/>
      <c r="P164" s="2"/>
      <c r="Q164" s="2">
        <v>6.48</v>
      </c>
    </row>
    <row r="165" spans="12:17" ht="15" hidden="1" customHeight="1" x14ac:dyDescent="0.2">
      <c r="L165" s="2" t="s">
        <v>224</v>
      </c>
      <c r="M165" s="2" t="s">
        <v>227</v>
      </c>
      <c r="N165" s="2" t="s">
        <v>425</v>
      </c>
      <c r="O165" s="2"/>
      <c r="P165" s="2"/>
      <c r="Q165" s="2">
        <v>8.3800000000000008</v>
      </c>
    </row>
    <row r="166" spans="12:17" ht="15" hidden="1" customHeight="1" x14ac:dyDescent="0.2">
      <c r="L166" s="2" t="s">
        <v>224</v>
      </c>
      <c r="M166" s="2" t="s">
        <v>228</v>
      </c>
      <c r="N166" s="2" t="s">
        <v>426</v>
      </c>
      <c r="O166" s="2"/>
      <c r="P166" s="2"/>
      <c r="Q166" s="2">
        <v>8.3800000000000008</v>
      </c>
    </row>
    <row r="167" spans="12:17" ht="15" hidden="1" customHeight="1" x14ac:dyDescent="0.2">
      <c r="L167" s="2" t="s">
        <v>224</v>
      </c>
      <c r="M167" s="2" t="s">
        <v>229</v>
      </c>
      <c r="N167" s="2" t="s">
        <v>427</v>
      </c>
      <c r="O167" s="2"/>
      <c r="P167" s="2"/>
      <c r="Q167" s="2">
        <v>13.17</v>
      </c>
    </row>
    <row r="168" spans="12:17" ht="15" hidden="1" customHeight="1" x14ac:dyDescent="0.2">
      <c r="L168" s="2" t="s">
        <v>224</v>
      </c>
      <c r="M168" s="2" t="s">
        <v>230</v>
      </c>
      <c r="N168" s="2" t="s">
        <v>428</v>
      </c>
      <c r="O168" s="2"/>
      <c r="P168" s="2"/>
      <c r="Q168" s="2">
        <v>18.86</v>
      </c>
    </row>
  </sheetData>
  <sheetProtection algorithmName="SHA-512" hashValue="/B5mvXWmwwbcrNUDTmwfC0xn2pNOQOur/WtpThpCZE5L2LG3FyxsgfBCQbnLlng8qZBa/LNAk/riWDX4fR0s6A==" saltValue="syOqy0xmkNY0rH7VdysUyg==" spinCount="100000" sheet="1" objects="1" scenarios="1"/>
  <dataConsolidate/>
  <mergeCells count="33">
    <mergeCell ref="A1:F1"/>
    <mergeCell ref="B2:F2"/>
    <mergeCell ref="B3:F3"/>
    <mergeCell ref="B15:F15"/>
    <mergeCell ref="A12:A13"/>
    <mergeCell ref="B12:C12"/>
    <mergeCell ref="B13:C13"/>
    <mergeCell ref="B14:F14"/>
    <mergeCell ref="B4:F4"/>
    <mergeCell ref="B5:F5"/>
    <mergeCell ref="B6:F6"/>
    <mergeCell ref="B10:F10"/>
    <mergeCell ref="A11:F11"/>
    <mergeCell ref="B7:F7"/>
    <mergeCell ref="B8:F8"/>
    <mergeCell ref="A9:F9"/>
    <mergeCell ref="A16:F16"/>
    <mergeCell ref="B17:C17"/>
    <mergeCell ref="B18:C18"/>
    <mergeCell ref="B19:C19"/>
    <mergeCell ref="B20:C20"/>
    <mergeCell ref="B21:C21"/>
    <mergeCell ref="F18:F22"/>
    <mergeCell ref="B35:F35"/>
    <mergeCell ref="B36:F36"/>
    <mergeCell ref="B33:F33"/>
    <mergeCell ref="B34:F34"/>
    <mergeCell ref="A23:F23"/>
    <mergeCell ref="B29:F29"/>
    <mergeCell ref="B32:F32"/>
    <mergeCell ref="A30:F30"/>
    <mergeCell ref="C25:C28"/>
    <mergeCell ref="B31:F31"/>
  </mergeCells>
  <dataValidations count="5">
    <dataValidation type="whole" allowBlank="1" showInputMessage="1" showErrorMessage="1" sqref="B4" xr:uid="{00000000-0002-0000-1500-000000000000}">
      <formula1>12</formula1>
      <formula2>60</formula2>
    </dataValidation>
    <dataValidation type="list" allowBlank="1" showInputMessage="1" showErrorMessage="1" sqref="C25" xr:uid="{00000000-0002-0000-1500-000001000000}">
      <formula1>"Monthly,Annualy"</formula1>
    </dataValidation>
    <dataValidation type="list" allowBlank="1" showInputMessage="1" showErrorMessage="1" sqref="B5:F5" xr:uid="{00000000-0002-0000-1500-000002000000}">
      <formula1>"Manufacturer,Trader, Service"</formula1>
    </dataValidation>
    <dataValidation operator="greaterThanOrEqual" showInputMessage="1" showErrorMessage="1" sqref="B3:F3" xr:uid="{00000000-0002-0000-1500-000003000000}"/>
    <dataValidation type="list" allowBlank="1" showInputMessage="1" showErrorMessage="1" sqref="B6:F6" xr:uid="{00000000-0002-0000-1500-000004000000}">
      <formula1>$N$2:$N$168</formula1>
    </dataValidation>
  </dataValidation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
  <dimension ref="A1:N14"/>
  <sheetViews>
    <sheetView showGridLines="0" workbookViewId="0">
      <selection activeCell="B9" sqref="B9:D9"/>
    </sheetView>
  </sheetViews>
  <sheetFormatPr defaultColWidth="0" defaultRowHeight="0" customHeight="1" zeroHeight="1" x14ac:dyDescent="0.2"/>
  <cols>
    <col min="1" max="1" width="34.140625" style="18" bestFit="1" customWidth="1"/>
    <col min="2" max="4" width="28.7109375" style="18" customWidth="1"/>
    <col min="5" max="5" width="2.28515625" style="18" customWidth="1"/>
    <col min="6" max="7" width="9.140625" style="18" hidden="1" customWidth="1"/>
    <col min="8" max="8" width="0" style="18" hidden="1" customWidth="1"/>
    <col min="9" max="10" width="9.140625" style="18" hidden="1" customWidth="1"/>
    <col min="11" max="11" width="0" style="18" hidden="1" customWidth="1"/>
    <col min="12" max="13" width="9.140625" style="18" hidden="1" customWidth="1"/>
    <col min="14" max="14" width="0" style="18" hidden="1" customWidth="1"/>
    <col min="15" max="16384" width="9.140625" style="18" hidden="1"/>
  </cols>
  <sheetData>
    <row r="1" spans="1:7" ht="20.25" x14ac:dyDescent="0.3">
      <c r="A1" s="439" t="s">
        <v>430</v>
      </c>
      <c r="B1" s="439"/>
      <c r="C1" s="439"/>
      <c r="D1" s="439"/>
    </row>
    <row r="2" spans="1:7" ht="14.25" customHeight="1" x14ac:dyDescent="0.2">
      <c r="A2" s="114" t="s">
        <v>0</v>
      </c>
      <c r="B2" s="381">
        <f>'Loan Details'!B3</f>
        <v>0</v>
      </c>
      <c r="C2" s="381"/>
      <c r="D2" s="381"/>
    </row>
    <row r="3" spans="1:7" ht="15" customHeight="1" thickBot="1" x14ac:dyDescent="0.25">
      <c r="A3" s="114" t="s">
        <v>2</v>
      </c>
      <c r="B3" s="382">
        <f>'Loan Details'!B4</f>
        <v>0.18</v>
      </c>
      <c r="C3" s="382"/>
      <c r="D3" s="382"/>
      <c r="F3" s="26" t="s">
        <v>1</v>
      </c>
      <c r="G3" s="27" t="s">
        <v>254</v>
      </c>
    </row>
    <row r="4" spans="1:7" ht="15" customHeight="1" x14ac:dyDescent="0.2">
      <c r="A4" s="114" t="s">
        <v>3</v>
      </c>
      <c r="B4" s="383">
        <f>'Loan Details'!B5</f>
        <v>48</v>
      </c>
      <c r="C4" s="383"/>
      <c r="D4" s="383"/>
      <c r="F4" s="28">
        <v>1</v>
      </c>
      <c r="G4" s="29">
        <v>3</v>
      </c>
    </row>
    <row r="5" spans="1:7" ht="15" customHeight="1" x14ac:dyDescent="0.3">
      <c r="A5" s="517" t="s">
        <v>525</v>
      </c>
      <c r="B5" s="517"/>
      <c r="C5" s="517"/>
      <c r="D5" s="517"/>
      <c r="F5" s="30">
        <v>2</v>
      </c>
      <c r="G5" s="31">
        <v>5</v>
      </c>
    </row>
    <row r="6" spans="1:7" ht="15" customHeight="1" x14ac:dyDescent="0.2">
      <c r="A6" s="679" t="s">
        <v>263</v>
      </c>
      <c r="B6" s="112" t="s">
        <v>447</v>
      </c>
      <c r="C6" s="112" t="s">
        <v>448</v>
      </c>
      <c r="D6" s="112" t="s">
        <v>449</v>
      </c>
      <c r="F6" s="30">
        <v>3</v>
      </c>
      <c r="G6" s="31">
        <v>7</v>
      </c>
    </row>
    <row r="7" spans="1:7" ht="15" customHeight="1" x14ac:dyDescent="0.2">
      <c r="A7" s="680"/>
      <c r="B7" s="106">
        <v>0</v>
      </c>
      <c r="C7" s="106">
        <v>0</v>
      </c>
      <c r="D7" s="106">
        <v>0</v>
      </c>
      <c r="F7" s="30">
        <v>4</v>
      </c>
      <c r="G7" s="31">
        <v>9</v>
      </c>
    </row>
    <row r="8" spans="1:7" ht="15" customHeight="1" x14ac:dyDescent="0.2">
      <c r="A8" s="114" t="s">
        <v>246</v>
      </c>
      <c r="B8" s="514">
        <f>AVERAGE(B7:D7)</f>
        <v>0</v>
      </c>
      <c r="C8" s="514"/>
      <c r="D8" s="514"/>
      <c r="F8" s="30"/>
      <c r="G8" s="31"/>
    </row>
    <row r="9" spans="1:7" ht="15" customHeight="1" x14ac:dyDescent="0.2">
      <c r="A9" s="114" t="s">
        <v>252</v>
      </c>
      <c r="B9" s="520">
        <f>VLOOKUP(ROUNDUP(B4/12,0),F:G,2,0)</f>
        <v>9</v>
      </c>
      <c r="C9" s="520"/>
      <c r="D9" s="520"/>
      <c r="F9" s="32"/>
      <c r="G9" s="33"/>
    </row>
    <row r="10" spans="1:7" ht="15" customHeight="1" x14ac:dyDescent="0.2">
      <c r="A10" s="114" t="s">
        <v>11</v>
      </c>
      <c r="B10" s="514">
        <f>B9*B8</f>
        <v>0</v>
      </c>
      <c r="C10" s="514"/>
      <c r="D10" s="514"/>
    </row>
    <row r="11" spans="1:7" ht="15" customHeight="1" x14ac:dyDescent="0.2">
      <c r="A11" s="114" t="s">
        <v>522</v>
      </c>
      <c r="B11" s="514">
        <f>MIN(B10,B2)</f>
        <v>0</v>
      </c>
      <c r="C11" s="514"/>
      <c r="D11" s="514"/>
    </row>
    <row r="12" spans="1:7" ht="15" customHeight="1" x14ac:dyDescent="0.2">
      <c r="A12" s="114" t="s">
        <v>12</v>
      </c>
      <c r="B12" s="514">
        <f>PMT(B3/12,B4,-B11)</f>
        <v>0</v>
      </c>
      <c r="C12" s="514"/>
      <c r="D12" s="514"/>
    </row>
    <row r="13" spans="1:7" ht="6" customHeight="1" x14ac:dyDescent="0.2"/>
    <row r="14" spans="1:7" ht="6.75" hidden="1" customHeight="1" x14ac:dyDescent="0.2"/>
  </sheetData>
  <sheetProtection algorithmName="SHA-512" hashValue="cijdM48r7H7qR/kMo8YELXlN17U3RBHOxwvker2oGOVnvsIEaxNgoOceLz0do84+ud6mCrd1CBadzhhTrDPYng==" saltValue="Bb//xkyKMaKMjQx5l5pvmQ==" spinCount="100000" sheet="1" objects="1" scenarios="1"/>
  <mergeCells count="11">
    <mergeCell ref="A5:D5"/>
    <mergeCell ref="B4:D4"/>
    <mergeCell ref="A1:D1"/>
    <mergeCell ref="B2:D2"/>
    <mergeCell ref="B3:D3"/>
    <mergeCell ref="B11:D11"/>
    <mergeCell ref="B12:D12"/>
    <mergeCell ref="A6:A7"/>
    <mergeCell ref="B8:D8"/>
    <mergeCell ref="B9:D9"/>
    <mergeCell ref="B10:D10"/>
  </mergeCells>
  <dataValidations count="2">
    <dataValidation type="whole" allowBlank="1" showInputMessage="1" showErrorMessage="1" sqref="B4" xr:uid="{00000000-0002-0000-1600-000000000000}">
      <formula1>12</formula1>
      <formula2>60</formula2>
    </dataValidation>
    <dataValidation operator="greaterThanOrEqual" showInputMessage="1" showErrorMessage="1" sqref="B3:D3" xr:uid="{00000000-0002-0000-1600-000001000000}"/>
  </dataValidation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dimension ref="A1:V167"/>
  <sheetViews>
    <sheetView zoomScaleNormal="100" workbookViewId="0">
      <selection activeCell="C3" sqref="C3:H3"/>
    </sheetView>
  </sheetViews>
  <sheetFormatPr defaultColWidth="0" defaultRowHeight="12.75" zeroHeight="1" x14ac:dyDescent="0.2"/>
  <cols>
    <col min="1" max="2" width="23.5703125" style="18" customWidth="1"/>
    <col min="3" max="8" width="22" style="18" customWidth="1"/>
    <col min="9" max="9" width="1.7109375" style="18" customWidth="1"/>
    <col min="10" max="11" width="4.28515625" style="18" hidden="1" customWidth="1"/>
    <col min="12" max="17" width="9.140625" style="18" hidden="1" customWidth="1"/>
    <col min="18" max="18" width="11.7109375" style="18" hidden="1" customWidth="1"/>
    <col min="19" max="19" width="9.140625" style="18" hidden="1" customWidth="1"/>
    <col min="20" max="20" width="10.28515625" style="18" hidden="1" customWidth="1"/>
    <col min="21" max="16384" width="9.140625" style="18" hidden="1"/>
  </cols>
  <sheetData>
    <row r="1" spans="1:22" ht="20.25" x14ac:dyDescent="0.3">
      <c r="A1" s="439" t="s">
        <v>891</v>
      </c>
      <c r="B1" s="439"/>
      <c r="C1" s="439"/>
      <c r="D1" s="439"/>
      <c r="E1" s="439"/>
      <c r="F1" s="439"/>
      <c r="G1" s="439"/>
      <c r="H1" s="439"/>
    </row>
    <row r="2" spans="1:22" ht="14.25" x14ac:dyDescent="0.2">
      <c r="A2" s="677" t="s">
        <v>0</v>
      </c>
      <c r="B2" s="677"/>
      <c r="C2" s="381">
        <f>'Loan Details'!B3</f>
        <v>0</v>
      </c>
      <c r="D2" s="381"/>
      <c r="E2" s="381"/>
      <c r="F2" s="381"/>
      <c r="G2" s="381"/>
      <c r="H2" s="381"/>
      <c r="L2" s="2" t="s">
        <v>19</v>
      </c>
      <c r="M2" s="2" t="s">
        <v>20</v>
      </c>
      <c r="N2" s="2"/>
      <c r="O2" s="2" t="s">
        <v>15</v>
      </c>
      <c r="P2" s="2" t="s">
        <v>21</v>
      </c>
      <c r="Q2" s="2" t="s">
        <v>22</v>
      </c>
    </row>
    <row r="3" spans="1:22" ht="15" customHeight="1" x14ac:dyDescent="0.2">
      <c r="A3" s="677" t="s">
        <v>2</v>
      </c>
      <c r="B3" s="677"/>
      <c r="C3" s="382">
        <f>'Loan Details'!B4</f>
        <v>0.18</v>
      </c>
      <c r="D3" s="382"/>
      <c r="E3" s="382"/>
      <c r="F3" s="382"/>
      <c r="G3" s="382"/>
      <c r="H3" s="382"/>
      <c r="L3" s="2" t="s">
        <v>23</v>
      </c>
      <c r="M3" s="2" t="s">
        <v>23</v>
      </c>
      <c r="N3" s="2" t="str">
        <f t="shared" ref="N3:N66" si="0">L3&amp;" "&amp;M3</f>
        <v>Agriculture Products Agriculture Products</v>
      </c>
      <c r="O3" s="2">
        <v>6.64</v>
      </c>
      <c r="P3" s="2">
        <v>3.95</v>
      </c>
      <c r="Q3" s="2"/>
      <c r="S3" s="1"/>
      <c r="T3" s="1"/>
      <c r="V3" s="21"/>
    </row>
    <row r="4" spans="1:22" ht="15" customHeight="1" x14ac:dyDescent="0.2">
      <c r="A4" s="677" t="s">
        <v>3</v>
      </c>
      <c r="B4" s="677"/>
      <c r="C4" s="383">
        <f>'Loan Details'!B5</f>
        <v>48</v>
      </c>
      <c r="D4" s="383"/>
      <c r="E4" s="383"/>
      <c r="F4" s="383"/>
      <c r="G4" s="383"/>
      <c r="H4" s="383"/>
      <c r="L4" s="2" t="s">
        <v>23</v>
      </c>
      <c r="M4" s="2" t="s">
        <v>24</v>
      </c>
      <c r="N4" s="2" t="str">
        <f t="shared" si="0"/>
        <v>Agriculture Products Animal Products (Including animal and bird feed)</v>
      </c>
      <c r="O4" s="2">
        <v>5.8</v>
      </c>
      <c r="P4" s="2">
        <v>3.95</v>
      </c>
      <c r="Q4" s="2"/>
      <c r="S4" s="1"/>
      <c r="T4" s="1"/>
      <c r="V4" s="21"/>
    </row>
    <row r="5" spans="1:22" ht="15" customHeight="1" x14ac:dyDescent="0.2">
      <c r="A5" s="677" t="s">
        <v>14</v>
      </c>
      <c r="B5" s="677"/>
      <c r="C5" s="383">
        <f>'Loan Details'!C9</f>
        <v>0</v>
      </c>
      <c r="D5" s="383"/>
      <c r="E5" s="383"/>
      <c r="F5" s="383"/>
      <c r="G5" s="383"/>
      <c r="H5" s="383"/>
      <c r="L5" s="2" t="s">
        <v>23</v>
      </c>
      <c r="M5" s="2" t="s">
        <v>25</v>
      </c>
      <c r="N5" s="2" t="str">
        <f t="shared" si="0"/>
        <v>Agriculture Products Edible Oils</v>
      </c>
      <c r="O5" s="2">
        <v>3.57</v>
      </c>
      <c r="P5" s="2">
        <v>3.57</v>
      </c>
      <c r="Q5" s="2"/>
      <c r="S5" s="1"/>
      <c r="T5" s="1"/>
    </row>
    <row r="6" spans="1:22" ht="15" customHeight="1" x14ac:dyDescent="0.2">
      <c r="A6" s="677" t="s">
        <v>16</v>
      </c>
      <c r="B6" s="677"/>
      <c r="C6" s="383">
        <f>'Loan Details'!C10</f>
        <v>0</v>
      </c>
      <c r="D6" s="383"/>
      <c r="E6" s="383"/>
      <c r="F6" s="383"/>
      <c r="G6" s="383"/>
      <c r="H6" s="383"/>
      <c r="L6" s="2" t="s">
        <v>23</v>
      </c>
      <c r="M6" s="2" t="s">
        <v>26</v>
      </c>
      <c r="N6" s="2" t="str">
        <f t="shared" si="0"/>
        <v>Agriculture Products Floricultural</v>
      </c>
      <c r="O6" s="2">
        <v>9.69</v>
      </c>
      <c r="P6" s="2">
        <v>3.95</v>
      </c>
      <c r="Q6" s="2"/>
      <c r="S6" s="1"/>
      <c r="T6" s="1"/>
    </row>
    <row r="7" spans="1:22" ht="15" customHeight="1" x14ac:dyDescent="0.2">
      <c r="A7" s="677" t="s">
        <v>18</v>
      </c>
      <c r="B7" s="677"/>
      <c r="C7" s="520" t="e">
        <f ca="1">INDIRECT(ADDRESS(MATCH(C6,N:N,0),MATCH(C5,2:2,0),,,))</f>
        <v>#N/A</v>
      </c>
      <c r="D7" s="520"/>
      <c r="E7" s="520"/>
      <c r="F7" s="520"/>
      <c r="G7" s="520"/>
      <c r="H7" s="520"/>
      <c r="L7" s="2" t="s">
        <v>23</v>
      </c>
      <c r="M7" s="2" t="s">
        <v>27</v>
      </c>
      <c r="N7" s="2" t="str">
        <f t="shared" si="0"/>
        <v>Agriculture Products Fruit and nuts</v>
      </c>
      <c r="O7" s="2">
        <v>6.64</v>
      </c>
      <c r="P7" s="2">
        <v>3.95</v>
      </c>
      <c r="Q7" s="2"/>
    </row>
    <row r="8" spans="1:22" ht="15" customHeight="1" x14ac:dyDescent="0.3">
      <c r="A8" s="517" t="s">
        <v>4</v>
      </c>
      <c r="B8" s="517"/>
      <c r="C8" s="517"/>
      <c r="D8" s="517"/>
      <c r="E8" s="517"/>
      <c r="F8" s="517"/>
      <c r="G8" s="517"/>
      <c r="H8" s="517"/>
      <c r="L8" s="2" t="s">
        <v>23</v>
      </c>
      <c r="M8" s="2" t="s">
        <v>28</v>
      </c>
      <c r="N8" s="2" t="str">
        <f t="shared" si="0"/>
        <v>Agriculture Products Poultry &amp; Meal Products</v>
      </c>
      <c r="O8" s="2">
        <v>9.42</v>
      </c>
      <c r="P8" s="2">
        <v>3.95</v>
      </c>
      <c r="Q8" s="2"/>
      <c r="S8" s="1"/>
      <c r="T8" s="1"/>
    </row>
    <row r="9" spans="1:22" ht="15" customHeight="1" x14ac:dyDescent="0.2">
      <c r="A9" s="677" t="s">
        <v>5</v>
      </c>
      <c r="B9" s="677"/>
      <c r="C9" s="381">
        <f>'Loan Details'!C12</f>
        <v>0</v>
      </c>
      <c r="D9" s="381"/>
      <c r="E9" s="381"/>
      <c r="F9" s="381"/>
      <c r="G9" s="381"/>
      <c r="H9" s="381"/>
      <c r="L9" s="2" t="s">
        <v>23</v>
      </c>
      <c r="M9" s="2" t="s">
        <v>29</v>
      </c>
      <c r="N9" s="2" t="str">
        <f t="shared" si="0"/>
        <v>Agriculture Products Agri-seed</v>
      </c>
      <c r="O9" s="2">
        <v>15.98</v>
      </c>
      <c r="P9" s="2">
        <v>3.95</v>
      </c>
      <c r="Q9" s="2"/>
    </row>
    <row r="10" spans="1:22" ht="15" customHeight="1" x14ac:dyDescent="0.3">
      <c r="A10" s="517" t="s">
        <v>525</v>
      </c>
      <c r="B10" s="517"/>
      <c r="C10" s="517"/>
      <c r="D10" s="517"/>
      <c r="E10" s="517"/>
      <c r="F10" s="517"/>
      <c r="G10" s="517"/>
      <c r="H10" s="517"/>
      <c r="L10" s="2" t="s">
        <v>23</v>
      </c>
      <c r="M10" s="2" t="s">
        <v>30</v>
      </c>
      <c r="N10" s="2" t="str">
        <f t="shared" si="0"/>
        <v>Agriculture Products Spices</v>
      </c>
      <c r="O10" s="2">
        <v>6.64</v>
      </c>
      <c r="P10" s="2">
        <v>3.95</v>
      </c>
      <c r="Q10" s="2"/>
      <c r="R10" s="671"/>
      <c r="S10" s="671"/>
      <c r="T10" s="3"/>
    </row>
    <row r="11" spans="1:22" ht="15" customHeight="1" x14ac:dyDescent="0.2">
      <c r="A11" s="518" t="s">
        <v>784</v>
      </c>
      <c r="B11" s="114" t="s">
        <v>8</v>
      </c>
      <c r="C11" s="114" t="s">
        <v>438</v>
      </c>
      <c r="D11" s="114" t="s">
        <v>439</v>
      </c>
      <c r="E11" s="114" t="s">
        <v>440</v>
      </c>
      <c r="F11" s="114" t="s">
        <v>441</v>
      </c>
      <c r="G11" s="114" t="s">
        <v>442</v>
      </c>
      <c r="H11" s="114" t="s">
        <v>443</v>
      </c>
      <c r="L11" s="2" t="s">
        <v>23</v>
      </c>
      <c r="M11" s="2" t="s">
        <v>31</v>
      </c>
      <c r="N11" s="2" t="str">
        <f t="shared" si="0"/>
        <v>Agriculture Products Starches</v>
      </c>
      <c r="O11" s="2">
        <v>8.61</v>
      </c>
      <c r="P11" s="2">
        <v>3.95</v>
      </c>
      <c r="Q11" s="2"/>
      <c r="R11" s="671"/>
      <c r="S11" s="671"/>
      <c r="T11" s="22"/>
    </row>
    <row r="12" spans="1:22" ht="15" customHeight="1" x14ac:dyDescent="0.2">
      <c r="A12" s="518"/>
      <c r="B12" s="128" t="s">
        <v>782</v>
      </c>
      <c r="C12" s="107"/>
      <c r="D12" s="107"/>
      <c r="E12" s="107"/>
      <c r="F12" s="107"/>
      <c r="G12" s="107"/>
      <c r="H12" s="107"/>
      <c r="L12" s="2" t="s">
        <v>23</v>
      </c>
      <c r="M12" s="2" t="s">
        <v>32</v>
      </c>
      <c r="N12" s="2" t="str">
        <f t="shared" si="0"/>
        <v>Agriculture Products Sugar</v>
      </c>
      <c r="O12" s="2">
        <v>9.69</v>
      </c>
      <c r="P12" s="2">
        <v>3.95</v>
      </c>
      <c r="Q12" s="2"/>
    </row>
    <row r="13" spans="1:22" ht="15" customHeight="1" x14ac:dyDescent="0.2">
      <c r="A13" s="518"/>
      <c r="B13" s="518" t="str">
        <f>IF(B12="Yearly","Enter Turnover in X",IF(B12="Half-yearly","Enter Turnover in X and X-1, X as latest",IF(B12="Quarterly","Enter Turnover in X to X-3, X as latest","Enter Turnover in X to X-12, X as latest")))</f>
        <v>Enter Turnover in X</v>
      </c>
      <c r="C13" s="114" t="s">
        <v>444</v>
      </c>
      <c r="D13" s="114" t="s">
        <v>445</v>
      </c>
      <c r="E13" s="114" t="s">
        <v>446</v>
      </c>
      <c r="F13" s="114" t="s">
        <v>447</v>
      </c>
      <c r="G13" s="114" t="s">
        <v>448</v>
      </c>
      <c r="H13" s="114" t="s">
        <v>449</v>
      </c>
      <c r="L13" s="2" t="s">
        <v>23</v>
      </c>
      <c r="M13" s="2" t="s">
        <v>33</v>
      </c>
      <c r="N13" s="2" t="str">
        <f t="shared" si="0"/>
        <v>Agriculture Products Tea &amp; Coffee</v>
      </c>
      <c r="O13" s="2">
        <v>12.26</v>
      </c>
      <c r="P13" s="2">
        <v>3.95</v>
      </c>
      <c r="Q13" s="2"/>
      <c r="R13" s="671"/>
      <c r="S13" s="671"/>
      <c r="T13" s="3"/>
    </row>
    <row r="14" spans="1:22" ht="15" customHeight="1" x14ac:dyDescent="0.2">
      <c r="A14" s="518"/>
      <c r="B14" s="518"/>
      <c r="C14" s="107"/>
      <c r="D14" s="107"/>
      <c r="E14" s="107"/>
      <c r="F14" s="107"/>
      <c r="G14" s="107"/>
      <c r="H14" s="107"/>
      <c r="L14" s="2" t="s">
        <v>23</v>
      </c>
      <c r="M14" s="2" t="s">
        <v>34</v>
      </c>
      <c r="N14" s="2" t="str">
        <f t="shared" si="0"/>
        <v>Agriculture Products Tobacco Products</v>
      </c>
      <c r="O14" s="2">
        <v>6.09</v>
      </c>
      <c r="P14" s="2">
        <v>3.95</v>
      </c>
      <c r="Q14" s="2"/>
      <c r="R14" s="671"/>
      <c r="S14" s="671"/>
      <c r="T14" s="22"/>
    </row>
    <row r="15" spans="1:22" ht="15" customHeight="1" x14ac:dyDescent="0.2">
      <c r="A15" s="677" t="s">
        <v>783</v>
      </c>
      <c r="B15" s="677"/>
      <c r="C15" s="514">
        <f>IF(B12="Monthly",AVERAGE(C12,D12,E12,F12,G12,H12,C14,D14,E14,F14,G14,H14),IF(B12="Quarterly",(AVERAGE(H14,G14,F14,E14))/3,IF(B12="Half-yearly",(AVERAGE(H14,G14))/6,H14/12)))</f>
        <v>0</v>
      </c>
      <c r="D15" s="514"/>
      <c r="E15" s="514"/>
      <c r="F15" s="514"/>
      <c r="G15" s="514"/>
      <c r="H15" s="514"/>
      <c r="L15" s="2" t="s">
        <v>23</v>
      </c>
      <c r="M15" s="2" t="s">
        <v>35</v>
      </c>
      <c r="N15" s="2" t="str">
        <f t="shared" si="0"/>
        <v>Agriculture Products Vegetables, roots and tubers</v>
      </c>
      <c r="O15" s="2">
        <v>6.64</v>
      </c>
      <c r="P15" s="2">
        <v>3.95</v>
      </c>
      <c r="Q15" s="2"/>
    </row>
    <row r="16" spans="1:22" ht="15" customHeight="1" x14ac:dyDescent="0.2">
      <c r="A16" s="677" t="s">
        <v>450</v>
      </c>
      <c r="B16" s="677"/>
      <c r="C16" s="678" t="e">
        <f ca="1">C7/100</f>
        <v>#N/A</v>
      </c>
      <c r="D16" s="678"/>
      <c r="E16" s="678"/>
      <c r="F16" s="678"/>
      <c r="G16" s="678"/>
      <c r="H16" s="678"/>
      <c r="L16" s="2" t="s">
        <v>36</v>
      </c>
      <c r="M16" s="2" t="s">
        <v>36</v>
      </c>
      <c r="N16" s="2" t="str">
        <f t="shared" si="0"/>
        <v>Air-conditioners &amp; refrigerators Air-conditioners &amp; refrigerators</v>
      </c>
      <c r="O16" s="2">
        <v>7.43</v>
      </c>
      <c r="P16" s="2">
        <v>7.43</v>
      </c>
      <c r="Q16" s="2"/>
      <c r="R16" s="671"/>
      <c r="S16" s="671"/>
    </row>
    <row r="17" spans="1:17" ht="15" customHeight="1" x14ac:dyDescent="0.2">
      <c r="A17" s="677" t="s">
        <v>779</v>
      </c>
      <c r="B17" s="677"/>
      <c r="C17" s="514" t="e">
        <f ca="1">C16*C15</f>
        <v>#N/A</v>
      </c>
      <c r="D17" s="514"/>
      <c r="E17" s="514"/>
      <c r="F17" s="514"/>
      <c r="G17" s="514"/>
      <c r="H17" s="514"/>
      <c r="L17" s="2" t="s">
        <v>37</v>
      </c>
      <c r="M17" s="2" t="s">
        <v>38</v>
      </c>
      <c r="N17" s="2" t="str">
        <f t="shared" si="0"/>
        <v>Automobiles 2 &amp; 3 Wheelers</v>
      </c>
      <c r="O17" s="2"/>
      <c r="P17" s="2">
        <v>5.43</v>
      </c>
      <c r="Q17" s="2"/>
    </row>
    <row r="18" spans="1:17" ht="12.75" customHeight="1" x14ac:dyDescent="0.2">
      <c r="A18" s="677" t="s">
        <v>10</v>
      </c>
      <c r="B18" s="677"/>
      <c r="C18" s="514">
        <f>C9</f>
        <v>0</v>
      </c>
      <c r="D18" s="514"/>
      <c r="E18" s="514"/>
      <c r="F18" s="514"/>
      <c r="G18" s="514"/>
      <c r="H18" s="514"/>
      <c r="L18" s="2" t="s">
        <v>37</v>
      </c>
      <c r="M18" s="2" t="s">
        <v>39</v>
      </c>
      <c r="N18" s="2" t="str">
        <f t="shared" si="0"/>
        <v>Automobiles Automobiles ancillaries</v>
      </c>
      <c r="O18" s="2">
        <v>10.17</v>
      </c>
      <c r="P18" s="2">
        <v>5.43</v>
      </c>
      <c r="Q18" s="2"/>
    </row>
    <row r="19" spans="1:17" ht="12.75" customHeight="1" x14ac:dyDescent="0.2">
      <c r="A19" s="681" t="s">
        <v>777</v>
      </c>
      <c r="B19" s="682"/>
      <c r="C19" s="683">
        <f>-PMT(C3/12,C4,C2)</f>
        <v>0</v>
      </c>
      <c r="D19" s="684"/>
      <c r="E19" s="684"/>
      <c r="F19" s="684"/>
      <c r="G19" s="684"/>
      <c r="H19" s="684"/>
      <c r="L19" s="2" t="s">
        <v>37</v>
      </c>
      <c r="M19" s="2" t="s">
        <v>40</v>
      </c>
      <c r="N19" s="2" t="str">
        <f t="shared" si="0"/>
        <v>Automobiles Cycle &amp; accessories</v>
      </c>
      <c r="O19" s="2">
        <v>10.17</v>
      </c>
      <c r="P19" s="2">
        <v>5.43</v>
      </c>
      <c r="Q19" s="2"/>
    </row>
    <row r="20" spans="1:17" ht="14.25" customHeight="1" x14ac:dyDescent="0.2">
      <c r="A20" s="681" t="s">
        <v>776</v>
      </c>
      <c r="B20" s="682"/>
      <c r="C20" s="685" t="e">
        <f ca="1">(C18+C19)/C17</f>
        <v>#N/A</v>
      </c>
      <c r="D20" s="686"/>
      <c r="E20" s="686"/>
      <c r="F20" s="686"/>
      <c r="G20" s="686"/>
      <c r="H20" s="686"/>
      <c r="L20" s="2" t="s">
        <v>37</v>
      </c>
      <c r="M20" s="2" t="s">
        <v>41</v>
      </c>
      <c r="N20" s="2" t="str">
        <f t="shared" si="0"/>
        <v>Automobiles Passenger &amp; commercial vehicles</v>
      </c>
      <c r="O20" s="2">
        <v>2.7</v>
      </c>
      <c r="P20" s="2">
        <v>5.43</v>
      </c>
      <c r="Q20" s="2"/>
    </row>
    <row r="21" spans="1:17" ht="14.25" customHeight="1" x14ac:dyDescent="0.2">
      <c r="A21" s="681" t="s">
        <v>775</v>
      </c>
      <c r="B21" s="682"/>
      <c r="C21" s="461" t="e">
        <f ca="1">IF(C20&gt;75%,"Not Eligible for applied Loan Amount","Eligible for Loan maximum upto INR 50 lacs")</f>
        <v>#N/A</v>
      </c>
      <c r="D21" s="462"/>
      <c r="E21" s="462"/>
      <c r="F21" s="462"/>
      <c r="G21" s="462"/>
      <c r="H21" s="462"/>
      <c r="L21" s="2" t="s">
        <v>37</v>
      </c>
      <c r="M21" s="2" t="s">
        <v>42</v>
      </c>
      <c r="N21" s="2" t="str">
        <f t="shared" si="0"/>
        <v>Automobiles Tyres&amp; Tubes</v>
      </c>
      <c r="O21" s="2">
        <v>8.5</v>
      </c>
      <c r="P21" s="2">
        <v>5.43</v>
      </c>
      <c r="Q21" s="2"/>
    </row>
    <row r="22" spans="1:17" ht="5.25" customHeight="1" x14ac:dyDescent="0.2">
      <c r="L22" s="2" t="s">
        <v>43</v>
      </c>
      <c r="M22" s="2" t="s">
        <v>44</v>
      </c>
      <c r="N22" s="2" t="str">
        <f t="shared" si="0"/>
        <v>Professional Services Architectural services &amp; interior designing service</v>
      </c>
      <c r="O22" s="2"/>
      <c r="P22" s="2"/>
      <c r="Q22" s="2">
        <v>12.36</v>
      </c>
    </row>
    <row r="23" spans="1:17" ht="6.75" hidden="1" customHeight="1" x14ac:dyDescent="0.2">
      <c r="L23" s="2" t="s">
        <v>45</v>
      </c>
      <c r="M23" s="2" t="s">
        <v>46</v>
      </c>
      <c r="N23" s="2" t="str">
        <f t="shared" si="0"/>
        <v>Board line/ Multiline General Merchandise Stores</v>
      </c>
      <c r="O23" s="2"/>
      <c r="P23" s="2">
        <v>5.04</v>
      </c>
      <c r="Q23" s="2"/>
    </row>
    <row r="24" spans="1:17" ht="14.25" hidden="1" customHeight="1" x14ac:dyDescent="0.2">
      <c r="L24" s="2" t="s">
        <v>47</v>
      </c>
      <c r="M24" s="2" t="s">
        <v>48</v>
      </c>
      <c r="N24" s="2" t="str">
        <f t="shared" si="0"/>
        <v>Cement Cement Products &amp; asbestos products</v>
      </c>
      <c r="O24" s="2">
        <v>10.99</v>
      </c>
      <c r="P24" s="2">
        <v>5.04</v>
      </c>
      <c r="Q24" s="2"/>
    </row>
    <row r="25" spans="1:17" ht="14.25" hidden="1" customHeight="1" x14ac:dyDescent="0.2">
      <c r="L25" s="2" t="s">
        <v>49</v>
      </c>
      <c r="M25" s="2" t="s">
        <v>50</v>
      </c>
      <c r="N25" s="2" t="str">
        <f t="shared" si="0"/>
        <v>Chemicals Acids &amp; Salts</v>
      </c>
      <c r="O25" s="2">
        <v>9.48</v>
      </c>
      <c r="P25" s="2">
        <v>5.31</v>
      </c>
      <c r="Q25" s="2"/>
    </row>
    <row r="26" spans="1:17" hidden="1" x14ac:dyDescent="0.2">
      <c r="L26" s="2" t="s">
        <v>49</v>
      </c>
      <c r="M26" s="2" t="s">
        <v>52</v>
      </c>
      <c r="N26" s="2" t="str">
        <f t="shared" si="0"/>
        <v>Chemicals Chemicals including inorganic</v>
      </c>
      <c r="O26" s="2">
        <v>9.48</v>
      </c>
      <c r="P26" s="2">
        <v>5.31</v>
      </c>
      <c r="Q26" s="2"/>
    </row>
    <row r="27" spans="1:17" hidden="1" x14ac:dyDescent="0.2">
      <c r="L27" s="2" t="s">
        <v>49</v>
      </c>
      <c r="M27" s="2" t="s">
        <v>53</v>
      </c>
      <c r="N27" s="2" t="str">
        <f t="shared" si="0"/>
        <v>Chemicals Dyes &amp; pigments</v>
      </c>
      <c r="O27" s="2">
        <v>8.11</v>
      </c>
      <c r="P27" s="2">
        <v>5.31</v>
      </c>
      <c r="Q27" s="2"/>
    </row>
    <row r="28" spans="1:17" hidden="1" x14ac:dyDescent="0.2">
      <c r="L28" s="2" t="s">
        <v>49</v>
      </c>
      <c r="M28" s="2" t="s">
        <v>54</v>
      </c>
      <c r="N28" s="2" t="str">
        <f t="shared" si="0"/>
        <v>Chemicals Fertilizers</v>
      </c>
      <c r="O28" s="2">
        <v>8.81</v>
      </c>
      <c r="P28" s="2">
        <v>5.31</v>
      </c>
      <c r="Q28" s="2"/>
    </row>
    <row r="29" spans="1:17" hidden="1" x14ac:dyDescent="0.2">
      <c r="L29" s="2" t="s">
        <v>49</v>
      </c>
      <c r="M29" s="2" t="s">
        <v>55</v>
      </c>
      <c r="N29" s="2" t="str">
        <f t="shared" si="0"/>
        <v>Chemicals Industrial Gases</v>
      </c>
      <c r="O29" s="2">
        <v>9.48</v>
      </c>
      <c r="P29" s="2">
        <v>5.31</v>
      </c>
      <c r="Q29" s="2"/>
    </row>
    <row r="30" spans="1:17" hidden="1" x14ac:dyDescent="0.2">
      <c r="L30" s="2" t="s">
        <v>49</v>
      </c>
      <c r="M30" s="2" t="s">
        <v>56</v>
      </c>
      <c r="N30" s="2" t="str">
        <f t="shared" si="0"/>
        <v>Chemicals Pesticides</v>
      </c>
      <c r="O30" s="2">
        <v>7.45</v>
      </c>
      <c r="P30" s="2">
        <v>5.31</v>
      </c>
      <c r="Q30" s="2"/>
    </row>
    <row r="31" spans="1:17" hidden="1" x14ac:dyDescent="0.2">
      <c r="L31" s="2" t="s">
        <v>49</v>
      </c>
      <c r="M31" s="2" t="s">
        <v>57</v>
      </c>
      <c r="N31" s="2" t="str">
        <f t="shared" si="0"/>
        <v>Chemicals Petrochemicals including organic</v>
      </c>
      <c r="O31" s="2">
        <v>7.15</v>
      </c>
      <c r="P31" s="2">
        <v>5.31</v>
      </c>
      <c r="Q31" s="2"/>
    </row>
    <row r="32" spans="1:17" hidden="1" x14ac:dyDescent="0.2">
      <c r="L32" s="2" t="s">
        <v>49</v>
      </c>
      <c r="M32" s="2" t="s">
        <v>58</v>
      </c>
      <c r="N32" s="2" t="str">
        <f t="shared" si="0"/>
        <v>Chemicals Polymers</v>
      </c>
      <c r="O32" s="2">
        <v>6.29</v>
      </c>
      <c r="P32" s="2">
        <v>5.31</v>
      </c>
      <c r="Q32" s="2"/>
    </row>
    <row r="33" spans="12:18" hidden="1" x14ac:dyDescent="0.2">
      <c r="L33" s="2" t="s">
        <v>49</v>
      </c>
      <c r="M33" s="2" t="s">
        <v>59</v>
      </c>
      <c r="N33" s="2" t="str">
        <f t="shared" si="0"/>
        <v>Chemicals Refractories</v>
      </c>
      <c r="O33" s="2">
        <v>10.11</v>
      </c>
      <c r="P33" s="2">
        <v>5.31</v>
      </c>
      <c r="Q33" s="2"/>
    </row>
    <row r="34" spans="12:18" hidden="1" x14ac:dyDescent="0.2">
      <c r="L34" s="2" t="s">
        <v>60</v>
      </c>
      <c r="M34" s="2" t="s">
        <v>61</v>
      </c>
      <c r="N34" s="2" t="str">
        <f t="shared" si="0"/>
        <v>Computers Computer – Education</v>
      </c>
      <c r="O34" s="2"/>
      <c r="P34" s="2"/>
      <c r="Q34" s="2">
        <v>10.73</v>
      </c>
    </row>
    <row r="35" spans="12:18" hidden="1" x14ac:dyDescent="0.2">
      <c r="L35" s="2" t="s">
        <v>60</v>
      </c>
      <c r="M35" s="2" t="s">
        <v>62</v>
      </c>
      <c r="N35" s="2" t="str">
        <f t="shared" si="0"/>
        <v>Computers Computer – Software</v>
      </c>
      <c r="O35" s="2"/>
      <c r="P35" s="2"/>
      <c r="Q35" s="2">
        <v>12.9</v>
      </c>
    </row>
    <row r="36" spans="12:18" hidden="1" x14ac:dyDescent="0.2">
      <c r="L36" s="2" t="s">
        <v>60</v>
      </c>
      <c r="M36" s="2" t="s">
        <v>63</v>
      </c>
      <c r="N36" s="2" t="str">
        <f t="shared" si="0"/>
        <v>Computers Computer – Electronics</v>
      </c>
      <c r="O36" s="2">
        <v>7.98</v>
      </c>
      <c r="P36" s="2">
        <v>7.98</v>
      </c>
      <c r="Q36" s="2"/>
    </row>
    <row r="37" spans="12:18" hidden="1" x14ac:dyDescent="0.2">
      <c r="L37" s="2" t="s">
        <v>64</v>
      </c>
      <c r="M37" s="2" t="s">
        <v>65</v>
      </c>
      <c r="N37" s="2" t="str">
        <f t="shared" si="0"/>
        <v>Construction Ceramic Tiles &amp; Sanitary ware</v>
      </c>
      <c r="O37" s="2">
        <v>9.64</v>
      </c>
      <c r="P37" s="2">
        <v>5.04</v>
      </c>
      <c r="Q37" s="2"/>
    </row>
    <row r="38" spans="12:18" hidden="1" x14ac:dyDescent="0.2">
      <c r="L38" s="2" t="s">
        <v>64</v>
      </c>
      <c r="M38" s="2" t="s">
        <v>66</v>
      </c>
      <c r="N38" s="2" t="str">
        <f t="shared" si="0"/>
        <v>Construction Commercial Complex</v>
      </c>
      <c r="O38" s="2"/>
      <c r="P38" s="2"/>
      <c r="Q38" s="2">
        <v>9.65</v>
      </c>
    </row>
    <row r="39" spans="12:18" hidden="1" x14ac:dyDescent="0.2">
      <c r="L39" s="2" t="s">
        <v>64</v>
      </c>
      <c r="M39" s="2" t="s">
        <v>67</v>
      </c>
      <c r="N39" s="2" t="str">
        <f t="shared" si="0"/>
        <v>Construction Construction (Residential)</v>
      </c>
      <c r="O39" s="2"/>
      <c r="P39" s="2"/>
      <c r="Q39" s="2">
        <v>13.94</v>
      </c>
    </row>
    <row r="40" spans="12:18" hidden="1" x14ac:dyDescent="0.2">
      <c r="L40" s="2" t="s">
        <v>64</v>
      </c>
      <c r="M40" s="2" t="s">
        <v>70</v>
      </c>
      <c r="N40" s="2" t="str">
        <f t="shared" si="0"/>
        <v>Construction Construction (Roads)</v>
      </c>
      <c r="O40" s="2"/>
      <c r="P40" s="2"/>
      <c r="Q40" s="2">
        <v>13.01</v>
      </c>
    </row>
    <row r="41" spans="12:18" hidden="1" x14ac:dyDescent="0.2">
      <c r="L41" s="2" t="s">
        <v>71</v>
      </c>
      <c r="M41" s="2" t="s">
        <v>71</v>
      </c>
      <c r="N41" s="2" t="str">
        <f t="shared" si="0"/>
        <v>Consumer Electronics Consumer Electronics</v>
      </c>
      <c r="O41" s="2">
        <v>7.98</v>
      </c>
      <c r="P41" s="2">
        <v>7.98</v>
      </c>
      <c r="Q41" s="2"/>
    </row>
    <row r="42" spans="12:18" hidden="1" x14ac:dyDescent="0.2">
      <c r="L42" s="2" t="s">
        <v>72</v>
      </c>
      <c r="M42" s="2" t="s">
        <v>73</v>
      </c>
      <c r="N42" s="2" t="str">
        <f t="shared" si="0"/>
        <v>Containers &amp; Packaging Packaging</v>
      </c>
      <c r="O42" s="2">
        <v>9.4499999999999993</v>
      </c>
      <c r="P42" s="2">
        <v>9.4499999999999993</v>
      </c>
      <c r="Q42" s="2">
        <v>9.4499999999999993</v>
      </c>
    </row>
    <row r="43" spans="12:18" hidden="1" x14ac:dyDescent="0.2">
      <c r="L43" s="2" t="s">
        <v>74</v>
      </c>
      <c r="M43" s="2" t="s">
        <v>75</v>
      </c>
      <c r="N43" s="2" t="str">
        <f t="shared" si="0"/>
        <v>Durables Hardware, Plumbing &amp; Heating Equipment</v>
      </c>
      <c r="O43" s="2">
        <v>6.94</v>
      </c>
      <c r="P43" s="2">
        <v>6.94</v>
      </c>
      <c r="Q43" s="2">
        <v>6.94</v>
      </c>
      <c r="R43" s="3" t="e">
        <f>PMT(#REF!/12,#REF!,-#REF!)</f>
        <v>#REF!</v>
      </c>
    </row>
    <row r="44" spans="12:18" hidden="1" x14ac:dyDescent="0.2">
      <c r="L44" s="2" t="s">
        <v>76</v>
      </c>
      <c r="M44" s="2" t="s">
        <v>77</v>
      </c>
      <c r="N44" s="2" t="str">
        <f t="shared" si="0"/>
        <v>Electronics Domestic Appliances &amp; Machinery</v>
      </c>
      <c r="O44" s="2">
        <v>8.58</v>
      </c>
      <c r="P44" s="2">
        <v>8.58</v>
      </c>
      <c r="Q44" s="2"/>
    </row>
    <row r="45" spans="12:18" hidden="1" x14ac:dyDescent="0.2">
      <c r="L45" s="2" t="s">
        <v>78</v>
      </c>
      <c r="M45" s="2" t="s">
        <v>79</v>
      </c>
      <c r="N45" s="2" t="str">
        <f t="shared" si="0"/>
        <v>Entertainments &amp; Leisure Hotels &amp; Restaurants</v>
      </c>
      <c r="O45" s="2"/>
      <c r="P45" s="2"/>
      <c r="Q45" s="2">
        <v>18.14</v>
      </c>
    </row>
    <row r="46" spans="12:18" hidden="1" x14ac:dyDescent="0.2">
      <c r="L46" s="2" t="s">
        <v>78</v>
      </c>
      <c r="M46" s="2" t="s">
        <v>80</v>
      </c>
      <c r="N46" s="2" t="str">
        <f t="shared" si="0"/>
        <v>Entertainments &amp; Leisure Recreation &amp; Amusement Parks</v>
      </c>
      <c r="O46" s="2"/>
      <c r="P46" s="2"/>
      <c r="Q46" s="2">
        <v>10.38</v>
      </c>
    </row>
    <row r="47" spans="12:18" hidden="1" x14ac:dyDescent="0.2">
      <c r="L47" s="2" t="s">
        <v>78</v>
      </c>
      <c r="M47" s="2" t="s">
        <v>81</v>
      </c>
      <c r="N47" s="2" t="str">
        <f t="shared" si="0"/>
        <v>Entertainments &amp; Leisure Travel Services</v>
      </c>
      <c r="O47" s="2"/>
      <c r="P47" s="2"/>
      <c r="Q47" s="2">
        <v>5.4</v>
      </c>
    </row>
    <row r="48" spans="12:18" hidden="1" x14ac:dyDescent="0.2">
      <c r="L48" s="2" t="s">
        <v>82</v>
      </c>
      <c r="M48" s="2" t="s">
        <v>82</v>
      </c>
      <c r="N48" s="2" t="str">
        <f t="shared" si="0"/>
        <v>FMCG FMCG</v>
      </c>
      <c r="O48" s="2">
        <v>7.6</v>
      </c>
      <c r="P48" s="2">
        <v>5.04</v>
      </c>
      <c r="Q48" s="2"/>
    </row>
    <row r="49" spans="12:17" hidden="1" x14ac:dyDescent="0.2">
      <c r="L49" s="2" t="s">
        <v>83</v>
      </c>
      <c r="M49" s="2" t="s">
        <v>84</v>
      </c>
      <c r="N49" s="2" t="str">
        <f t="shared" si="0"/>
        <v>Food and Beverages Beer, Wine &amp;Distilled Alcoholic Beverages</v>
      </c>
      <c r="O49" s="2">
        <v>7.17</v>
      </c>
      <c r="P49" s="2">
        <v>3.95</v>
      </c>
      <c r="Q49" s="2"/>
    </row>
    <row r="50" spans="12:17" hidden="1" x14ac:dyDescent="0.2">
      <c r="L50" s="2" t="s">
        <v>83</v>
      </c>
      <c r="M50" s="2" t="s">
        <v>85</v>
      </c>
      <c r="N50" s="2" t="str">
        <f t="shared" si="0"/>
        <v>Food and Beverages Processed/Packaged, foods/foods &amp; beverages products (other than poultry meat)</v>
      </c>
      <c r="O50" s="2">
        <v>6.49</v>
      </c>
      <c r="P50" s="2">
        <v>3.95</v>
      </c>
      <c r="Q50" s="2"/>
    </row>
    <row r="51" spans="12:17" hidden="1" x14ac:dyDescent="0.2">
      <c r="L51" s="2" t="s">
        <v>83</v>
      </c>
      <c r="M51" s="2" t="s">
        <v>86</v>
      </c>
      <c r="N51" s="2" t="str">
        <f t="shared" si="0"/>
        <v>Food and Beverages Soft Drinks</v>
      </c>
      <c r="O51" s="2">
        <v>7.17</v>
      </c>
      <c r="P51" s="2">
        <v>3.95</v>
      </c>
      <c r="Q51" s="2"/>
    </row>
    <row r="52" spans="12:17" hidden="1" x14ac:dyDescent="0.2">
      <c r="L52" s="2" t="s">
        <v>87</v>
      </c>
      <c r="M52" s="2" t="s">
        <v>88</v>
      </c>
      <c r="N52" s="2" t="str">
        <f t="shared" si="0"/>
        <v>Food Processing Bakery products</v>
      </c>
      <c r="O52" s="2">
        <v>4.34</v>
      </c>
      <c r="P52" s="2">
        <v>3.95</v>
      </c>
      <c r="Q52" s="2"/>
    </row>
    <row r="53" spans="12:17" hidden="1" x14ac:dyDescent="0.2">
      <c r="L53" s="2" t="s">
        <v>89</v>
      </c>
      <c r="M53" s="2" t="s">
        <v>90</v>
      </c>
      <c r="N53" s="2" t="str">
        <f t="shared" si="0"/>
        <v>Food Products Dairy products</v>
      </c>
      <c r="O53" s="2">
        <v>5.33</v>
      </c>
      <c r="P53" s="2">
        <v>3.95</v>
      </c>
      <c r="Q53" s="2"/>
    </row>
    <row r="54" spans="12:17" hidden="1" x14ac:dyDescent="0.2">
      <c r="L54" s="2" t="s">
        <v>89</v>
      </c>
      <c r="M54" s="2" t="s">
        <v>91</v>
      </c>
      <c r="N54" s="2" t="str">
        <f t="shared" si="0"/>
        <v>Food Products Marine foods</v>
      </c>
      <c r="O54" s="2">
        <v>9.42</v>
      </c>
      <c r="P54" s="2">
        <v>3.95</v>
      </c>
      <c r="Q54" s="2"/>
    </row>
    <row r="55" spans="12:17" hidden="1" x14ac:dyDescent="0.2">
      <c r="L55" s="2" t="s">
        <v>89</v>
      </c>
      <c r="M55" s="2" t="s">
        <v>92</v>
      </c>
      <c r="N55" s="2" t="str">
        <f t="shared" si="0"/>
        <v>Food Products Milling products</v>
      </c>
      <c r="O55" s="2">
        <v>3.4</v>
      </c>
      <c r="P55" s="2">
        <v>3.95</v>
      </c>
      <c r="Q55" s="2"/>
    </row>
    <row r="56" spans="12:17" hidden="1" x14ac:dyDescent="0.2">
      <c r="L56" s="2" t="s">
        <v>89</v>
      </c>
      <c r="M56" s="2" t="s">
        <v>93</v>
      </c>
      <c r="N56" s="2" t="str">
        <f t="shared" si="0"/>
        <v>Food Products Rice</v>
      </c>
      <c r="O56" s="2">
        <v>4.8899999999999997</v>
      </c>
      <c r="P56" s="2">
        <v>3.95</v>
      </c>
      <c r="Q56" s="2"/>
    </row>
    <row r="57" spans="12:17" hidden="1" x14ac:dyDescent="0.2">
      <c r="L57" s="2" t="s">
        <v>89</v>
      </c>
      <c r="M57" s="2" t="s">
        <v>94</v>
      </c>
      <c r="N57" s="2" t="str">
        <f t="shared" si="0"/>
        <v>Food Products Soya bean products</v>
      </c>
      <c r="O57" s="2">
        <v>6.64</v>
      </c>
      <c r="P57" s="2">
        <v>3.95</v>
      </c>
      <c r="Q57" s="2"/>
    </row>
    <row r="58" spans="12:17" hidden="1" x14ac:dyDescent="0.2">
      <c r="L58" s="2" t="s">
        <v>95</v>
      </c>
      <c r="M58" s="2" t="s">
        <v>96</v>
      </c>
      <c r="N58" s="2" t="str">
        <f t="shared" si="0"/>
        <v>Granite / Marbles Granite</v>
      </c>
      <c r="O58" s="2">
        <v>11.15</v>
      </c>
      <c r="P58" s="2">
        <v>5.8</v>
      </c>
      <c r="Q58" s="2"/>
    </row>
    <row r="59" spans="12:17" hidden="1" x14ac:dyDescent="0.2">
      <c r="L59" s="2" t="s">
        <v>97</v>
      </c>
      <c r="M59" s="2" t="s">
        <v>98</v>
      </c>
      <c r="N59" s="2" t="str">
        <f t="shared" si="0"/>
        <v>Hardware Equipment Office Equipment</v>
      </c>
      <c r="O59" s="2">
        <v>7.98</v>
      </c>
      <c r="P59" s="2">
        <v>7.98</v>
      </c>
      <c r="Q59" s="2"/>
    </row>
    <row r="60" spans="12:17" hidden="1" x14ac:dyDescent="0.2">
      <c r="L60" s="2" t="s">
        <v>99</v>
      </c>
      <c r="M60" s="2" t="s">
        <v>100</v>
      </c>
      <c r="N60" s="2" t="str">
        <f t="shared" si="0"/>
        <v>Healthcare Medical &amp; Health Services/Diagnostic center</v>
      </c>
      <c r="O60" s="2"/>
      <c r="P60" s="2"/>
      <c r="Q60" s="2">
        <v>18.5</v>
      </c>
    </row>
    <row r="61" spans="12:17" hidden="1" x14ac:dyDescent="0.2">
      <c r="L61" s="2" t="s">
        <v>99</v>
      </c>
      <c r="M61" s="2" t="s">
        <v>101</v>
      </c>
      <c r="N61" s="2" t="str">
        <f t="shared" si="0"/>
        <v>Healthcare Medical Equipment &amp; medical supplies</v>
      </c>
      <c r="O61" s="2">
        <v>8.8000000000000007</v>
      </c>
      <c r="P61" s="2">
        <v>8.8000000000000007</v>
      </c>
      <c r="Q61" s="2"/>
    </row>
    <row r="62" spans="12:17" hidden="1" x14ac:dyDescent="0.2">
      <c r="L62" s="2" t="s">
        <v>102</v>
      </c>
      <c r="M62" s="2" t="s">
        <v>103</v>
      </c>
      <c r="N62" s="2" t="str">
        <f t="shared" si="0"/>
        <v>Healthcare Providers Diagnostic centers</v>
      </c>
      <c r="O62" s="2"/>
      <c r="P62" s="2"/>
      <c r="Q62" s="2">
        <v>18.5</v>
      </c>
    </row>
    <row r="63" spans="12:17" hidden="1" x14ac:dyDescent="0.2">
      <c r="L63" s="2" t="s">
        <v>102</v>
      </c>
      <c r="M63" s="2" t="s">
        <v>104</v>
      </c>
      <c r="N63" s="2" t="str">
        <f t="shared" si="0"/>
        <v>Healthcare Providers Drugs&amp;Pharmaceuticals</v>
      </c>
      <c r="O63" s="2">
        <v>11.15</v>
      </c>
      <c r="P63" s="2">
        <v>5.65</v>
      </c>
      <c r="Q63" s="2"/>
    </row>
    <row r="64" spans="12:17" hidden="1" x14ac:dyDescent="0.2">
      <c r="L64" s="2" t="s">
        <v>102</v>
      </c>
      <c r="M64" s="2" t="s">
        <v>105</v>
      </c>
      <c r="N64" s="2" t="str">
        <f t="shared" si="0"/>
        <v>Healthcare Providers Hospitals</v>
      </c>
      <c r="O64" s="2"/>
      <c r="P64" s="2"/>
      <c r="Q64" s="2">
        <v>13.41</v>
      </c>
    </row>
    <row r="65" spans="12:17" hidden="1" x14ac:dyDescent="0.2">
      <c r="L65" s="2" t="s">
        <v>106</v>
      </c>
      <c r="M65" s="2" t="s">
        <v>107</v>
      </c>
      <c r="N65" s="2" t="str">
        <f t="shared" si="0"/>
        <v>Household Products Detergents &amp; intermediates</v>
      </c>
      <c r="O65" s="2">
        <v>7.6</v>
      </c>
      <c r="P65" s="2">
        <v>5.04</v>
      </c>
      <c r="Q65" s="2"/>
    </row>
    <row r="66" spans="12:17" hidden="1" x14ac:dyDescent="0.2">
      <c r="L66" s="2" t="s">
        <v>106</v>
      </c>
      <c r="M66" s="2" t="s">
        <v>108</v>
      </c>
      <c r="N66" s="2" t="str">
        <f t="shared" si="0"/>
        <v>Household Products Electronics Equipment</v>
      </c>
      <c r="O66" s="2">
        <v>8.58</v>
      </c>
      <c r="P66" s="2">
        <v>8.58</v>
      </c>
      <c r="Q66" s="2"/>
    </row>
    <row r="67" spans="12:17" hidden="1" x14ac:dyDescent="0.2">
      <c r="L67" s="2" t="s">
        <v>106</v>
      </c>
      <c r="M67" s="2" t="s">
        <v>109</v>
      </c>
      <c r="N67" s="2" t="str">
        <f t="shared" ref="N67:N130" si="1">L67&amp;" "&amp;M67</f>
        <v>Household Products non - electrical machinery</v>
      </c>
      <c r="O67" s="2"/>
      <c r="P67" s="2"/>
      <c r="Q67" s="2"/>
    </row>
    <row r="68" spans="12:17" hidden="1" x14ac:dyDescent="0.2">
      <c r="L68" s="2" t="s">
        <v>106</v>
      </c>
      <c r="M68" s="2" t="s">
        <v>110</v>
      </c>
      <c r="N68" s="2" t="str">
        <f t="shared" si="1"/>
        <v>Household Products Personal Care</v>
      </c>
      <c r="O68" s="2">
        <v>7.6</v>
      </c>
      <c r="P68" s="2">
        <v>5.04</v>
      </c>
      <c r="Q68" s="2"/>
    </row>
    <row r="69" spans="12:17" hidden="1" x14ac:dyDescent="0.2">
      <c r="L69" s="2" t="s">
        <v>111</v>
      </c>
      <c r="M69" s="2" t="s">
        <v>112</v>
      </c>
      <c r="N69" s="2" t="str">
        <f t="shared" si="1"/>
        <v>Industrial Equipment Abrasives &amp; Grinding</v>
      </c>
      <c r="O69" s="2">
        <v>8.2200000000000006</v>
      </c>
      <c r="P69" s="2">
        <v>8.2200000000000006</v>
      </c>
      <c r="Q69" s="2"/>
    </row>
    <row r="70" spans="12:17" hidden="1" x14ac:dyDescent="0.2">
      <c r="L70" s="2" t="s">
        <v>111</v>
      </c>
      <c r="M70" s="2" t="s">
        <v>113</v>
      </c>
      <c r="N70" s="2" t="str">
        <f t="shared" si="1"/>
        <v>Industrial Equipment Bearings</v>
      </c>
      <c r="O70" s="2">
        <v>11.78</v>
      </c>
      <c r="P70" s="2">
        <v>11.78</v>
      </c>
      <c r="Q70" s="2"/>
    </row>
    <row r="71" spans="12:17" hidden="1" x14ac:dyDescent="0.2">
      <c r="L71" s="2" t="s">
        <v>111</v>
      </c>
      <c r="M71" s="2" t="s">
        <v>114</v>
      </c>
      <c r="N71" s="2" t="str">
        <f t="shared" si="1"/>
        <v>Industrial Equipment Compressors</v>
      </c>
      <c r="O71" s="2">
        <v>11.94</v>
      </c>
      <c r="P71" s="2">
        <v>11.94</v>
      </c>
      <c r="Q71" s="2"/>
    </row>
    <row r="72" spans="12:17" hidden="1" x14ac:dyDescent="0.2">
      <c r="L72" s="2" t="s">
        <v>111</v>
      </c>
      <c r="M72" s="2" t="s">
        <v>115</v>
      </c>
      <c r="N72" s="2" t="str">
        <f t="shared" si="1"/>
        <v>Industrial Equipment Electrical Equipment’s/Railway equipment</v>
      </c>
      <c r="O72" s="2">
        <v>10.36</v>
      </c>
      <c r="P72" s="2">
        <v>5.1100000000000003</v>
      </c>
      <c r="Q72" s="2"/>
    </row>
    <row r="73" spans="12:17" hidden="1" x14ac:dyDescent="0.2">
      <c r="L73" s="2" t="s">
        <v>111</v>
      </c>
      <c r="M73" s="2" t="s">
        <v>116</v>
      </c>
      <c r="N73" s="2" t="str">
        <f t="shared" si="1"/>
        <v>Industrial Equipment Welding electrodes / sticks / wires / fluxes welding related only</v>
      </c>
      <c r="O73" s="2">
        <v>10.62</v>
      </c>
      <c r="P73" s="2">
        <v>10.62</v>
      </c>
      <c r="Q73" s="2"/>
    </row>
    <row r="74" spans="12:17" hidden="1" x14ac:dyDescent="0.2">
      <c r="L74" s="2" t="s">
        <v>111</v>
      </c>
      <c r="M74" s="2" t="s">
        <v>117</v>
      </c>
      <c r="N74" s="2" t="str">
        <f t="shared" si="1"/>
        <v>Industrial Equipment Engines</v>
      </c>
      <c r="O74" s="2">
        <v>8.2799999999999994</v>
      </c>
      <c r="P74" s="2">
        <v>8.2799999999999994</v>
      </c>
      <c r="Q74" s="2"/>
    </row>
    <row r="75" spans="12:17" hidden="1" x14ac:dyDescent="0.2">
      <c r="L75" s="2" t="s">
        <v>111</v>
      </c>
      <c r="M75" s="2" t="s">
        <v>118</v>
      </c>
      <c r="N75" s="2" t="str">
        <f t="shared" si="1"/>
        <v>Industrial Equipment Fasteners</v>
      </c>
      <c r="O75" s="2">
        <v>11.57</v>
      </c>
      <c r="P75" s="2">
        <v>11.57</v>
      </c>
      <c r="Q75" s="2"/>
    </row>
    <row r="76" spans="12:17" hidden="1" x14ac:dyDescent="0.2">
      <c r="L76" s="2" t="s">
        <v>111</v>
      </c>
      <c r="M76" s="2" t="s">
        <v>119</v>
      </c>
      <c r="N76" s="2" t="str">
        <f t="shared" si="1"/>
        <v>Industrial Equipment Industrial furnaces</v>
      </c>
      <c r="O76" s="2">
        <v>2.12</v>
      </c>
      <c r="P76" s="2">
        <v>2.12</v>
      </c>
      <c r="Q76" s="2"/>
    </row>
    <row r="77" spans="12:17" hidden="1" x14ac:dyDescent="0.2">
      <c r="L77" s="2" t="s">
        <v>111</v>
      </c>
      <c r="M77" s="2" t="s">
        <v>120</v>
      </c>
      <c r="N77" s="2" t="str">
        <f t="shared" si="1"/>
        <v>Industrial Equipment Industrial machinery (All Types)</v>
      </c>
      <c r="O77" s="2">
        <v>10.36</v>
      </c>
      <c r="P77" s="2">
        <v>5.1100000000000003</v>
      </c>
      <c r="Q77" s="2"/>
    </row>
    <row r="78" spans="12:17" hidden="1" x14ac:dyDescent="0.2">
      <c r="L78" s="2" t="s">
        <v>111</v>
      </c>
      <c r="M78" s="2" t="s">
        <v>121</v>
      </c>
      <c r="N78" s="2" t="str">
        <f t="shared" si="1"/>
        <v>Industrial Equipment Machine Tools</v>
      </c>
      <c r="O78" s="2">
        <v>9.2100000000000009</v>
      </c>
      <c r="P78" s="2">
        <v>9.2100000000000009</v>
      </c>
      <c r="Q78" s="2"/>
    </row>
    <row r="79" spans="12:17" hidden="1" x14ac:dyDescent="0.2">
      <c r="L79" s="2" t="s">
        <v>111</v>
      </c>
      <c r="M79" s="2" t="s">
        <v>122</v>
      </c>
      <c r="N79" s="2" t="str">
        <f t="shared" si="1"/>
        <v>Industrial Equipment Motors &amp; generators</v>
      </c>
      <c r="O79" s="2">
        <v>10.36</v>
      </c>
      <c r="P79" s="2">
        <v>5.1100000000000003</v>
      </c>
      <c r="Q79" s="2"/>
    </row>
    <row r="80" spans="12:17" hidden="1" x14ac:dyDescent="0.2">
      <c r="L80" s="2" t="s">
        <v>111</v>
      </c>
      <c r="M80" s="2" t="s">
        <v>123</v>
      </c>
      <c r="N80" s="2" t="str">
        <f t="shared" si="1"/>
        <v>Industrial Equipment Power transmission line services</v>
      </c>
      <c r="O80" s="2"/>
      <c r="P80" s="2"/>
      <c r="Q80" s="2">
        <v>12.91</v>
      </c>
    </row>
    <row r="81" spans="12:17" hidden="1" x14ac:dyDescent="0.2">
      <c r="L81" s="2" t="s">
        <v>111</v>
      </c>
      <c r="M81" s="2" t="s">
        <v>124</v>
      </c>
      <c r="N81" s="2" t="str">
        <f t="shared" si="1"/>
        <v>Industrial Equipment Pumps</v>
      </c>
      <c r="O81" s="2">
        <v>12.81</v>
      </c>
      <c r="P81" s="2">
        <v>12.81</v>
      </c>
      <c r="Q81" s="2"/>
    </row>
    <row r="82" spans="12:17" hidden="1" x14ac:dyDescent="0.2">
      <c r="L82" s="2" t="s">
        <v>111</v>
      </c>
      <c r="M82" s="2" t="s">
        <v>125</v>
      </c>
      <c r="N82" s="2" t="str">
        <f t="shared" si="1"/>
        <v>Industrial Equipment Storage batteries</v>
      </c>
      <c r="O82" s="2">
        <v>7.75</v>
      </c>
      <c r="P82" s="2">
        <v>7.75</v>
      </c>
      <c r="Q82" s="2"/>
    </row>
    <row r="83" spans="12:17" hidden="1" x14ac:dyDescent="0.2">
      <c r="L83" s="2" t="s">
        <v>111</v>
      </c>
      <c r="M83" s="2" t="s">
        <v>126</v>
      </c>
      <c r="N83" s="2" t="str">
        <f t="shared" si="1"/>
        <v>Industrial Equipment Structure’s</v>
      </c>
      <c r="O83" s="2">
        <v>6.6</v>
      </c>
      <c r="P83" s="2">
        <v>6.6</v>
      </c>
      <c r="Q83" s="2"/>
    </row>
    <row r="84" spans="12:17" hidden="1" x14ac:dyDescent="0.2">
      <c r="L84" s="2" t="s">
        <v>111</v>
      </c>
      <c r="M84" s="2" t="s">
        <v>127</v>
      </c>
      <c r="N84" s="2" t="str">
        <f t="shared" si="1"/>
        <v>Industrial Equipment Switching apparatus</v>
      </c>
      <c r="O84" s="2">
        <v>9.91</v>
      </c>
      <c r="P84" s="2">
        <v>9.91</v>
      </c>
      <c r="Q84" s="2"/>
    </row>
    <row r="85" spans="12:17" hidden="1" x14ac:dyDescent="0.2">
      <c r="L85" s="2" t="s">
        <v>111</v>
      </c>
      <c r="M85" s="2" t="s">
        <v>128</v>
      </c>
      <c r="N85" s="2" t="str">
        <f t="shared" si="1"/>
        <v>Industrial Equipment Transformers</v>
      </c>
      <c r="O85" s="2">
        <v>7.13</v>
      </c>
      <c r="P85" s="2">
        <v>7.13</v>
      </c>
      <c r="Q85" s="2"/>
    </row>
    <row r="86" spans="12:17" hidden="1" x14ac:dyDescent="0.2">
      <c r="L86" s="2" t="s">
        <v>129</v>
      </c>
      <c r="M86" s="2" t="s">
        <v>130</v>
      </c>
      <c r="N86" s="2" t="str">
        <f t="shared" si="1"/>
        <v>Jewelry Gems &amp;Jewelry</v>
      </c>
      <c r="O86" s="2">
        <v>6.61</v>
      </c>
      <c r="P86" s="2">
        <v>6.61</v>
      </c>
      <c r="Q86" s="2"/>
    </row>
    <row r="87" spans="12:17" hidden="1" x14ac:dyDescent="0.2">
      <c r="L87" s="2" t="s">
        <v>131</v>
      </c>
      <c r="M87" s="2" t="s">
        <v>132</v>
      </c>
      <c r="N87" s="2" t="str">
        <f t="shared" si="1"/>
        <v>Media Advertising</v>
      </c>
      <c r="O87" s="2"/>
      <c r="P87" s="2"/>
      <c r="Q87" s="2">
        <v>12.47</v>
      </c>
    </row>
    <row r="88" spans="12:17" hidden="1" x14ac:dyDescent="0.2">
      <c r="L88" s="2" t="s">
        <v>131</v>
      </c>
      <c r="M88" s="2" t="s">
        <v>133</v>
      </c>
      <c r="N88" s="2" t="str">
        <f t="shared" si="1"/>
        <v>Media Animation Content Provider</v>
      </c>
      <c r="O88" s="2"/>
      <c r="P88" s="2"/>
      <c r="Q88" s="2">
        <v>12.9</v>
      </c>
    </row>
    <row r="89" spans="12:17" hidden="1" x14ac:dyDescent="0.2">
      <c r="L89" s="2" t="s">
        <v>131</v>
      </c>
      <c r="M89" s="2" t="s">
        <v>134</v>
      </c>
      <c r="N89" s="2" t="str">
        <f t="shared" si="1"/>
        <v>Media Cable and other pay television services</v>
      </c>
      <c r="O89" s="2"/>
      <c r="P89" s="2"/>
      <c r="Q89" s="2">
        <v>9.06</v>
      </c>
    </row>
    <row r="90" spans="12:17" hidden="1" x14ac:dyDescent="0.2">
      <c r="L90" s="2" t="s">
        <v>131</v>
      </c>
      <c r="M90" s="2" t="s">
        <v>135</v>
      </c>
      <c r="N90" s="2" t="str">
        <f t="shared" si="1"/>
        <v>Media Printing</v>
      </c>
      <c r="O90" s="2"/>
      <c r="P90" s="2"/>
      <c r="Q90" s="2">
        <v>11.95</v>
      </c>
    </row>
    <row r="91" spans="12:17" hidden="1" x14ac:dyDescent="0.2">
      <c r="L91" s="2" t="s">
        <v>131</v>
      </c>
      <c r="M91" s="2" t="s">
        <v>136</v>
      </c>
      <c r="N91" s="2" t="str">
        <f t="shared" si="1"/>
        <v>Media Publishing</v>
      </c>
      <c r="O91" s="2"/>
      <c r="P91" s="2"/>
      <c r="Q91" s="2">
        <v>11.95</v>
      </c>
    </row>
    <row r="92" spans="12:17" hidden="1" x14ac:dyDescent="0.2">
      <c r="L92" s="2" t="s">
        <v>137</v>
      </c>
      <c r="M92" s="2" t="s">
        <v>138</v>
      </c>
      <c r="N92" s="2" t="str">
        <f t="shared" si="1"/>
        <v>Metals Aluminum&amp;Aluminum Products (Manufacturer)</v>
      </c>
      <c r="O92" s="2">
        <v>7.6</v>
      </c>
      <c r="P92" s="2">
        <v>3</v>
      </c>
      <c r="Q92" s="2"/>
    </row>
    <row r="93" spans="12:17" hidden="1" x14ac:dyDescent="0.2">
      <c r="L93" s="2" t="s">
        <v>137</v>
      </c>
      <c r="M93" s="2" t="s">
        <v>139</v>
      </c>
      <c r="N93" s="2" t="str">
        <f t="shared" si="1"/>
        <v>Metals Castings &amp; forgings</v>
      </c>
      <c r="O93" s="2">
        <v>10.64</v>
      </c>
      <c r="P93" s="2">
        <v>3</v>
      </c>
      <c r="Q93" s="2"/>
    </row>
    <row r="94" spans="12:17" hidden="1" x14ac:dyDescent="0.2">
      <c r="L94" s="2" t="s">
        <v>137</v>
      </c>
      <c r="M94" s="2" t="s">
        <v>140</v>
      </c>
      <c r="N94" s="2" t="str">
        <f t="shared" si="1"/>
        <v>Metals Copper &amp; copper products (other than wire)</v>
      </c>
      <c r="O94" s="2">
        <v>7.13</v>
      </c>
      <c r="P94" s="2">
        <v>3</v>
      </c>
      <c r="Q94" s="2"/>
    </row>
    <row r="95" spans="12:17" hidden="1" x14ac:dyDescent="0.2">
      <c r="L95" s="2" t="s">
        <v>137</v>
      </c>
      <c r="M95" s="2" t="s">
        <v>141</v>
      </c>
      <c r="N95" s="2" t="str">
        <f t="shared" si="1"/>
        <v>Metals Ferro alloys, ferrous metals &amp; Pig iron</v>
      </c>
      <c r="O95" s="2">
        <v>7.51</v>
      </c>
      <c r="P95" s="2">
        <v>3</v>
      </c>
      <c r="Q95" s="2"/>
    </row>
    <row r="96" spans="12:17" hidden="1" x14ac:dyDescent="0.2">
      <c r="L96" s="2" t="s">
        <v>137</v>
      </c>
      <c r="M96" s="2" t="s">
        <v>142</v>
      </c>
      <c r="N96" s="2" t="str">
        <f t="shared" si="1"/>
        <v>Metals Other non-metallic mineral products</v>
      </c>
      <c r="O96" s="2">
        <v>7.57</v>
      </c>
      <c r="P96" s="2">
        <v>3</v>
      </c>
      <c r="Q96" s="2"/>
    </row>
    <row r="97" spans="12:17" hidden="1" x14ac:dyDescent="0.2">
      <c r="L97" s="2" t="s">
        <v>137</v>
      </c>
      <c r="M97" s="2" t="s">
        <v>143</v>
      </c>
      <c r="N97" s="2" t="str">
        <f t="shared" si="1"/>
        <v>Metals Metal Products (other than Steel, Aluminum and Copper) finished metal product only</v>
      </c>
      <c r="O97" s="2">
        <v>9.17</v>
      </c>
      <c r="P97" s="2">
        <v>3</v>
      </c>
      <c r="Q97" s="2"/>
    </row>
    <row r="98" spans="12:17" hidden="1" x14ac:dyDescent="0.2">
      <c r="L98" s="2" t="s">
        <v>137</v>
      </c>
      <c r="M98" s="2" t="s">
        <v>144</v>
      </c>
      <c r="N98" s="2" t="str">
        <f t="shared" si="1"/>
        <v>Metals Metallic ores</v>
      </c>
      <c r="O98" s="2">
        <v>9.25</v>
      </c>
      <c r="P98" s="2">
        <v>3</v>
      </c>
      <c r="Q98" s="2"/>
    </row>
    <row r="99" spans="12:17" hidden="1" x14ac:dyDescent="0.2">
      <c r="L99" s="2" t="s">
        <v>137</v>
      </c>
      <c r="M99" s="2" t="s">
        <v>145</v>
      </c>
      <c r="N99" s="2" t="str">
        <f t="shared" si="1"/>
        <v>Metals Other non-ferrous metals/Other non-metallic</v>
      </c>
      <c r="O99" s="2"/>
      <c r="P99" s="2">
        <v>3</v>
      </c>
      <c r="Q99" s="2"/>
    </row>
    <row r="100" spans="12:17" hidden="1" x14ac:dyDescent="0.2">
      <c r="L100" s="2" t="s">
        <v>137</v>
      </c>
      <c r="M100" s="2" t="s">
        <v>146</v>
      </c>
      <c r="N100" s="2" t="str">
        <f t="shared" si="1"/>
        <v>Metals Rolled coils and rolled products</v>
      </c>
      <c r="O100" s="2">
        <v>6.67</v>
      </c>
      <c r="P100" s="2">
        <v>3</v>
      </c>
      <c r="Q100" s="2"/>
    </row>
    <row r="101" spans="12:17" hidden="1" x14ac:dyDescent="0.2">
      <c r="L101" s="2" t="s">
        <v>137</v>
      </c>
      <c r="M101" s="2" t="s">
        <v>147</v>
      </c>
      <c r="N101" s="2" t="str">
        <f t="shared" si="1"/>
        <v>Metals Tubes and pipes</v>
      </c>
      <c r="O101" s="2">
        <v>6.67</v>
      </c>
      <c r="P101" s="2">
        <v>3</v>
      </c>
      <c r="Q101" s="2"/>
    </row>
    <row r="102" spans="12:17" hidden="1" x14ac:dyDescent="0.2">
      <c r="L102" s="2" t="s">
        <v>137</v>
      </c>
      <c r="M102" s="2" t="s">
        <v>148</v>
      </c>
      <c r="N102" s="2" t="str">
        <f t="shared" si="1"/>
        <v>Metals Wires and cables</v>
      </c>
      <c r="O102" s="2">
        <v>5</v>
      </c>
      <c r="P102" s="2">
        <v>3</v>
      </c>
      <c r="Q102" s="2"/>
    </row>
    <row r="103" spans="12:17" hidden="1" x14ac:dyDescent="0.2">
      <c r="L103" s="2" t="s">
        <v>149</v>
      </c>
      <c r="M103" s="2" t="s">
        <v>150</v>
      </c>
      <c r="N103" s="2" t="str">
        <f t="shared" si="1"/>
        <v>Mining Coal and Lignite</v>
      </c>
      <c r="O103" s="2">
        <v>8.06</v>
      </c>
      <c r="P103" s="2">
        <v>3.84</v>
      </c>
      <c r="Q103" s="2"/>
    </row>
    <row r="104" spans="12:17" hidden="1" x14ac:dyDescent="0.2">
      <c r="L104" s="2" t="s">
        <v>149</v>
      </c>
      <c r="M104" s="2" t="s">
        <v>151</v>
      </c>
      <c r="N104" s="2" t="str">
        <f t="shared" si="1"/>
        <v>Mining Minerals</v>
      </c>
      <c r="O104" s="2">
        <v>11.25</v>
      </c>
      <c r="P104" s="2">
        <v>3.84</v>
      </c>
      <c r="Q104" s="2"/>
    </row>
    <row r="105" spans="12:17" hidden="1" x14ac:dyDescent="0.2">
      <c r="L105" s="2" t="s">
        <v>149</v>
      </c>
      <c r="M105" s="2" t="s">
        <v>152</v>
      </c>
      <c r="N105" s="2" t="str">
        <f t="shared" si="1"/>
        <v>Mining Minerals &amp; energy Sources</v>
      </c>
      <c r="O105" s="2">
        <v>11.25</v>
      </c>
      <c r="P105" s="2">
        <v>3.84</v>
      </c>
      <c r="Q105" s="2"/>
    </row>
    <row r="106" spans="12:17" hidden="1" x14ac:dyDescent="0.2">
      <c r="L106" s="2" t="s">
        <v>153</v>
      </c>
      <c r="M106" s="2" t="s">
        <v>154</v>
      </c>
      <c r="N106" s="2" t="str">
        <f t="shared" si="1"/>
        <v>Other Construction &amp; allied activities Maintenance of buildings (Facility Management)</v>
      </c>
      <c r="O106" s="2"/>
      <c r="P106" s="2"/>
      <c r="Q106" s="2">
        <v>12.45</v>
      </c>
    </row>
    <row r="107" spans="12:17" hidden="1" x14ac:dyDescent="0.2">
      <c r="L107" s="2" t="s">
        <v>155</v>
      </c>
      <c r="M107" s="2" t="s">
        <v>156</v>
      </c>
      <c r="N107" s="2" t="str">
        <f t="shared" si="1"/>
        <v>Other Fund based Financial Services Commission agents services (Only those booking commission income)</v>
      </c>
      <c r="O107" s="2"/>
      <c r="P107" s="2"/>
      <c r="Q107" s="2">
        <v>15.8</v>
      </c>
    </row>
    <row r="108" spans="12:17" hidden="1" x14ac:dyDescent="0.2">
      <c r="L108" s="2" t="s">
        <v>157</v>
      </c>
      <c r="M108" s="2" t="s">
        <v>158</v>
      </c>
      <c r="N108" s="2" t="str">
        <f t="shared" si="1"/>
        <v>Others R &amp; D</v>
      </c>
      <c r="O108" s="2"/>
      <c r="P108" s="2"/>
      <c r="Q108" s="2">
        <v>11</v>
      </c>
    </row>
    <row r="109" spans="12:17" hidden="1" x14ac:dyDescent="0.2">
      <c r="L109" s="2" t="s">
        <v>157</v>
      </c>
      <c r="M109" s="2" t="s">
        <v>159</v>
      </c>
      <c r="N109" s="2" t="str">
        <f t="shared" si="1"/>
        <v>Others Glass &amp; Glass Products</v>
      </c>
      <c r="O109" s="2">
        <v>11.58</v>
      </c>
      <c r="P109" s="2">
        <v>11.58</v>
      </c>
      <c r="Q109" s="2"/>
    </row>
    <row r="110" spans="12:17" hidden="1" x14ac:dyDescent="0.2">
      <c r="L110" s="2" t="s">
        <v>157</v>
      </c>
      <c r="M110" s="2" t="s">
        <v>160</v>
      </c>
      <c r="N110" s="2" t="str">
        <f t="shared" si="1"/>
        <v>Others Industries not classified elsewhere (Manufacturing)</v>
      </c>
      <c r="O110" s="2">
        <v>7.74</v>
      </c>
      <c r="P110" s="2"/>
      <c r="Q110" s="2"/>
    </row>
    <row r="111" spans="12:17" hidden="1" x14ac:dyDescent="0.2">
      <c r="L111" s="2" t="s">
        <v>157</v>
      </c>
      <c r="M111" s="2" t="s">
        <v>161</v>
      </c>
      <c r="N111" s="2" t="str">
        <f t="shared" si="1"/>
        <v>Others Industries not classified elsewhere (Services)</v>
      </c>
      <c r="O111" s="2"/>
      <c r="P111" s="2"/>
      <c r="Q111" s="2">
        <v>6.5</v>
      </c>
    </row>
    <row r="112" spans="12:17" hidden="1" x14ac:dyDescent="0.2">
      <c r="L112" s="2" t="s">
        <v>157</v>
      </c>
      <c r="M112" s="2" t="s">
        <v>162</v>
      </c>
      <c r="N112" s="2" t="str">
        <f t="shared" si="1"/>
        <v>Others Industries not classified elsewhere (Trading)</v>
      </c>
      <c r="O112" s="2"/>
      <c r="P112" s="2">
        <v>5.04</v>
      </c>
      <c r="Q112" s="2"/>
    </row>
    <row r="113" spans="12:17" hidden="1" x14ac:dyDescent="0.2">
      <c r="L113" s="2" t="s">
        <v>163</v>
      </c>
      <c r="M113" s="2" t="s">
        <v>164</v>
      </c>
      <c r="N113" s="2" t="str">
        <f t="shared" si="1"/>
        <v>Paints Paints &amp; Varnishes</v>
      </c>
      <c r="O113" s="2">
        <v>6.7</v>
      </c>
      <c r="P113" s="2">
        <v>6.7</v>
      </c>
      <c r="Q113" s="2"/>
    </row>
    <row r="114" spans="12:17" hidden="1" x14ac:dyDescent="0.2">
      <c r="L114" s="2" t="s">
        <v>165</v>
      </c>
      <c r="M114" s="2" t="s">
        <v>166</v>
      </c>
      <c r="N114" s="2" t="str">
        <f t="shared" si="1"/>
        <v>Paper Paper &amp; Paper Products</v>
      </c>
      <c r="O114" s="2">
        <v>7.61</v>
      </c>
      <c r="P114" s="2">
        <v>7.61</v>
      </c>
      <c r="Q114" s="2"/>
    </row>
    <row r="115" spans="12:17" hidden="1" x14ac:dyDescent="0.2">
      <c r="L115" s="2" t="s">
        <v>167</v>
      </c>
      <c r="M115" s="2" t="s">
        <v>168</v>
      </c>
      <c r="N115" s="2" t="str">
        <f t="shared" si="1"/>
        <v>Petroleum Products LRG Cylinders</v>
      </c>
      <c r="O115" s="2">
        <v>12.07</v>
      </c>
      <c r="P115" s="2"/>
      <c r="Q115" s="2"/>
    </row>
    <row r="116" spans="12:17" hidden="1" x14ac:dyDescent="0.2">
      <c r="L116" s="2" t="s">
        <v>167</v>
      </c>
      <c r="M116" s="2" t="s">
        <v>169</v>
      </c>
      <c r="N116" s="2" t="str">
        <f t="shared" si="1"/>
        <v>Petroleum Products Lubricants</v>
      </c>
      <c r="O116" s="2">
        <v>7.1</v>
      </c>
      <c r="P116" s="2">
        <v>7.1</v>
      </c>
      <c r="Q116" s="2"/>
    </row>
    <row r="117" spans="12:17" hidden="1" x14ac:dyDescent="0.2">
      <c r="L117" s="2" t="s">
        <v>167</v>
      </c>
      <c r="M117" s="2" t="s">
        <v>167</v>
      </c>
      <c r="N117" s="2" t="str">
        <f t="shared" si="1"/>
        <v>Petroleum Products Petroleum Products</v>
      </c>
      <c r="O117" s="2">
        <v>5.0599999999999996</v>
      </c>
      <c r="P117" s="2">
        <v>5.0599999999999996</v>
      </c>
      <c r="Q117" s="2"/>
    </row>
    <row r="118" spans="12:17" hidden="1" x14ac:dyDescent="0.2">
      <c r="L118" s="2" t="s">
        <v>170</v>
      </c>
      <c r="M118" s="2" t="s">
        <v>170</v>
      </c>
      <c r="N118" s="2" t="str">
        <f t="shared" si="1"/>
        <v>Photographic &amp; Allied Products Photographic &amp; Allied Products</v>
      </c>
      <c r="O118" s="2">
        <v>5.98</v>
      </c>
      <c r="P118" s="2">
        <v>5.98</v>
      </c>
      <c r="Q118" s="2"/>
    </row>
    <row r="119" spans="12:17" hidden="1" x14ac:dyDescent="0.2">
      <c r="L119" s="2" t="s">
        <v>171</v>
      </c>
      <c r="M119" s="2" t="s">
        <v>172</v>
      </c>
      <c r="N119" s="2" t="str">
        <f t="shared" si="1"/>
        <v>Plastics Plastics Films</v>
      </c>
      <c r="O119" s="2">
        <v>8.24</v>
      </c>
      <c r="P119" s="2">
        <v>8.24</v>
      </c>
      <c r="Q119" s="2"/>
    </row>
    <row r="120" spans="12:17" hidden="1" x14ac:dyDescent="0.2">
      <c r="L120" s="2" t="s">
        <v>171</v>
      </c>
      <c r="M120" s="2" t="s">
        <v>173</v>
      </c>
      <c r="N120" s="2" t="str">
        <f t="shared" si="1"/>
        <v>Plastics Plastics packaging goods</v>
      </c>
      <c r="O120" s="2">
        <v>9.4499999999999993</v>
      </c>
      <c r="P120" s="2">
        <v>9.4499999999999993</v>
      </c>
      <c r="Q120" s="2"/>
    </row>
    <row r="121" spans="12:17" hidden="1" x14ac:dyDescent="0.2">
      <c r="L121" s="2" t="s">
        <v>171</v>
      </c>
      <c r="M121" s="2" t="s">
        <v>174</v>
      </c>
      <c r="N121" s="2" t="str">
        <f t="shared" si="1"/>
        <v>Plastics Plastics tubes, Pipes, fittings &amp; sheets</v>
      </c>
      <c r="O121" s="2">
        <v>9.01</v>
      </c>
      <c r="P121" s="2">
        <v>9.01</v>
      </c>
      <c r="Q121" s="2"/>
    </row>
    <row r="122" spans="12:17" hidden="1" x14ac:dyDescent="0.2">
      <c r="L122" s="2" t="s">
        <v>43</v>
      </c>
      <c r="M122" s="2" t="s">
        <v>175</v>
      </c>
      <c r="N122" s="2" t="str">
        <f t="shared" si="1"/>
        <v>Professional Services Consultants/Business Consultancy</v>
      </c>
      <c r="O122" s="2"/>
      <c r="P122" s="2"/>
      <c r="Q122" s="2">
        <v>8.0399999999999991</v>
      </c>
    </row>
    <row r="123" spans="12:17" hidden="1" x14ac:dyDescent="0.2">
      <c r="L123" s="2" t="s">
        <v>43</v>
      </c>
      <c r="M123" s="2" t="s">
        <v>176</v>
      </c>
      <c r="N123" s="2" t="str">
        <f t="shared" si="1"/>
        <v>Professional Services Education Consultancy</v>
      </c>
      <c r="O123" s="2"/>
      <c r="P123" s="2"/>
      <c r="Q123" s="2">
        <v>8.75</v>
      </c>
    </row>
    <row r="124" spans="12:17" hidden="1" x14ac:dyDescent="0.2">
      <c r="L124" s="2" t="s">
        <v>43</v>
      </c>
      <c r="M124" s="2" t="s">
        <v>177</v>
      </c>
      <c r="N124" s="2" t="str">
        <f t="shared" si="1"/>
        <v>Professional Services Entertainment and media content provider</v>
      </c>
      <c r="O124" s="2"/>
      <c r="P124" s="2"/>
      <c r="Q124" s="2">
        <v>4.66</v>
      </c>
    </row>
    <row r="125" spans="12:17" hidden="1" x14ac:dyDescent="0.2">
      <c r="L125" s="2" t="s">
        <v>43</v>
      </c>
      <c r="M125" s="2" t="s">
        <v>178</v>
      </c>
      <c r="N125" s="2" t="str">
        <f t="shared" si="1"/>
        <v>Professional Services Event management services</v>
      </c>
      <c r="O125" s="2"/>
      <c r="P125" s="2"/>
      <c r="Q125" s="2">
        <v>15.78</v>
      </c>
    </row>
    <row r="126" spans="12:17" hidden="1" x14ac:dyDescent="0.2">
      <c r="L126" s="2" t="s">
        <v>43</v>
      </c>
      <c r="M126" s="2" t="s">
        <v>179</v>
      </c>
      <c r="N126" s="2" t="str">
        <f t="shared" si="1"/>
        <v>Professional Services Motion Picture production, distribution and exhibition</v>
      </c>
      <c r="O126" s="2"/>
      <c r="P126" s="2"/>
      <c r="Q126" s="2">
        <v>9.4600000000000009</v>
      </c>
    </row>
    <row r="127" spans="12:17" hidden="1" x14ac:dyDescent="0.2">
      <c r="L127" s="2" t="s">
        <v>43</v>
      </c>
      <c r="M127" s="2" t="s">
        <v>180</v>
      </c>
      <c r="N127" s="2" t="str">
        <f t="shared" si="1"/>
        <v>Professional Services Public Relations</v>
      </c>
      <c r="O127" s="2"/>
      <c r="P127" s="2"/>
      <c r="Q127" s="2">
        <v>4.7699999999999996</v>
      </c>
    </row>
    <row r="128" spans="12:17" hidden="1" x14ac:dyDescent="0.2">
      <c r="L128" s="2" t="s">
        <v>43</v>
      </c>
      <c r="M128" s="2" t="s">
        <v>181</v>
      </c>
      <c r="N128" s="2" t="str">
        <f t="shared" si="1"/>
        <v>Professional Services Real estate infrastructure services</v>
      </c>
      <c r="O128" s="2"/>
      <c r="P128" s="2"/>
      <c r="Q128" s="2">
        <v>11.22</v>
      </c>
    </row>
    <row r="129" spans="12:17" hidden="1" x14ac:dyDescent="0.2">
      <c r="L129" s="2" t="s">
        <v>43</v>
      </c>
      <c r="M129" s="2" t="s">
        <v>182</v>
      </c>
      <c r="N129" s="2" t="str">
        <f t="shared" si="1"/>
        <v>Professional Services Technical consultancy and engineering services</v>
      </c>
      <c r="O129" s="2"/>
      <c r="P129" s="2"/>
      <c r="Q129" s="2">
        <v>10.36</v>
      </c>
    </row>
    <row r="130" spans="12:17" hidden="1" x14ac:dyDescent="0.2">
      <c r="L130" s="2" t="s">
        <v>43</v>
      </c>
      <c r="M130" s="2" t="s">
        <v>183</v>
      </c>
      <c r="N130" s="2" t="str">
        <f t="shared" si="1"/>
        <v>Professional Services Placement &amp; HR consultancy services</v>
      </c>
      <c r="O130" s="2"/>
      <c r="P130" s="2"/>
      <c r="Q130" s="2">
        <v>1.95</v>
      </c>
    </row>
    <row r="131" spans="12:17" hidden="1" x14ac:dyDescent="0.2">
      <c r="L131" s="2" t="s">
        <v>184</v>
      </c>
      <c r="M131" s="2" t="s">
        <v>184</v>
      </c>
      <c r="N131" s="2" t="str">
        <f t="shared" ref="N131:N167" si="2">L131&amp;" "&amp;M131</f>
        <v>Radiobroadcasting media Radiobroadcasting media</v>
      </c>
      <c r="O131" s="2"/>
      <c r="P131" s="2"/>
      <c r="Q131" s="2">
        <v>15.93</v>
      </c>
    </row>
    <row r="132" spans="12:17" hidden="1" x14ac:dyDescent="0.2">
      <c r="L132" s="2" t="s">
        <v>185</v>
      </c>
      <c r="M132" s="2" t="s">
        <v>186</v>
      </c>
      <c r="N132" s="2" t="str">
        <f t="shared" si="2"/>
        <v>Retail trading Departmental stores</v>
      </c>
      <c r="O132" s="2"/>
      <c r="P132" s="2">
        <v>2.2599999999999998</v>
      </c>
      <c r="Q132" s="2"/>
    </row>
    <row r="133" spans="12:17" hidden="1" x14ac:dyDescent="0.2">
      <c r="L133" s="2" t="s">
        <v>187</v>
      </c>
      <c r="M133" s="2" t="s">
        <v>188</v>
      </c>
      <c r="N133" s="2" t="str">
        <f t="shared" si="2"/>
        <v>Road Transport Infrastructure services Toll revenue</v>
      </c>
      <c r="O133" s="2"/>
      <c r="P133" s="2"/>
      <c r="Q133" s="2"/>
    </row>
    <row r="134" spans="12:17" hidden="1" x14ac:dyDescent="0.2">
      <c r="L134" s="2" t="s">
        <v>187</v>
      </c>
      <c r="M134" s="2" t="s">
        <v>189</v>
      </c>
      <c r="N134" s="2" t="str">
        <f t="shared" si="2"/>
        <v>Road Transport Infrastructure services Other motor transport services</v>
      </c>
      <c r="O134" s="2"/>
      <c r="P134" s="2"/>
      <c r="Q134" s="2">
        <v>6.5</v>
      </c>
    </row>
    <row r="135" spans="12:17" hidden="1" x14ac:dyDescent="0.2">
      <c r="L135" s="2" t="s">
        <v>190</v>
      </c>
      <c r="M135" s="2" t="s">
        <v>191</v>
      </c>
      <c r="N135" s="2" t="str">
        <f t="shared" si="2"/>
        <v>Rubber Rubber &amp; rubber products</v>
      </c>
      <c r="O135" s="2">
        <v>12.03</v>
      </c>
      <c r="P135" s="2">
        <v>12.03</v>
      </c>
      <c r="Q135" s="2"/>
    </row>
    <row r="136" spans="12:17" hidden="1" x14ac:dyDescent="0.2">
      <c r="L136" s="2" t="s">
        <v>192</v>
      </c>
      <c r="M136" s="2" t="s">
        <v>193</v>
      </c>
      <c r="N136" s="2" t="str">
        <f t="shared" si="2"/>
        <v>Services Renting Services</v>
      </c>
      <c r="O136" s="2"/>
      <c r="P136" s="2"/>
      <c r="Q136" s="2">
        <v>12.7</v>
      </c>
    </row>
    <row r="137" spans="12:17" hidden="1" x14ac:dyDescent="0.2">
      <c r="L137" s="2" t="s">
        <v>194</v>
      </c>
      <c r="M137" s="2" t="s">
        <v>195</v>
      </c>
      <c r="N137" s="2" t="str">
        <f t="shared" si="2"/>
        <v>Services - Communication Communication equipment (other than mobile phone wholesaler, retailer)</v>
      </c>
      <c r="O137" s="2">
        <v>12.8</v>
      </c>
      <c r="P137" s="2"/>
      <c r="Q137" s="2">
        <v>12.8</v>
      </c>
    </row>
    <row r="138" spans="12:17" hidden="1" x14ac:dyDescent="0.2">
      <c r="L138" s="2" t="s">
        <v>194</v>
      </c>
      <c r="M138" s="2" t="s">
        <v>196</v>
      </c>
      <c r="N138" s="2" t="str">
        <f t="shared" si="2"/>
        <v>Services - Communication Internet Services</v>
      </c>
      <c r="O138" s="2"/>
      <c r="P138" s="2"/>
      <c r="Q138" s="2">
        <v>10.88</v>
      </c>
    </row>
    <row r="139" spans="12:17" hidden="1" x14ac:dyDescent="0.2">
      <c r="L139" s="2" t="s">
        <v>194</v>
      </c>
      <c r="M139" s="2" t="s">
        <v>197</v>
      </c>
      <c r="N139" s="2" t="str">
        <f t="shared" si="2"/>
        <v>Services - Communication Other communication services (wireless services, fax services, paper services, other telephone services, other communication services)</v>
      </c>
      <c r="O139" s="2"/>
      <c r="P139" s="2"/>
      <c r="Q139" s="2">
        <v>6.5</v>
      </c>
    </row>
    <row r="140" spans="12:17" hidden="1" x14ac:dyDescent="0.2">
      <c r="L140" s="2" t="s">
        <v>198</v>
      </c>
      <c r="M140" s="2" t="s">
        <v>199</v>
      </c>
      <c r="N140" s="2" t="str">
        <f t="shared" si="2"/>
        <v>Software ITES/ Call Centers</v>
      </c>
      <c r="O140" s="2"/>
      <c r="P140" s="2"/>
      <c r="Q140" s="2">
        <v>7.36</v>
      </c>
    </row>
    <row r="141" spans="12:17" hidden="1" x14ac:dyDescent="0.2">
      <c r="L141" s="2" t="s">
        <v>200</v>
      </c>
      <c r="M141" s="2" t="s">
        <v>201</v>
      </c>
      <c r="N141" s="2" t="str">
        <f t="shared" si="2"/>
        <v>Specially Footwear</v>
      </c>
      <c r="O141" s="2">
        <v>8.6999999999999993</v>
      </c>
      <c r="P141" s="2">
        <v>8.6999999999999993</v>
      </c>
      <c r="Q141" s="2"/>
    </row>
    <row r="142" spans="12:17" hidden="1" x14ac:dyDescent="0.2">
      <c r="L142" s="2" t="s">
        <v>200</v>
      </c>
      <c r="M142" s="2" t="s">
        <v>202</v>
      </c>
      <c r="N142" s="2" t="str">
        <f t="shared" si="2"/>
        <v>Specially Books, Office Suppliers &amp; Stationery</v>
      </c>
      <c r="O142" s="2">
        <v>5.26</v>
      </c>
      <c r="P142" s="2">
        <v>5.26</v>
      </c>
      <c r="Q142" s="2"/>
    </row>
    <row r="143" spans="12:17" hidden="1" x14ac:dyDescent="0.2">
      <c r="L143" s="2" t="s">
        <v>200</v>
      </c>
      <c r="M143" s="2" t="s">
        <v>203</v>
      </c>
      <c r="N143" s="2" t="str">
        <f t="shared" si="2"/>
        <v>Specially Clock &amp; watches</v>
      </c>
      <c r="O143" s="2">
        <v>12.67</v>
      </c>
      <c r="P143" s="2">
        <v>12.67</v>
      </c>
      <c r="Q143" s="2"/>
    </row>
    <row r="144" spans="12:17" hidden="1" x14ac:dyDescent="0.2">
      <c r="L144" s="2" t="s">
        <v>200</v>
      </c>
      <c r="M144" s="2" t="s">
        <v>204</v>
      </c>
      <c r="N144" s="2" t="str">
        <f t="shared" si="2"/>
        <v>Specially Hobby, Toys &amp; Games</v>
      </c>
      <c r="O144" s="2">
        <v>15.87</v>
      </c>
      <c r="P144" s="2">
        <v>15.87</v>
      </c>
      <c r="Q144" s="2"/>
    </row>
    <row r="145" spans="12:17" hidden="1" x14ac:dyDescent="0.2">
      <c r="L145" s="2" t="s">
        <v>200</v>
      </c>
      <c r="M145" s="2" t="s">
        <v>205</v>
      </c>
      <c r="N145" s="2" t="str">
        <f t="shared" si="2"/>
        <v>Specially Home Furniture &amp; Finishing</v>
      </c>
      <c r="O145" s="2">
        <v>4.63</v>
      </c>
      <c r="P145" s="2">
        <v>4.63</v>
      </c>
      <c r="Q145" s="2"/>
    </row>
    <row r="146" spans="12:17" hidden="1" x14ac:dyDescent="0.2">
      <c r="L146" s="2" t="s">
        <v>200</v>
      </c>
      <c r="M146" s="2" t="s">
        <v>206</v>
      </c>
      <c r="N146" s="2" t="str">
        <f t="shared" si="2"/>
        <v>Specially Luggage &amp; Leather Goods</v>
      </c>
      <c r="O146" s="2">
        <v>8.6999999999999993</v>
      </c>
      <c r="P146" s="2">
        <v>8.6999999999999993</v>
      </c>
      <c r="Q146" s="2"/>
    </row>
    <row r="147" spans="12:17" hidden="1" x14ac:dyDescent="0.2">
      <c r="L147" s="2" t="s">
        <v>200</v>
      </c>
      <c r="M147" s="2" t="s">
        <v>207</v>
      </c>
      <c r="N147" s="2" t="str">
        <f t="shared" si="2"/>
        <v>Specially Opticians &amp; Optical instruments</v>
      </c>
      <c r="O147" s="2">
        <v>9.26</v>
      </c>
      <c r="P147" s="2">
        <v>9.26</v>
      </c>
      <c r="Q147" s="2"/>
    </row>
    <row r="148" spans="12:17" hidden="1" x14ac:dyDescent="0.2">
      <c r="L148" s="2" t="s">
        <v>200</v>
      </c>
      <c r="M148" s="2" t="s">
        <v>208</v>
      </c>
      <c r="N148" s="2" t="str">
        <f t="shared" si="2"/>
        <v>Specially Pens and Pencils</v>
      </c>
      <c r="O148" s="2">
        <v>5.72</v>
      </c>
      <c r="P148" s="2">
        <v>5.72</v>
      </c>
      <c r="Q148" s="2"/>
    </row>
    <row r="149" spans="12:17" hidden="1" x14ac:dyDescent="0.2">
      <c r="L149" s="2" t="s">
        <v>200</v>
      </c>
      <c r="M149" s="2" t="s">
        <v>209</v>
      </c>
      <c r="N149" s="2" t="str">
        <f t="shared" si="2"/>
        <v>Specially Sports Goods</v>
      </c>
      <c r="O149" s="2">
        <v>6.54</v>
      </c>
      <c r="P149" s="2">
        <v>6.54</v>
      </c>
      <c r="Q149" s="2"/>
    </row>
    <row r="150" spans="12:17" hidden="1" x14ac:dyDescent="0.2">
      <c r="L150" s="2" t="s">
        <v>200</v>
      </c>
      <c r="M150" s="2" t="s">
        <v>210</v>
      </c>
      <c r="N150" s="2" t="str">
        <f t="shared" si="2"/>
        <v>Specially Wood and wood products / Sports goods</v>
      </c>
      <c r="O150" s="2">
        <v>6.54</v>
      </c>
      <c r="P150" s="2">
        <v>6.54</v>
      </c>
      <c r="Q150" s="2"/>
    </row>
    <row r="151" spans="12:17" hidden="1" x14ac:dyDescent="0.2">
      <c r="L151" s="2" t="s">
        <v>211</v>
      </c>
      <c r="M151" s="2" t="s">
        <v>212</v>
      </c>
      <c r="N151" s="2" t="str">
        <f t="shared" si="2"/>
        <v>Telecommunication services Cellular phone infrastructure</v>
      </c>
      <c r="O151" s="2"/>
      <c r="P151" s="2"/>
      <c r="Q151" s="2">
        <v>12.96</v>
      </c>
    </row>
    <row r="152" spans="12:17" hidden="1" x14ac:dyDescent="0.2">
      <c r="L152" s="2" t="s">
        <v>213</v>
      </c>
      <c r="M152" s="2" t="s">
        <v>213</v>
      </c>
      <c r="N152" s="2" t="str">
        <f t="shared" si="2"/>
        <v>Television broadcasting media Television broadcasting media</v>
      </c>
      <c r="O152" s="2"/>
      <c r="P152" s="2"/>
      <c r="Q152" s="2">
        <v>11.09</v>
      </c>
    </row>
    <row r="153" spans="12:17" hidden="1" x14ac:dyDescent="0.2">
      <c r="L153" s="2" t="s">
        <v>214</v>
      </c>
      <c r="M153" s="2" t="s">
        <v>215</v>
      </c>
      <c r="N153" s="2" t="str">
        <f t="shared" si="2"/>
        <v>Textiles Blankets &amp; Carpets</v>
      </c>
      <c r="O153" s="2">
        <v>9.51</v>
      </c>
      <c r="P153" s="2">
        <v>4.9000000000000004</v>
      </c>
      <c r="Q153" s="2"/>
    </row>
    <row r="154" spans="12:17" hidden="1" x14ac:dyDescent="0.2">
      <c r="L154" s="2" t="s">
        <v>214</v>
      </c>
      <c r="M154" s="2" t="s">
        <v>216</v>
      </c>
      <c r="N154" s="2" t="str">
        <f t="shared" si="2"/>
        <v>Textiles Blended yarn</v>
      </c>
      <c r="O154" s="2">
        <v>8.99</v>
      </c>
      <c r="P154" s="2">
        <v>4.9000000000000004</v>
      </c>
      <c r="Q154" s="2"/>
    </row>
    <row r="155" spans="12:17" hidden="1" x14ac:dyDescent="0.2">
      <c r="L155" s="2" t="s">
        <v>214</v>
      </c>
      <c r="M155" s="2" t="s">
        <v>217</v>
      </c>
      <c r="N155" s="2" t="str">
        <f t="shared" si="2"/>
        <v>Textiles Jute</v>
      </c>
      <c r="O155" s="2">
        <v>4.2300000000000004</v>
      </c>
      <c r="P155" s="2">
        <v>4.9000000000000004</v>
      </c>
      <c r="Q155" s="2"/>
    </row>
    <row r="156" spans="12:17" hidden="1" x14ac:dyDescent="0.2">
      <c r="L156" s="2" t="s">
        <v>214</v>
      </c>
      <c r="M156" s="2" t="s">
        <v>218</v>
      </c>
      <c r="N156" s="2" t="str">
        <f t="shared" si="2"/>
        <v>Textiles Readymade Garments</v>
      </c>
      <c r="O156" s="2">
        <v>8.43</v>
      </c>
      <c r="P156" s="2">
        <v>4.9000000000000004</v>
      </c>
      <c r="Q156" s="2"/>
    </row>
    <row r="157" spans="12:17" hidden="1" x14ac:dyDescent="0.2">
      <c r="L157" s="2" t="s">
        <v>214</v>
      </c>
      <c r="M157" s="2" t="s">
        <v>219</v>
      </c>
      <c r="N157" s="2" t="str">
        <f t="shared" si="2"/>
        <v>Textiles Textiles - Cotton</v>
      </c>
      <c r="O157" s="2">
        <v>9.66</v>
      </c>
      <c r="P157" s="2">
        <v>4.9000000000000004</v>
      </c>
      <c r="Q157" s="2"/>
    </row>
    <row r="158" spans="12:17" hidden="1" x14ac:dyDescent="0.2">
      <c r="L158" s="2" t="s">
        <v>214</v>
      </c>
      <c r="M158" s="2" t="s">
        <v>220</v>
      </c>
      <c r="N158" s="2" t="str">
        <f t="shared" si="2"/>
        <v>Textiles Textiles - Silk</v>
      </c>
      <c r="O158" s="2">
        <v>7</v>
      </c>
      <c r="P158" s="2">
        <v>4.9000000000000004</v>
      </c>
      <c r="Q158" s="2"/>
    </row>
    <row r="159" spans="12:17" hidden="1" x14ac:dyDescent="0.2">
      <c r="L159" s="2" t="s">
        <v>214</v>
      </c>
      <c r="M159" s="2" t="s">
        <v>221</v>
      </c>
      <c r="N159" s="2" t="str">
        <f t="shared" si="2"/>
        <v>Textiles Textiles - Synthetic</v>
      </c>
      <c r="O159" s="2">
        <v>8.0399999999999991</v>
      </c>
      <c r="P159" s="2">
        <v>4.9000000000000004</v>
      </c>
      <c r="Q159" s="2"/>
    </row>
    <row r="160" spans="12:17" hidden="1" x14ac:dyDescent="0.2">
      <c r="L160" s="2" t="s">
        <v>214</v>
      </c>
      <c r="M160" s="2" t="s">
        <v>222</v>
      </c>
      <c r="N160" s="2" t="str">
        <f t="shared" si="2"/>
        <v>Textiles Textiles - Specialized (Other than Cotton, Jute &amp; Yarn, Silk and Synthetic)</v>
      </c>
      <c r="O160" s="2">
        <v>12.36</v>
      </c>
      <c r="P160" s="2">
        <v>4.9000000000000004</v>
      </c>
      <c r="Q160" s="2"/>
    </row>
    <row r="161" spans="12:17" hidden="1" x14ac:dyDescent="0.2">
      <c r="L161" s="2" t="s">
        <v>214</v>
      </c>
      <c r="M161" s="2" t="s">
        <v>223</v>
      </c>
      <c r="N161" s="2" t="str">
        <f t="shared" si="2"/>
        <v>Textiles Woolen Textiles</v>
      </c>
      <c r="O161" s="2">
        <v>9.51</v>
      </c>
      <c r="P161" s="2">
        <v>4.9000000000000004</v>
      </c>
      <c r="Q161" s="2"/>
    </row>
    <row r="162" spans="12:17" hidden="1" x14ac:dyDescent="0.2">
      <c r="L162" s="2" t="s">
        <v>224</v>
      </c>
      <c r="M162" s="2" t="s">
        <v>225</v>
      </c>
      <c r="N162" s="2" t="str">
        <f t="shared" si="2"/>
        <v>Transportation Logistics Cargo (Cargo Handling air &amp; water)</v>
      </c>
      <c r="O162" s="2"/>
      <c r="P162" s="2"/>
      <c r="Q162" s="2">
        <v>9.64</v>
      </c>
    </row>
    <row r="163" spans="12:17" hidden="1" x14ac:dyDescent="0.2">
      <c r="L163" s="2" t="s">
        <v>224</v>
      </c>
      <c r="M163" s="2" t="s">
        <v>226</v>
      </c>
      <c r="N163" s="2" t="str">
        <f t="shared" si="2"/>
        <v>Transportation Logistics Courier</v>
      </c>
      <c r="O163" s="2"/>
      <c r="P163" s="2"/>
      <c r="Q163" s="2">
        <v>6.48</v>
      </c>
    </row>
    <row r="164" spans="12:17" hidden="1" x14ac:dyDescent="0.2">
      <c r="L164" s="2" t="s">
        <v>224</v>
      </c>
      <c r="M164" s="2" t="s">
        <v>227</v>
      </c>
      <c r="N164" s="2" t="str">
        <f t="shared" si="2"/>
        <v>Transportation Logistics Goods Transport Services (Road)</v>
      </c>
      <c r="O164" s="2"/>
      <c r="P164" s="2"/>
      <c r="Q164" s="2">
        <v>8.3800000000000008</v>
      </c>
    </row>
    <row r="165" spans="12:17" hidden="1" x14ac:dyDescent="0.2">
      <c r="L165" s="2" t="s">
        <v>224</v>
      </c>
      <c r="M165" s="2" t="s">
        <v>228</v>
      </c>
      <c r="N165" s="2" t="str">
        <f t="shared" si="2"/>
        <v>Transportation Logistics Passenger Transport Services (Road)</v>
      </c>
      <c r="O165" s="2"/>
      <c r="P165" s="2"/>
      <c r="Q165" s="2">
        <v>8.3800000000000008</v>
      </c>
    </row>
    <row r="166" spans="12:17" hidden="1" x14ac:dyDescent="0.2">
      <c r="L166" s="2" t="s">
        <v>224</v>
      </c>
      <c r="M166" s="2" t="s">
        <v>229</v>
      </c>
      <c r="N166" s="2" t="str">
        <f t="shared" si="2"/>
        <v>Transportation Logistics Storage &amp; Warehousing</v>
      </c>
      <c r="O166" s="2"/>
      <c r="P166" s="2"/>
      <c r="Q166" s="2">
        <v>13.17</v>
      </c>
    </row>
    <row r="167" spans="12:17" hidden="1" x14ac:dyDescent="0.2">
      <c r="L167" s="2" t="s">
        <v>224</v>
      </c>
      <c r="M167" s="2" t="s">
        <v>230</v>
      </c>
      <c r="N167" s="2" t="str">
        <f t="shared" si="2"/>
        <v>Transportation Logistics Portal</v>
      </c>
      <c r="O167" s="2"/>
      <c r="P167" s="2"/>
      <c r="Q167" s="2">
        <v>18.86</v>
      </c>
    </row>
  </sheetData>
  <sheetProtection algorithmName="SHA-512" hashValue="C0+gjXa2+mT46V2iNy8NdWM/OgNtQvtzXRyRr4uEivDbybC7vR1z0qMhed2jOGHRVdAtkXVLBk5H8D9rkmPi6g==" saltValue="KzYjLRvfvz4VbP8e3YGosQ==" spinCount="100000" sheet="1" objects="1" scenarios="1"/>
  <mergeCells count="38">
    <mergeCell ref="R16:S16"/>
    <mergeCell ref="R10:S10"/>
    <mergeCell ref="R11:S11"/>
    <mergeCell ref="R13:S13"/>
    <mergeCell ref="A10:H10"/>
    <mergeCell ref="R14:S14"/>
    <mergeCell ref="B13:B14"/>
    <mergeCell ref="A1:H1"/>
    <mergeCell ref="A2:B2"/>
    <mergeCell ref="A3:B3"/>
    <mergeCell ref="A4:B4"/>
    <mergeCell ref="C2:H2"/>
    <mergeCell ref="C3:H3"/>
    <mergeCell ref="C4:H4"/>
    <mergeCell ref="C5:H5"/>
    <mergeCell ref="C6:H6"/>
    <mergeCell ref="C7:H7"/>
    <mergeCell ref="A8:H8"/>
    <mergeCell ref="A9:B9"/>
    <mergeCell ref="C9:H9"/>
    <mergeCell ref="A5:B5"/>
    <mergeCell ref="A6:B6"/>
    <mergeCell ref="A7:B7"/>
    <mergeCell ref="A17:B17"/>
    <mergeCell ref="C17:H17"/>
    <mergeCell ref="A18:B18"/>
    <mergeCell ref="C18:H18"/>
    <mergeCell ref="A11:A14"/>
    <mergeCell ref="A15:B15"/>
    <mergeCell ref="C15:H15"/>
    <mergeCell ref="A16:B16"/>
    <mergeCell ref="C16:H16"/>
    <mergeCell ref="A19:B19"/>
    <mergeCell ref="C19:H19"/>
    <mergeCell ref="A20:B20"/>
    <mergeCell ref="A21:B21"/>
    <mergeCell ref="C20:H20"/>
    <mergeCell ref="C21:H21"/>
  </mergeCells>
  <dataValidations count="5">
    <dataValidation type="whole" allowBlank="1" showInputMessage="1" showErrorMessage="1" sqref="C4" xr:uid="{00000000-0002-0000-1700-000000000000}">
      <formula1>12</formula1>
      <formula2>60</formula2>
    </dataValidation>
    <dataValidation type="list" allowBlank="1" showInputMessage="1" showErrorMessage="1" sqref="B12" xr:uid="{00000000-0002-0000-1700-000001000000}">
      <formula1>"Monthly,Quarterly,Half-yearly,Yearly"</formula1>
    </dataValidation>
    <dataValidation operator="greaterThanOrEqual" showInputMessage="1" showErrorMessage="1" sqref="C19 C3:H3" xr:uid="{00000000-0002-0000-1700-000002000000}"/>
    <dataValidation type="list" allowBlank="1" showInputMessage="1" showErrorMessage="1" sqref="C6" xr:uid="{00000000-0002-0000-1700-000003000000}">
      <formula1>$N$2:$N$166</formula1>
    </dataValidation>
    <dataValidation type="list" allowBlank="1" showInputMessage="1" showErrorMessage="1" sqref="C5" xr:uid="{00000000-0002-0000-1700-000004000000}">
      <formula1>"Manufacturer,Trader, Service"</formula1>
    </dataValidation>
  </dataValidations>
  <pageMargins left="0.7" right="0.7" top="0.75" bottom="0.75" header="0.3" footer="0.3"/>
  <pageSetup paperSize="9" orientation="portrait" horizontalDpi="4294967295" verticalDpi="4294967295"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4"/>
  <dimension ref="A1:N30"/>
  <sheetViews>
    <sheetView topLeftCell="A9" workbookViewId="0">
      <selection activeCell="B16" sqref="B16"/>
    </sheetView>
  </sheetViews>
  <sheetFormatPr defaultColWidth="0" defaultRowHeight="15" zeroHeight="1" x14ac:dyDescent="0.25"/>
  <cols>
    <col min="1" max="1" width="46.7109375" style="13" customWidth="1"/>
    <col min="2" max="2" width="36.85546875" style="13" customWidth="1"/>
    <col min="3" max="3" width="2" style="13" customWidth="1"/>
    <col min="4" max="6" width="9.140625" style="13" hidden="1" customWidth="1"/>
    <col min="7" max="14" width="0" style="13" hidden="1" customWidth="1"/>
    <col min="15" max="16384" width="9.140625" style="13" hidden="1"/>
  </cols>
  <sheetData>
    <row r="1" spans="1:6" ht="20.25" x14ac:dyDescent="0.3">
      <c r="A1" s="439" t="s">
        <v>478</v>
      </c>
      <c r="B1" s="439"/>
    </row>
    <row r="2" spans="1:6" ht="15" customHeight="1" x14ac:dyDescent="0.25">
      <c r="A2" s="129" t="s">
        <v>0</v>
      </c>
      <c r="B2" s="108">
        <f>'Loan Details'!B3</f>
        <v>0</v>
      </c>
    </row>
    <row r="3" spans="1:6" x14ac:dyDescent="0.25">
      <c r="A3" s="129" t="s">
        <v>2</v>
      </c>
      <c r="B3" s="109">
        <f>'Loan Details'!B4</f>
        <v>0.18</v>
      </c>
      <c r="F3" s="13" t="s">
        <v>696</v>
      </c>
    </row>
    <row r="4" spans="1:6" ht="15" customHeight="1" x14ac:dyDescent="0.25">
      <c r="A4" s="129" t="s">
        <v>3</v>
      </c>
      <c r="B4" s="110">
        <f>'Loan Details'!B5</f>
        <v>48</v>
      </c>
      <c r="F4" s="13" t="s">
        <v>695</v>
      </c>
    </row>
    <row r="5" spans="1:6" ht="15" customHeight="1" x14ac:dyDescent="0.25">
      <c r="A5" s="129" t="s">
        <v>483</v>
      </c>
      <c r="B5" s="131">
        <f>PMT(B3/12,B4,-B2)</f>
        <v>0</v>
      </c>
      <c r="F5" s="13" t="s">
        <v>702</v>
      </c>
    </row>
    <row r="6" spans="1:6" x14ac:dyDescent="0.25">
      <c r="A6" s="123" t="s">
        <v>773</v>
      </c>
      <c r="B6" s="133" t="s">
        <v>785</v>
      </c>
      <c r="F6" s="13" t="s">
        <v>703</v>
      </c>
    </row>
    <row r="7" spans="1:6" ht="15" customHeight="1" x14ac:dyDescent="0.25">
      <c r="A7" s="123" t="s">
        <v>803</v>
      </c>
      <c r="B7" s="132" t="s">
        <v>785</v>
      </c>
      <c r="F7" s="13" t="s">
        <v>699</v>
      </c>
    </row>
    <row r="8" spans="1:6" ht="15" customHeight="1" x14ac:dyDescent="0.25">
      <c r="A8" s="123" t="s">
        <v>804</v>
      </c>
      <c r="B8" s="132" t="s">
        <v>704</v>
      </c>
      <c r="F8" s="13" t="s">
        <v>697</v>
      </c>
    </row>
    <row r="9" spans="1:6" ht="15.75" x14ac:dyDescent="0.25">
      <c r="A9" s="687" t="s">
        <v>719</v>
      </c>
      <c r="B9" s="687"/>
      <c r="F9" s="13" t="s">
        <v>701</v>
      </c>
    </row>
    <row r="10" spans="1:6" ht="15" customHeight="1" x14ac:dyDescent="0.25">
      <c r="A10" s="129" t="s">
        <v>718</v>
      </c>
      <c r="B10" s="110"/>
      <c r="F10" s="13" t="s">
        <v>707</v>
      </c>
    </row>
    <row r="11" spans="1:6" ht="15" customHeight="1" x14ac:dyDescent="0.25">
      <c r="A11" s="129" t="s">
        <v>521</v>
      </c>
      <c r="B11" s="108"/>
      <c r="F11" s="13" t="s">
        <v>694</v>
      </c>
    </row>
    <row r="12" spans="1:6" ht="15" customHeight="1" x14ac:dyDescent="0.25">
      <c r="A12" s="129" t="s">
        <v>520</v>
      </c>
      <c r="B12" s="115">
        <f>B11*B10</f>
        <v>0</v>
      </c>
      <c r="F12" s="13" t="s">
        <v>704</v>
      </c>
    </row>
    <row r="13" spans="1:6" ht="15" customHeight="1" x14ac:dyDescent="0.25">
      <c r="A13" s="129" t="s">
        <v>522</v>
      </c>
      <c r="B13" s="115">
        <f>MIN(B12,B2)</f>
        <v>0</v>
      </c>
      <c r="F13" s="13" t="s">
        <v>700</v>
      </c>
    </row>
    <row r="14" spans="1:6" ht="15" customHeight="1" x14ac:dyDescent="0.25">
      <c r="A14" s="129" t="s">
        <v>12</v>
      </c>
      <c r="B14" s="115">
        <f>PMT(B3/12,B4,-B13)</f>
        <v>0</v>
      </c>
    </row>
    <row r="15" spans="1:6" ht="15.75" x14ac:dyDescent="0.25">
      <c r="A15" s="687" t="s">
        <v>720</v>
      </c>
      <c r="B15" s="687"/>
    </row>
    <row r="16" spans="1:6" ht="15" customHeight="1" x14ac:dyDescent="0.25">
      <c r="A16" s="129" t="s">
        <v>708</v>
      </c>
      <c r="B16" s="110"/>
    </row>
    <row r="17" spans="1:2" ht="15" customHeight="1" x14ac:dyDescent="0.25">
      <c r="A17" s="129" t="s">
        <v>709</v>
      </c>
      <c r="B17" s="108"/>
    </row>
    <row r="18" spans="1:2" ht="15" customHeight="1" x14ac:dyDescent="0.25">
      <c r="A18" s="129" t="s">
        <v>710</v>
      </c>
      <c r="B18" s="110"/>
    </row>
    <row r="19" spans="1:2" ht="15" customHeight="1" x14ac:dyDescent="0.25">
      <c r="A19" s="129" t="s">
        <v>711</v>
      </c>
      <c r="B19" s="108"/>
    </row>
    <row r="20" spans="1:2" ht="15" customHeight="1" x14ac:dyDescent="0.25">
      <c r="A20" s="129" t="s">
        <v>712</v>
      </c>
      <c r="B20" s="110"/>
    </row>
    <row r="21" spans="1:2" ht="15" customHeight="1" x14ac:dyDescent="0.25">
      <c r="A21" s="129" t="s">
        <v>713</v>
      </c>
      <c r="B21" s="108"/>
    </row>
    <row r="22" spans="1:2" ht="15" customHeight="1" x14ac:dyDescent="0.25">
      <c r="A22" s="129" t="s">
        <v>714</v>
      </c>
      <c r="B22" s="110"/>
    </row>
    <row r="23" spans="1:2" ht="15" customHeight="1" x14ac:dyDescent="0.25">
      <c r="A23" s="129" t="s">
        <v>715</v>
      </c>
      <c r="B23" s="108"/>
    </row>
    <row r="24" spans="1:2" ht="15" customHeight="1" x14ac:dyDescent="0.25">
      <c r="A24" s="129" t="s">
        <v>716</v>
      </c>
      <c r="B24" s="110"/>
    </row>
    <row r="25" spans="1:2" ht="15" customHeight="1" x14ac:dyDescent="0.25">
      <c r="A25" s="129" t="s">
        <v>717</v>
      </c>
      <c r="B25" s="108"/>
    </row>
    <row r="26" spans="1:2" ht="15" customHeight="1" x14ac:dyDescent="0.25">
      <c r="A26" s="129" t="s">
        <v>520</v>
      </c>
      <c r="B26" s="115">
        <f>(B17*B16)+(B18*B19)+(B20*B21)+(B22*B23)+(B24+B25)</f>
        <v>0</v>
      </c>
    </row>
    <row r="27" spans="1:2" ht="15" customHeight="1" x14ac:dyDescent="0.25">
      <c r="A27" s="129" t="s">
        <v>522</v>
      </c>
      <c r="B27" s="115">
        <f>MIN(B26,B2)</f>
        <v>0</v>
      </c>
    </row>
    <row r="28" spans="1:2" x14ac:dyDescent="0.25">
      <c r="A28" s="129" t="s">
        <v>12</v>
      </c>
      <c r="B28" s="115">
        <f>PMT(B3/12,B4,-B27)</f>
        <v>0</v>
      </c>
    </row>
    <row r="29" spans="1:2" ht="6.75" customHeight="1" x14ac:dyDescent="0.25"/>
    <row r="30" spans="1:2" ht="6" hidden="1" customHeight="1" x14ac:dyDescent="0.25"/>
  </sheetData>
  <sheetProtection algorithmName="SHA-512" hashValue="V41SVCjhi7xFPP5HGTHRqYdpJNBdRhNJ4pc8qzmkNlWqD+x4CKf2J5hKWp9AHGqMcWnzDZOpSO6osw6cafJBYg==" saltValue="ny0PbxGPZW07eck3QsJ4Zg==" spinCount="100000" sheet="1" objects="1" scenarios="1"/>
  <sortState xmlns:xlrd2="http://schemas.microsoft.com/office/spreadsheetml/2017/richdata2" ref="F3:F13">
    <sortCondition ref="F3"/>
  </sortState>
  <mergeCells count="3">
    <mergeCell ref="A9:B9"/>
    <mergeCell ref="A15:B15"/>
    <mergeCell ref="A1:B1"/>
  </mergeCells>
  <dataValidations count="4">
    <dataValidation operator="greaterThanOrEqual" showInputMessage="1" showErrorMessage="1" sqref="B3" xr:uid="{00000000-0002-0000-1800-000000000000}"/>
    <dataValidation type="list" allowBlank="1" showInputMessage="1" showErrorMessage="1" sqref="B6" xr:uid="{00000000-0002-0000-1800-000001000000}">
      <formula1>"Regular,Structured"</formula1>
    </dataValidation>
    <dataValidation type="list" allowBlank="1" showInputMessage="1" showErrorMessage="1" sqref="B8" xr:uid="{00000000-0002-0000-1800-000002000000}">
      <formula1>$F$3:$F$13</formula1>
    </dataValidation>
    <dataValidation type="whole" allowBlank="1" showInputMessage="1" showErrorMessage="1" sqref="B4" xr:uid="{00000000-0002-0000-1800-000003000000}">
      <formula1>12</formula1>
      <formula2>60</formula2>
    </dataValidation>
  </dataValidations>
  <pageMargins left="0.7" right="0.7" top="0.75" bottom="0.75" header="0.3" footer="0.3"/>
  <pageSetup paperSize="9" orientation="portrait" horizontalDpi="4294967295" verticalDpi="4294967295"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EE672-C127-4D24-9BFE-DA3980C1ECBC}">
  <sheetPr codeName="Sheet28"/>
  <dimension ref="A1:O255"/>
  <sheetViews>
    <sheetView zoomScaleNormal="100" workbookViewId="0">
      <selection activeCell="B20" sqref="B20"/>
    </sheetView>
  </sheetViews>
  <sheetFormatPr defaultRowHeight="15" x14ac:dyDescent="0.25"/>
  <cols>
    <col min="1" max="1" width="10.85546875" customWidth="1"/>
    <col min="2" max="2" width="19.140625" customWidth="1"/>
    <col min="3" max="3" width="7.140625" bestFit="1" customWidth="1"/>
    <col min="4" max="4" width="21.85546875" customWidth="1"/>
    <col min="5" max="5" width="7.140625" bestFit="1" customWidth="1"/>
    <col min="6" max="6" width="12.5703125" customWidth="1"/>
    <col min="7" max="7" width="10.85546875" customWidth="1"/>
    <col min="9" max="9" width="10.85546875" customWidth="1"/>
    <col min="10" max="10" width="20.140625" customWidth="1"/>
    <col min="11" max="11" width="4.42578125" customWidth="1"/>
    <col min="12" max="12" width="24.85546875" customWidth="1"/>
    <col min="13" max="14" width="10" bestFit="1" customWidth="1"/>
    <col min="15" max="15" width="10.28515625" customWidth="1"/>
  </cols>
  <sheetData>
    <row r="1" spans="1:15" ht="33" customHeight="1" x14ac:dyDescent="0.25">
      <c r="A1" s="705" t="s">
        <v>1014</v>
      </c>
      <c r="B1" s="706"/>
      <c r="C1" s="706"/>
      <c r="D1" s="707"/>
      <c r="E1" s="276" t="s">
        <v>1015</v>
      </c>
      <c r="F1" s="708" t="s">
        <v>1016</v>
      </c>
      <c r="G1" s="709"/>
      <c r="I1" s="696" t="s">
        <v>1017</v>
      </c>
      <c r="J1" s="696"/>
      <c r="K1" s="653"/>
      <c r="L1" s="705" t="s">
        <v>859</v>
      </c>
      <c r="M1" s="706"/>
      <c r="N1" s="706"/>
      <c r="O1" s="707"/>
    </row>
    <row r="2" spans="1:15" x14ac:dyDescent="0.25">
      <c r="A2" s="697" t="s">
        <v>241</v>
      </c>
      <c r="B2" s="698"/>
      <c r="C2" s="697" t="s">
        <v>741</v>
      </c>
      <c r="D2" s="698"/>
      <c r="E2" s="697" t="s">
        <v>745</v>
      </c>
      <c r="F2" s="698"/>
      <c r="G2" s="699"/>
      <c r="I2" s="700" t="s">
        <v>241</v>
      </c>
      <c r="J2" s="700"/>
      <c r="K2" s="653"/>
      <c r="L2" s="270" t="s">
        <v>863</v>
      </c>
      <c r="M2" s="272" t="s">
        <v>860</v>
      </c>
      <c r="N2" s="272" t="s">
        <v>861</v>
      </c>
      <c r="O2" s="272" t="s">
        <v>862</v>
      </c>
    </row>
    <row r="3" spans="1:15" x14ac:dyDescent="0.25">
      <c r="A3" s="72" t="s">
        <v>731</v>
      </c>
      <c r="B3" s="277">
        <f>B19+B35+B51+B67+B83+B99+B115+B131+B147+B163+B179+B195+B211+B227+B243</f>
        <v>0</v>
      </c>
      <c r="C3" s="635" t="s">
        <v>742</v>
      </c>
      <c r="D3" s="702">
        <f>D19+D35+D51+D67+D83+D99+D115+D131+D147+D163+D179+D195+D211+D227+D243</f>
        <v>0</v>
      </c>
      <c r="E3" s="635" t="s">
        <v>746</v>
      </c>
      <c r="F3" s="710">
        <f>F19+F35+F51+F67+F83+F99+F115+F131+F147+F163+F179+F195+F211+F227+F243</f>
        <v>0</v>
      </c>
      <c r="G3" s="711"/>
      <c r="I3" s="278" t="s">
        <v>731</v>
      </c>
      <c r="J3" s="277">
        <f>J19+J35+J51+J67+J83+J99+J115+J131+J147+J163+J179+J195+J211+J227+J243</f>
        <v>0</v>
      </c>
      <c r="K3" s="653"/>
      <c r="L3" s="75" t="s">
        <v>853</v>
      </c>
      <c r="M3" s="77"/>
      <c r="N3" s="77"/>
      <c r="O3" s="74">
        <f>N3-M3</f>
        <v>0</v>
      </c>
    </row>
    <row r="4" spans="1:15" x14ac:dyDescent="0.25">
      <c r="A4" s="72" t="s">
        <v>515</v>
      </c>
      <c r="B4" s="277">
        <f t="shared" ref="B4:B14" si="0">B20+B36+B52+B68+B84+B100+B116+B132+B148+B164+B180+B196+B212+B228+B244</f>
        <v>0</v>
      </c>
      <c r="C4" s="636"/>
      <c r="D4" s="703"/>
      <c r="E4" s="636"/>
      <c r="F4" s="712"/>
      <c r="G4" s="713"/>
      <c r="I4" s="278" t="s">
        <v>515</v>
      </c>
      <c r="J4" s="277">
        <f t="shared" ref="J4:J14" si="1">J20+J36+J52+J68+J84+J100+J116+J132+J148+J164+J180+J196+J212+J228+J244</f>
        <v>0</v>
      </c>
      <c r="K4" s="653"/>
      <c r="L4" s="75" t="s">
        <v>854</v>
      </c>
      <c r="M4" s="77"/>
      <c r="N4" s="77"/>
      <c r="O4" s="74">
        <f>N4-M4</f>
        <v>0</v>
      </c>
    </row>
    <row r="5" spans="1:15" x14ac:dyDescent="0.25">
      <c r="A5" s="72" t="s">
        <v>732</v>
      </c>
      <c r="B5" s="277">
        <f t="shared" si="0"/>
        <v>0</v>
      </c>
      <c r="C5" s="637"/>
      <c r="D5" s="704"/>
      <c r="E5" s="636"/>
      <c r="F5" s="712"/>
      <c r="G5" s="713"/>
      <c r="I5" s="278" t="s">
        <v>732</v>
      </c>
      <c r="J5" s="277">
        <f t="shared" si="1"/>
        <v>0</v>
      </c>
      <c r="K5" s="654"/>
      <c r="L5" s="647"/>
      <c r="M5" s="647"/>
      <c r="N5" s="647"/>
      <c r="O5" s="647"/>
    </row>
    <row r="6" spans="1:15" x14ac:dyDescent="0.25">
      <c r="A6" s="72" t="s">
        <v>733</v>
      </c>
      <c r="B6" s="277">
        <f t="shared" si="0"/>
        <v>0</v>
      </c>
      <c r="C6" s="635" t="s">
        <v>743</v>
      </c>
      <c r="D6" s="702">
        <f t="shared" ref="D6" si="2">D22+D38+D54+D70+D86+D102+D118+D134+D150+D166+D182+D198+D214+D230+D246</f>
        <v>0</v>
      </c>
      <c r="E6" s="636"/>
      <c r="F6" s="712"/>
      <c r="G6" s="713"/>
      <c r="I6" s="278" t="s">
        <v>733</v>
      </c>
      <c r="J6" s="277">
        <f t="shared" si="1"/>
        <v>0</v>
      </c>
      <c r="K6" s="653"/>
      <c r="L6" s="118" t="s">
        <v>858</v>
      </c>
      <c r="M6" s="655"/>
      <c r="N6" s="656"/>
      <c r="O6" s="657"/>
    </row>
    <row r="7" spans="1:15" x14ac:dyDescent="0.25">
      <c r="A7" s="72" t="s">
        <v>734</v>
      </c>
      <c r="B7" s="277">
        <f t="shared" si="0"/>
        <v>0</v>
      </c>
      <c r="C7" s="636"/>
      <c r="D7" s="703"/>
      <c r="E7" s="636"/>
      <c r="F7" s="712"/>
      <c r="G7" s="713"/>
      <c r="I7" s="278" t="s">
        <v>734</v>
      </c>
      <c r="J7" s="277">
        <f t="shared" si="1"/>
        <v>0</v>
      </c>
      <c r="K7" s="653"/>
      <c r="L7" s="118" t="s">
        <v>857</v>
      </c>
      <c r="M7" s="655"/>
      <c r="N7" s="656"/>
      <c r="O7" s="657"/>
    </row>
    <row r="8" spans="1:15" x14ac:dyDescent="0.25">
      <c r="A8" s="72" t="s">
        <v>735</v>
      </c>
      <c r="B8" s="277">
        <f t="shared" si="0"/>
        <v>0</v>
      </c>
      <c r="C8" s="637"/>
      <c r="D8" s="704"/>
      <c r="E8" s="637"/>
      <c r="F8" s="714"/>
      <c r="G8" s="715"/>
      <c r="I8" s="278" t="s">
        <v>735</v>
      </c>
      <c r="J8" s="277">
        <f t="shared" si="1"/>
        <v>0</v>
      </c>
      <c r="K8" s="654"/>
      <c r="L8" s="647"/>
      <c r="M8" s="647"/>
      <c r="N8" s="647"/>
      <c r="O8" s="647"/>
    </row>
    <row r="9" spans="1:15" x14ac:dyDescent="0.25">
      <c r="A9" s="72" t="s">
        <v>736</v>
      </c>
      <c r="B9" s="277">
        <f t="shared" si="0"/>
        <v>0</v>
      </c>
      <c r="C9" s="635" t="s">
        <v>744</v>
      </c>
      <c r="D9" s="702">
        <f t="shared" ref="D9" si="3">D25+D41+D57+D73+D89+D105+D121+D137+D153+D169+D185+D201+D217+D233+D249</f>
        <v>0</v>
      </c>
      <c r="E9" s="635" t="s">
        <v>747</v>
      </c>
      <c r="F9" s="710">
        <f>F25+F41+F57+F73+F89+F105+F121+F137+F153+F169+F185+F201+F217+F233+F249</f>
        <v>0</v>
      </c>
      <c r="G9" s="711"/>
      <c r="I9" s="278" t="s">
        <v>736</v>
      </c>
      <c r="J9" s="277">
        <f t="shared" si="1"/>
        <v>0</v>
      </c>
      <c r="K9" s="653"/>
      <c r="L9" s="141" t="s">
        <v>856</v>
      </c>
      <c r="M9" s="658" t="e">
        <f>(M6/B15)*O3</f>
        <v>#DIV/0!</v>
      </c>
      <c r="N9" s="658"/>
      <c r="O9" s="658"/>
    </row>
    <row r="10" spans="1:15" x14ac:dyDescent="0.25">
      <c r="A10" s="72" t="s">
        <v>737</v>
      </c>
      <c r="B10" s="277">
        <f t="shared" si="0"/>
        <v>0</v>
      </c>
      <c r="C10" s="636"/>
      <c r="D10" s="703"/>
      <c r="E10" s="636"/>
      <c r="F10" s="712"/>
      <c r="G10" s="713"/>
      <c r="I10" s="278" t="s">
        <v>737</v>
      </c>
      <c r="J10" s="277">
        <f t="shared" si="1"/>
        <v>0</v>
      </c>
      <c r="K10" s="653"/>
      <c r="L10" s="141" t="s">
        <v>855</v>
      </c>
      <c r="M10" s="658" t="e">
        <f>(M7/J15)*O4</f>
        <v>#DIV/0!</v>
      </c>
      <c r="N10" s="658"/>
      <c r="O10" s="658"/>
    </row>
    <row r="11" spans="1:15" x14ac:dyDescent="0.25">
      <c r="A11" s="72" t="s">
        <v>738</v>
      </c>
      <c r="B11" s="277">
        <f t="shared" si="0"/>
        <v>0</v>
      </c>
      <c r="C11" s="637"/>
      <c r="D11" s="704"/>
      <c r="E11" s="636"/>
      <c r="F11" s="712"/>
      <c r="G11" s="713"/>
      <c r="I11" s="278" t="s">
        <v>738</v>
      </c>
      <c r="J11" s="277">
        <f t="shared" si="1"/>
        <v>0</v>
      </c>
      <c r="K11" s="654"/>
      <c r="L11" s="701"/>
      <c r="M11" s="701"/>
      <c r="N11" s="701"/>
      <c r="O11" s="701"/>
    </row>
    <row r="12" spans="1:15" x14ac:dyDescent="0.25">
      <c r="A12" s="72" t="s">
        <v>739</v>
      </c>
      <c r="B12" s="277">
        <f t="shared" si="0"/>
        <v>0</v>
      </c>
      <c r="C12" s="635" t="s">
        <v>774</v>
      </c>
      <c r="D12" s="702">
        <f t="shared" ref="D12" si="4">D28+D44+D60+D76+D92+D108+D124+D140+D156+D172+D188+D204+D220+D236+D252</f>
        <v>0</v>
      </c>
      <c r="E12" s="636"/>
      <c r="F12" s="712"/>
      <c r="G12" s="713"/>
      <c r="I12" s="278" t="s">
        <v>739</v>
      </c>
      <c r="J12" s="277">
        <f t="shared" si="1"/>
        <v>0</v>
      </c>
      <c r="K12" s="654"/>
      <c r="L12" s="701"/>
      <c r="M12" s="701"/>
      <c r="N12" s="701"/>
      <c r="O12" s="701"/>
    </row>
    <row r="13" spans="1:15" x14ac:dyDescent="0.25">
      <c r="A13" s="72" t="s">
        <v>740</v>
      </c>
      <c r="B13" s="277">
        <f t="shared" si="0"/>
        <v>0</v>
      </c>
      <c r="C13" s="636"/>
      <c r="D13" s="703"/>
      <c r="E13" s="636"/>
      <c r="F13" s="712"/>
      <c r="G13" s="713"/>
      <c r="I13" s="278" t="s">
        <v>740</v>
      </c>
      <c r="J13" s="277">
        <f t="shared" si="1"/>
        <v>0</v>
      </c>
      <c r="K13" s="654"/>
      <c r="L13" s="701"/>
      <c r="M13" s="701"/>
      <c r="N13" s="701"/>
      <c r="O13" s="701"/>
    </row>
    <row r="14" spans="1:15" x14ac:dyDescent="0.25">
      <c r="A14" s="72" t="s">
        <v>730</v>
      </c>
      <c r="B14" s="277">
        <f t="shared" si="0"/>
        <v>0</v>
      </c>
      <c r="C14" s="637"/>
      <c r="D14" s="704"/>
      <c r="E14" s="637"/>
      <c r="F14" s="714"/>
      <c r="G14" s="715"/>
      <c r="I14" s="278" t="s">
        <v>730</v>
      </c>
      <c r="J14" s="277">
        <f t="shared" si="1"/>
        <v>0</v>
      </c>
      <c r="K14" s="654"/>
      <c r="L14" s="701"/>
      <c r="M14" s="701"/>
      <c r="N14" s="701"/>
      <c r="O14" s="701"/>
    </row>
    <row r="15" spans="1:15" x14ac:dyDescent="0.25">
      <c r="A15" s="279" t="s">
        <v>688</v>
      </c>
      <c r="B15" s="271">
        <f>SUM(B3:B14)</f>
        <v>0</v>
      </c>
      <c r="C15" s="279" t="s">
        <v>688</v>
      </c>
      <c r="D15" s="271">
        <f>SUM(D3:D14)</f>
        <v>0</v>
      </c>
      <c r="E15" s="279" t="s">
        <v>688</v>
      </c>
      <c r="F15" s="641">
        <f>SUM(F3:G14)</f>
        <v>0</v>
      </c>
      <c r="G15" s="642"/>
      <c r="I15" s="279" t="s">
        <v>688</v>
      </c>
      <c r="J15" s="119">
        <f>SUM(J3:J14)</f>
        <v>0</v>
      </c>
      <c r="K15" s="654"/>
      <c r="L15" s="701"/>
      <c r="M15" s="701"/>
      <c r="N15" s="701"/>
      <c r="O15" s="701"/>
    </row>
    <row r="17" spans="1:10" ht="18.75" customHeight="1" x14ac:dyDescent="0.25">
      <c r="A17" s="280" t="s">
        <v>1018</v>
      </c>
      <c r="B17" s="281"/>
      <c r="C17" s="281"/>
      <c r="D17" s="276" t="s">
        <v>1019</v>
      </c>
      <c r="E17" s="695"/>
      <c r="F17" s="695"/>
      <c r="G17" s="695"/>
      <c r="I17" s="696" t="s">
        <v>852</v>
      </c>
      <c r="J17" s="696"/>
    </row>
    <row r="18" spans="1:10" x14ac:dyDescent="0.25">
      <c r="A18" s="697" t="s">
        <v>241</v>
      </c>
      <c r="B18" s="698"/>
      <c r="C18" s="697" t="s">
        <v>741</v>
      </c>
      <c r="D18" s="698"/>
      <c r="E18" s="697" t="s">
        <v>745</v>
      </c>
      <c r="F18" s="698"/>
      <c r="G18" s="699"/>
      <c r="I18" s="700" t="s">
        <v>241</v>
      </c>
      <c r="J18" s="700"/>
    </row>
    <row r="19" spans="1:10" x14ac:dyDescent="0.25">
      <c r="A19" s="282" t="s">
        <v>731</v>
      </c>
      <c r="B19" s="120">
        <v>0</v>
      </c>
      <c r="C19" s="689" t="s">
        <v>742</v>
      </c>
      <c r="D19" s="692">
        <f>B19+B20+B21</f>
        <v>0</v>
      </c>
      <c r="E19" s="689" t="s">
        <v>746</v>
      </c>
      <c r="F19" s="638">
        <f>+D19+D22</f>
        <v>0</v>
      </c>
      <c r="G19" s="643"/>
      <c r="I19" s="278" t="s">
        <v>731</v>
      </c>
      <c r="J19" s="283">
        <v>0</v>
      </c>
    </row>
    <row r="20" spans="1:10" x14ac:dyDescent="0.25">
      <c r="A20" s="282" t="s">
        <v>515</v>
      </c>
      <c r="B20" s="120">
        <v>0</v>
      </c>
      <c r="C20" s="690"/>
      <c r="D20" s="693"/>
      <c r="E20" s="690"/>
      <c r="F20" s="639"/>
      <c r="G20" s="644"/>
      <c r="I20" s="278" t="s">
        <v>515</v>
      </c>
      <c r="J20" s="283">
        <v>0</v>
      </c>
    </row>
    <row r="21" spans="1:10" x14ac:dyDescent="0.25">
      <c r="A21" s="282" t="s">
        <v>732</v>
      </c>
      <c r="B21" s="120">
        <v>0</v>
      </c>
      <c r="C21" s="691"/>
      <c r="D21" s="694"/>
      <c r="E21" s="690"/>
      <c r="F21" s="639"/>
      <c r="G21" s="644"/>
      <c r="I21" s="278" t="s">
        <v>732</v>
      </c>
      <c r="J21" s="283">
        <v>0</v>
      </c>
    </row>
    <row r="22" spans="1:10" x14ac:dyDescent="0.25">
      <c r="A22" s="282" t="s">
        <v>733</v>
      </c>
      <c r="B22" s="120">
        <v>0</v>
      </c>
      <c r="C22" s="689" t="s">
        <v>743</v>
      </c>
      <c r="D22" s="692">
        <f>B22+B23+B24</f>
        <v>0</v>
      </c>
      <c r="E22" s="690"/>
      <c r="F22" s="639"/>
      <c r="G22" s="644"/>
      <c r="I22" s="278" t="s">
        <v>733</v>
      </c>
      <c r="J22" s="283">
        <v>0</v>
      </c>
    </row>
    <row r="23" spans="1:10" x14ac:dyDescent="0.25">
      <c r="A23" s="282" t="s">
        <v>734</v>
      </c>
      <c r="B23" s="120">
        <v>0</v>
      </c>
      <c r="C23" s="690"/>
      <c r="D23" s="693"/>
      <c r="E23" s="690"/>
      <c r="F23" s="639"/>
      <c r="G23" s="644"/>
      <c r="I23" s="278" t="s">
        <v>734</v>
      </c>
      <c r="J23" s="283">
        <v>0</v>
      </c>
    </row>
    <row r="24" spans="1:10" x14ac:dyDescent="0.25">
      <c r="A24" s="282" t="s">
        <v>735</v>
      </c>
      <c r="B24" s="120">
        <v>0</v>
      </c>
      <c r="C24" s="691"/>
      <c r="D24" s="694"/>
      <c r="E24" s="691"/>
      <c r="F24" s="640"/>
      <c r="G24" s="645"/>
      <c r="I24" s="278" t="s">
        <v>735</v>
      </c>
      <c r="J24" s="283">
        <v>0</v>
      </c>
    </row>
    <row r="25" spans="1:10" x14ac:dyDescent="0.25">
      <c r="A25" s="282" t="s">
        <v>736</v>
      </c>
      <c r="B25" s="120">
        <v>0</v>
      </c>
      <c r="C25" s="689" t="s">
        <v>744</v>
      </c>
      <c r="D25" s="692">
        <f>B25+B26+B27</f>
        <v>0</v>
      </c>
      <c r="E25" s="689" t="s">
        <v>747</v>
      </c>
      <c r="F25" s="638">
        <f>+D25+D28</f>
        <v>0</v>
      </c>
      <c r="G25" s="643"/>
      <c r="I25" s="278" t="s">
        <v>736</v>
      </c>
      <c r="J25" s="283">
        <v>0</v>
      </c>
    </row>
    <row r="26" spans="1:10" x14ac:dyDescent="0.25">
      <c r="A26" s="282" t="s">
        <v>737</v>
      </c>
      <c r="B26" s="120">
        <v>0</v>
      </c>
      <c r="C26" s="690"/>
      <c r="D26" s="693"/>
      <c r="E26" s="690"/>
      <c r="F26" s="639"/>
      <c r="G26" s="644"/>
      <c r="I26" s="278" t="s">
        <v>737</v>
      </c>
      <c r="J26" s="283">
        <v>0</v>
      </c>
    </row>
    <row r="27" spans="1:10" x14ac:dyDescent="0.25">
      <c r="A27" s="282" t="s">
        <v>738</v>
      </c>
      <c r="B27" s="120">
        <v>0</v>
      </c>
      <c r="C27" s="691"/>
      <c r="D27" s="694"/>
      <c r="E27" s="690"/>
      <c r="F27" s="639"/>
      <c r="G27" s="644"/>
      <c r="I27" s="278" t="s">
        <v>738</v>
      </c>
      <c r="J27" s="283">
        <v>0</v>
      </c>
    </row>
    <row r="28" spans="1:10" x14ac:dyDescent="0.25">
      <c r="A28" s="282" t="s">
        <v>739</v>
      </c>
      <c r="B28" s="120">
        <v>0</v>
      </c>
      <c r="C28" s="689" t="s">
        <v>774</v>
      </c>
      <c r="D28" s="692">
        <f>B28+B29+B30</f>
        <v>0</v>
      </c>
      <c r="E28" s="690"/>
      <c r="F28" s="639"/>
      <c r="G28" s="644"/>
      <c r="I28" s="278" t="s">
        <v>739</v>
      </c>
      <c r="J28" s="283">
        <v>0</v>
      </c>
    </row>
    <row r="29" spans="1:10" x14ac:dyDescent="0.25">
      <c r="A29" s="282" t="s">
        <v>740</v>
      </c>
      <c r="B29" s="120">
        <v>0</v>
      </c>
      <c r="C29" s="690"/>
      <c r="D29" s="693"/>
      <c r="E29" s="690"/>
      <c r="F29" s="639"/>
      <c r="G29" s="644"/>
      <c r="I29" s="278" t="s">
        <v>740</v>
      </c>
      <c r="J29" s="283">
        <v>0</v>
      </c>
    </row>
    <row r="30" spans="1:10" x14ac:dyDescent="0.25">
      <c r="A30" s="282" t="s">
        <v>730</v>
      </c>
      <c r="B30" s="120">
        <v>0</v>
      </c>
      <c r="C30" s="691"/>
      <c r="D30" s="694"/>
      <c r="E30" s="691"/>
      <c r="F30" s="640"/>
      <c r="G30" s="645"/>
      <c r="I30" s="278" t="s">
        <v>730</v>
      </c>
      <c r="J30" s="283">
        <v>0</v>
      </c>
    </row>
    <row r="31" spans="1:10" x14ac:dyDescent="0.25">
      <c r="A31" s="279" t="s">
        <v>688</v>
      </c>
      <c r="B31" s="271">
        <f>SUM(B19:B30)</f>
        <v>0</v>
      </c>
      <c r="C31" s="279" t="s">
        <v>688</v>
      </c>
      <c r="D31" s="271">
        <f>SUM(D19:D30)</f>
        <v>0</v>
      </c>
      <c r="E31" s="279" t="s">
        <v>688</v>
      </c>
      <c r="F31" s="641">
        <f>SUM(F19:G30)</f>
        <v>0</v>
      </c>
      <c r="G31" s="688"/>
      <c r="I31" s="279" t="s">
        <v>688</v>
      </c>
      <c r="J31" s="119">
        <f>SUM(J19:J30)</f>
        <v>0</v>
      </c>
    </row>
    <row r="33" spans="1:10" ht="18.75" customHeight="1" x14ac:dyDescent="0.25">
      <c r="A33" s="280" t="s">
        <v>1018</v>
      </c>
      <c r="B33" s="281"/>
      <c r="C33" s="281"/>
      <c r="D33" s="276" t="s">
        <v>1019</v>
      </c>
      <c r="E33" s="695"/>
      <c r="F33" s="695"/>
      <c r="G33" s="695"/>
      <c r="I33" s="696" t="s">
        <v>852</v>
      </c>
      <c r="J33" s="696"/>
    </row>
    <row r="34" spans="1:10" x14ac:dyDescent="0.25">
      <c r="A34" s="697" t="s">
        <v>241</v>
      </c>
      <c r="B34" s="698"/>
      <c r="C34" s="697" t="s">
        <v>741</v>
      </c>
      <c r="D34" s="698"/>
      <c r="E34" s="697" t="s">
        <v>745</v>
      </c>
      <c r="F34" s="698"/>
      <c r="G34" s="699"/>
      <c r="I34" s="700" t="s">
        <v>241</v>
      </c>
      <c r="J34" s="700"/>
    </row>
    <row r="35" spans="1:10" x14ac:dyDescent="0.25">
      <c r="A35" s="282" t="s">
        <v>731</v>
      </c>
      <c r="B35" s="120">
        <v>0</v>
      </c>
      <c r="C35" s="689" t="s">
        <v>742</v>
      </c>
      <c r="D35" s="692">
        <f>+B35+B36+B37</f>
        <v>0</v>
      </c>
      <c r="E35" s="689" t="s">
        <v>746</v>
      </c>
      <c r="F35" s="638">
        <f>+D35+D38</f>
        <v>0</v>
      </c>
      <c r="G35" s="643"/>
      <c r="I35" s="278" t="s">
        <v>731</v>
      </c>
      <c r="J35" s="283">
        <v>0</v>
      </c>
    </row>
    <row r="36" spans="1:10" x14ac:dyDescent="0.25">
      <c r="A36" s="282" t="s">
        <v>515</v>
      </c>
      <c r="B36" s="120">
        <v>0</v>
      </c>
      <c r="C36" s="690"/>
      <c r="D36" s="693"/>
      <c r="E36" s="690"/>
      <c r="F36" s="639"/>
      <c r="G36" s="644"/>
      <c r="I36" s="278" t="s">
        <v>515</v>
      </c>
      <c r="J36" s="283">
        <v>0</v>
      </c>
    </row>
    <row r="37" spans="1:10" x14ac:dyDescent="0.25">
      <c r="A37" s="282" t="s">
        <v>732</v>
      </c>
      <c r="B37" s="120">
        <v>0</v>
      </c>
      <c r="C37" s="691"/>
      <c r="D37" s="694"/>
      <c r="E37" s="690"/>
      <c r="F37" s="639"/>
      <c r="G37" s="644"/>
      <c r="I37" s="278" t="s">
        <v>732</v>
      </c>
      <c r="J37" s="283">
        <v>0</v>
      </c>
    </row>
    <row r="38" spans="1:10" x14ac:dyDescent="0.25">
      <c r="A38" s="282" t="s">
        <v>733</v>
      </c>
      <c r="B38" s="120">
        <v>0</v>
      </c>
      <c r="C38" s="689" t="s">
        <v>743</v>
      </c>
      <c r="D38" s="692">
        <f>+B38+B39+B40</f>
        <v>0</v>
      </c>
      <c r="E38" s="690"/>
      <c r="F38" s="639"/>
      <c r="G38" s="644"/>
      <c r="I38" s="278" t="s">
        <v>733</v>
      </c>
      <c r="J38" s="283">
        <v>0</v>
      </c>
    </row>
    <row r="39" spans="1:10" x14ac:dyDescent="0.25">
      <c r="A39" s="282" t="s">
        <v>734</v>
      </c>
      <c r="B39" s="120">
        <v>0</v>
      </c>
      <c r="C39" s="690"/>
      <c r="D39" s="693"/>
      <c r="E39" s="690"/>
      <c r="F39" s="639"/>
      <c r="G39" s="644"/>
      <c r="I39" s="278" t="s">
        <v>734</v>
      </c>
      <c r="J39" s="283">
        <v>0</v>
      </c>
    </row>
    <row r="40" spans="1:10" x14ac:dyDescent="0.25">
      <c r="A40" s="282" t="s">
        <v>735</v>
      </c>
      <c r="B40" s="120">
        <v>0</v>
      </c>
      <c r="C40" s="691"/>
      <c r="D40" s="694"/>
      <c r="E40" s="691"/>
      <c r="F40" s="640"/>
      <c r="G40" s="645"/>
      <c r="I40" s="278" t="s">
        <v>735</v>
      </c>
      <c r="J40" s="283">
        <v>0</v>
      </c>
    </row>
    <row r="41" spans="1:10" x14ac:dyDescent="0.25">
      <c r="A41" s="282" t="s">
        <v>736</v>
      </c>
      <c r="B41" s="120">
        <v>0</v>
      </c>
      <c r="C41" s="689" t="s">
        <v>744</v>
      </c>
      <c r="D41" s="692">
        <f>+B41+B42+B43</f>
        <v>0</v>
      </c>
      <c r="E41" s="689" t="s">
        <v>747</v>
      </c>
      <c r="F41" s="638">
        <f>+D41+D44</f>
        <v>0</v>
      </c>
      <c r="G41" s="643"/>
      <c r="I41" s="278" t="s">
        <v>736</v>
      </c>
      <c r="J41" s="283">
        <v>0</v>
      </c>
    </row>
    <row r="42" spans="1:10" x14ac:dyDescent="0.25">
      <c r="A42" s="282" t="s">
        <v>737</v>
      </c>
      <c r="B42" s="120">
        <v>0</v>
      </c>
      <c r="C42" s="690"/>
      <c r="D42" s="693"/>
      <c r="E42" s="690"/>
      <c r="F42" s="639"/>
      <c r="G42" s="644"/>
      <c r="I42" s="278" t="s">
        <v>737</v>
      </c>
      <c r="J42" s="283">
        <v>0</v>
      </c>
    </row>
    <row r="43" spans="1:10" x14ac:dyDescent="0.25">
      <c r="A43" s="282" t="s">
        <v>738</v>
      </c>
      <c r="B43" s="120">
        <v>0</v>
      </c>
      <c r="C43" s="691"/>
      <c r="D43" s="694"/>
      <c r="E43" s="690"/>
      <c r="F43" s="639"/>
      <c r="G43" s="644"/>
      <c r="I43" s="278" t="s">
        <v>738</v>
      </c>
      <c r="J43" s="283">
        <v>0</v>
      </c>
    </row>
    <row r="44" spans="1:10" x14ac:dyDescent="0.25">
      <c r="A44" s="282" t="s">
        <v>739</v>
      </c>
      <c r="B44" s="120">
        <v>0</v>
      </c>
      <c r="C44" s="689" t="s">
        <v>774</v>
      </c>
      <c r="D44" s="692">
        <f>+B44+B45+B46</f>
        <v>0</v>
      </c>
      <c r="E44" s="690"/>
      <c r="F44" s="639"/>
      <c r="G44" s="644"/>
      <c r="I44" s="278" t="s">
        <v>739</v>
      </c>
      <c r="J44" s="283">
        <v>0</v>
      </c>
    </row>
    <row r="45" spans="1:10" x14ac:dyDescent="0.25">
      <c r="A45" s="282" t="s">
        <v>740</v>
      </c>
      <c r="B45" s="120">
        <v>0</v>
      </c>
      <c r="C45" s="690"/>
      <c r="D45" s="693"/>
      <c r="E45" s="690"/>
      <c r="F45" s="639"/>
      <c r="G45" s="644"/>
      <c r="I45" s="278" t="s">
        <v>740</v>
      </c>
      <c r="J45" s="283">
        <v>0</v>
      </c>
    </row>
    <row r="46" spans="1:10" x14ac:dyDescent="0.25">
      <c r="A46" s="282" t="s">
        <v>730</v>
      </c>
      <c r="B46" s="120">
        <v>0</v>
      </c>
      <c r="C46" s="691"/>
      <c r="D46" s="694"/>
      <c r="E46" s="691"/>
      <c r="F46" s="640"/>
      <c r="G46" s="645"/>
      <c r="I46" s="278" t="s">
        <v>730</v>
      </c>
      <c r="J46" s="283">
        <v>0</v>
      </c>
    </row>
    <row r="47" spans="1:10" x14ac:dyDescent="0.25">
      <c r="A47" s="279" t="s">
        <v>688</v>
      </c>
      <c r="B47" s="271">
        <f>SUM(B35:B46)</f>
        <v>0</v>
      </c>
      <c r="C47" s="279" t="s">
        <v>688</v>
      </c>
      <c r="D47" s="271">
        <f>SUM(D35:D46)</f>
        <v>0</v>
      </c>
      <c r="E47" s="279" t="s">
        <v>688</v>
      </c>
      <c r="F47" s="641">
        <f>SUM(F35:G46)</f>
        <v>0</v>
      </c>
      <c r="G47" s="688"/>
      <c r="I47" s="279" t="s">
        <v>688</v>
      </c>
      <c r="J47" s="119">
        <f>SUM(J35:J46)</f>
        <v>0</v>
      </c>
    </row>
    <row r="49" spans="1:10" ht="18.75" customHeight="1" x14ac:dyDescent="0.25">
      <c r="A49" s="280" t="s">
        <v>1018</v>
      </c>
      <c r="B49" s="281"/>
      <c r="C49" s="281"/>
      <c r="D49" s="276" t="s">
        <v>1019</v>
      </c>
      <c r="E49" s="695"/>
      <c r="F49" s="695"/>
      <c r="G49" s="695"/>
      <c r="I49" s="696" t="s">
        <v>852</v>
      </c>
      <c r="J49" s="696"/>
    </row>
    <row r="50" spans="1:10" x14ac:dyDescent="0.25">
      <c r="A50" s="697" t="s">
        <v>241</v>
      </c>
      <c r="B50" s="698"/>
      <c r="C50" s="697" t="s">
        <v>741</v>
      </c>
      <c r="D50" s="698"/>
      <c r="E50" s="697" t="s">
        <v>745</v>
      </c>
      <c r="F50" s="698"/>
      <c r="G50" s="699"/>
      <c r="I50" s="700" t="s">
        <v>241</v>
      </c>
      <c r="J50" s="700"/>
    </row>
    <row r="51" spans="1:10" x14ac:dyDescent="0.25">
      <c r="A51" s="282" t="s">
        <v>731</v>
      </c>
      <c r="B51" s="120">
        <v>0</v>
      </c>
      <c r="C51" s="689" t="s">
        <v>742</v>
      </c>
      <c r="D51" s="692">
        <f>+B51+B52+B53</f>
        <v>0</v>
      </c>
      <c r="E51" s="689" t="s">
        <v>746</v>
      </c>
      <c r="F51" s="638">
        <f>+D51+D54</f>
        <v>0</v>
      </c>
      <c r="G51" s="643"/>
      <c r="I51" s="278" t="s">
        <v>731</v>
      </c>
      <c r="J51" s="120">
        <v>0</v>
      </c>
    </row>
    <row r="52" spans="1:10" x14ac:dyDescent="0.25">
      <c r="A52" s="282" t="s">
        <v>515</v>
      </c>
      <c r="B52" s="120">
        <v>0</v>
      </c>
      <c r="C52" s="690"/>
      <c r="D52" s="693"/>
      <c r="E52" s="690"/>
      <c r="F52" s="639"/>
      <c r="G52" s="644"/>
      <c r="I52" s="278" t="s">
        <v>515</v>
      </c>
      <c r="J52" s="120">
        <v>0</v>
      </c>
    </row>
    <row r="53" spans="1:10" x14ac:dyDescent="0.25">
      <c r="A53" s="282" t="s">
        <v>732</v>
      </c>
      <c r="B53" s="120">
        <v>0</v>
      </c>
      <c r="C53" s="691"/>
      <c r="D53" s="694"/>
      <c r="E53" s="690"/>
      <c r="F53" s="639"/>
      <c r="G53" s="644"/>
      <c r="I53" s="278" t="s">
        <v>732</v>
      </c>
      <c r="J53" s="120">
        <v>0</v>
      </c>
    </row>
    <row r="54" spans="1:10" x14ac:dyDescent="0.25">
      <c r="A54" s="282" t="s">
        <v>733</v>
      </c>
      <c r="B54" s="120">
        <v>0</v>
      </c>
      <c r="C54" s="689" t="s">
        <v>743</v>
      </c>
      <c r="D54" s="692">
        <f>+B54+B55+B56</f>
        <v>0</v>
      </c>
      <c r="E54" s="690"/>
      <c r="F54" s="639"/>
      <c r="G54" s="644"/>
      <c r="I54" s="278" t="s">
        <v>733</v>
      </c>
      <c r="J54" s="120">
        <v>0</v>
      </c>
    </row>
    <row r="55" spans="1:10" x14ac:dyDescent="0.25">
      <c r="A55" s="282" t="s">
        <v>734</v>
      </c>
      <c r="B55" s="120">
        <v>0</v>
      </c>
      <c r="C55" s="690"/>
      <c r="D55" s="693"/>
      <c r="E55" s="690"/>
      <c r="F55" s="639"/>
      <c r="G55" s="644"/>
      <c r="I55" s="278" t="s">
        <v>734</v>
      </c>
      <c r="J55" s="120">
        <v>0</v>
      </c>
    </row>
    <row r="56" spans="1:10" x14ac:dyDescent="0.25">
      <c r="A56" s="282" t="s">
        <v>735</v>
      </c>
      <c r="B56" s="120">
        <v>0</v>
      </c>
      <c r="C56" s="691"/>
      <c r="D56" s="694"/>
      <c r="E56" s="691"/>
      <c r="F56" s="640"/>
      <c r="G56" s="645"/>
      <c r="I56" s="278" t="s">
        <v>735</v>
      </c>
      <c r="J56" s="120">
        <v>0</v>
      </c>
    </row>
    <row r="57" spans="1:10" x14ac:dyDescent="0.25">
      <c r="A57" s="282" t="s">
        <v>736</v>
      </c>
      <c r="B57" s="120">
        <v>0</v>
      </c>
      <c r="C57" s="689" t="s">
        <v>744</v>
      </c>
      <c r="D57" s="692">
        <f>+B57+B58+B59</f>
        <v>0</v>
      </c>
      <c r="E57" s="689" t="s">
        <v>747</v>
      </c>
      <c r="F57" s="638">
        <f>+D57+D60</f>
        <v>0</v>
      </c>
      <c r="G57" s="643"/>
      <c r="I57" s="278" t="s">
        <v>736</v>
      </c>
      <c r="J57" s="120">
        <v>0</v>
      </c>
    </row>
    <row r="58" spans="1:10" x14ac:dyDescent="0.25">
      <c r="A58" s="282" t="s">
        <v>737</v>
      </c>
      <c r="B58" s="120">
        <v>0</v>
      </c>
      <c r="C58" s="690"/>
      <c r="D58" s="693"/>
      <c r="E58" s="690"/>
      <c r="F58" s="639"/>
      <c r="G58" s="644"/>
      <c r="I58" s="278" t="s">
        <v>737</v>
      </c>
      <c r="J58" s="120">
        <v>0</v>
      </c>
    </row>
    <row r="59" spans="1:10" x14ac:dyDescent="0.25">
      <c r="A59" s="282" t="s">
        <v>738</v>
      </c>
      <c r="B59" s="120">
        <v>0</v>
      </c>
      <c r="C59" s="691"/>
      <c r="D59" s="694"/>
      <c r="E59" s="690"/>
      <c r="F59" s="639"/>
      <c r="G59" s="644"/>
      <c r="I59" s="278" t="s">
        <v>738</v>
      </c>
      <c r="J59" s="120">
        <v>0</v>
      </c>
    </row>
    <row r="60" spans="1:10" x14ac:dyDescent="0.25">
      <c r="A60" s="282" t="s">
        <v>739</v>
      </c>
      <c r="B60" s="120">
        <v>0</v>
      </c>
      <c r="C60" s="689" t="s">
        <v>774</v>
      </c>
      <c r="D60" s="692">
        <f>+B60+B61+B62</f>
        <v>0</v>
      </c>
      <c r="E60" s="690"/>
      <c r="F60" s="639"/>
      <c r="G60" s="644"/>
      <c r="I60" s="278" t="s">
        <v>739</v>
      </c>
      <c r="J60" s="120">
        <v>0</v>
      </c>
    </row>
    <row r="61" spans="1:10" x14ac:dyDescent="0.25">
      <c r="A61" s="282" t="s">
        <v>740</v>
      </c>
      <c r="B61" s="120">
        <v>0</v>
      </c>
      <c r="C61" s="690"/>
      <c r="D61" s="693"/>
      <c r="E61" s="690"/>
      <c r="F61" s="639"/>
      <c r="G61" s="644"/>
      <c r="I61" s="278" t="s">
        <v>740</v>
      </c>
      <c r="J61" s="120">
        <v>0</v>
      </c>
    </row>
    <row r="62" spans="1:10" x14ac:dyDescent="0.25">
      <c r="A62" s="282" t="s">
        <v>730</v>
      </c>
      <c r="B62" s="120">
        <v>0</v>
      </c>
      <c r="C62" s="691"/>
      <c r="D62" s="694"/>
      <c r="E62" s="691"/>
      <c r="F62" s="640"/>
      <c r="G62" s="645"/>
      <c r="I62" s="278" t="s">
        <v>730</v>
      </c>
      <c r="J62" s="120">
        <v>0</v>
      </c>
    </row>
    <row r="63" spans="1:10" x14ac:dyDescent="0.25">
      <c r="A63" s="279" t="s">
        <v>688</v>
      </c>
      <c r="B63" s="271">
        <f>SUM(B51:B62)</f>
        <v>0</v>
      </c>
      <c r="C63" s="279" t="s">
        <v>688</v>
      </c>
      <c r="D63" s="271">
        <f>SUM(D51:D62)</f>
        <v>0</v>
      </c>
      <c r="E63" s="279" t="s">
        <v>688</v>
      </c>
      <c r="F63" s="641">
        <f>SUM(F51:G62)</f>
        <v>0</v>
      </c>
      <c r="G63" s="688"/>
      <c r="I63" s="279" t="s">
        <v>688</v>
      </c>
      <c r="J63" s="119">
        <f>SUM(J51:J62)</f>
        <v>0</v>
      </c>
    </row>
    <row r="65" spans="1:10" ht="18.75" customHeight="1" x14ac:dyDescent="0.25">
      <c r="A65" s="280" t="s">
        <v>1018</v>
      </c>
      <c r="B65" s="281"/>
      <c r="C65" s="281"/>
      <c r="D65" s="276" t="s">
        <v>1019</v>
      </c>
      <c r="E65" s="695"/>
      <c r="F65" s="695"/>
      <c r="G65" s="695"/>
      <c r="I65" s="696" t="s">
        <v>852</v>
      </c>
      <c r="J65" s="696"/>
    </row>
    <row r="66" spans="1:10" x14ac:dyDescent="0.25">
      <c r="A66" s="697" t="s">
        <v>241</v>
      </c>
      <c r="B66" s="698"/>
      <c r="C66" s="697" t="s">
        <v>741</v>
      </c>
      <c r="D66" s="698"/>
      <c r="E66" s="697" t="s">
        <v>745</v>
      </c>
      <c r="F66" s="698"/>
      <c r="G66" s="699"/>
      <c r="I66" s="700" t="s">
        <v>241</v>
      </c>
      <c r="J66" s="700"/>
    </row>
    <row r="67" spans="1:10" x14ac:dyDescent="0.25">
      <c r="A67" s="282" t="s">
        <v>731</v>
      </c>
      <c r="B67" s="120">
        <v>0</v>
      </c>
      <c r="C67" s="689" t="s">
        <v>742</v>
      </c>
      <c r="D67" s="692">
        <f>+B67+B68+B69</f>
        <v>0</v>
      </c>
      <c r="E67" s="689" t="s">
        <v>746</v>
      </c>
      <c r="F67" s="638">
        <f>+D67+D70</f>
        <v>0</v>
      </c>
      <c r="G67" s="643"/>
      <c r="I67" s="278" t="s">
        <v>731</v>
      </c>
      <c r="J67" s="283">
        <v>0</v>
      </c>
    </row>
    <row r="68" spans="1:10" x14ac:dyDescent="0.25">
      <c r="A68" s="282" t="s">
        <v>515</v>
      </c>
      <c r="B68" s="120">
        <v>0</v>
      </c>
      <c r="C68" s="690"/>
      <c r="D68" s="693"/>
      <c r="E68" s="690"/>
      <c r="F68" s="639"/>
      <c r="G68" s="644"/>
      <c r="I68" s="278" t="s">
        <v>515</v>
      </c>
      <c r="J68" s="283">
        <v>0</v>
      </c>
    </row>
    <row r="69" spans="1:10" x14ac:dyDescent="0.25">
      <c r="A69" s="282" t="s">
        <v>732</v>
      </c>
      <c r="B69" s="120">
        <v>0</v>
      </c>
      <c r="C69" s="691"/>
      <c r="D69" s="694"/>
      <c r="E69" s="690"/>
      <c r="F69" s="639"/>
      <c r="G69" s="644"/>
      <c r="I69" s="278" t="s">
        <v>732</v>
      </c>
      <c r="J69" s="283">
        <v>0</v>
      </c>
    </row>
    <row r="70" spans="1:10" x14ac:dyDescent="0.25">
      <c r="A70" s="282" t="s">
        <v>733</v>
      </c>
      <c r="B70" s="120">
        <v>0</v>
      </c>
      <c r="C70" s="689" t="s">
        <v>743</v>
      </c>
      <c r="D70" s="692">
        <f>+B70+B71+B72</f>
        <v>0</v>
      </c>
      <c r="E70" s="690"/>
      <c r="F70" s="639"/>
      <c r="G70" s="644"/>
      <c r="I70" s="278" t="s">
        <v>733</v>
      </c>
      <c r="J70" s="283">
        <v>0</v>
      </c>
    </row>
    <row r="71" spans="1:10" x14ac:dyDescent="0.25">
      <c r="A71" s="282" t="s">
        <v>734</v>
      </c>
      <c r="B71" s="120">
        <v>0</v>
      </c>
      <c r="C71" s="690"/>
      <c r="D71" s="693"/>
      <c r="E71" s="690"/>
      <c r="F71" s="639"/>
      <c r="G71" s="644"/>
      <c r="I71" s="278" t="s">
        <v>734</v>
      </c>
      <c r="J71" s="283">
        <v>0</v>
      </c>
    </row>
    <row r="72" spans="1:10" x14ac:dyDescent="0.25">
      <c r="A72" s="282" t="s">
        <v>735</v>
      </c>
      <c r="B72" s="120">
        <v>0</v>
      </c>
      <c r="C72" s="691"/>
      <c r="D72" s="694"/>
      <c r="E72" s="691"/>
      <c r="F72" s="640"/>
      <c r="G72" s="645"/>
      <c r="I72" s="278" t="s">
        <v>735</v>
      </c>
      <c r="J72" s="283">
        <v>0</v>
      </c>
    </row>
    <row r="73" spans="1:10" x14ac:dyDescent="0.25">
      <c r="A73" s="282" t="s">
        <v>736</v>
      </c>
      <c r="B73" s="120">
        <v>0</v>
      </c>
      <c r="C73" s="689" t="s">
        <v>744</v>
      </c>
      <c r="D73" s="692">
        <f>+B73+B74+B75</f>
        <v>0</v>
      </c>
      <c r="E73" s="689" t="s">
        <v>747</v>
      </c>
      <c r="F73" s="638">
        <f>+D73+D76</f>
        <v>0</v>
      </c>
      <c r="G73" s="643"/>
      <c r="I73" s="278" t="s">
        <v>736</v>
      </c>
      <c r="J73" s="283">
        <v>0</v>
      </c>
    </row>
    <row r="74" spans="1:10" x14ac:dyDescent="0.25">
      <c r="A74" s="282" t="s">
        <v>737</v>
      </c>
      <c r="B74" s="120">
        <v>0</v>
      </c>
      <c r="C74" s="690"/>
      <c r="D74" s="693"/>
      <c r="E74" s="690"/>
      <c r="F74" s="639"/>
      <c r="G74" s="644"/>
      <c r="I74" s="278" t="s">
        <v>737</v>
      </c>
      <c r="J74" s="283">
        <v>0</v>
      </c>
    </row>
    <row r="75" spans="1:10" x14ac:dyDescent="0.25">
      <c r="A75" s="282" t="s">
        <v>738</v>
      </c>
      <c r="B75" s="120">
        <v>0</v>
      </c>
      <c r="C75" s="691"/>
      <c r="D75" s="694"/>
      <c r="E75" s="690"/>
      <c r="F75" s="639"/>
      <c r="G75" s="644"/>
      <c r="I75" s="278" t="s">
        <v>738</v>
      </c>
      <c r="J75" s="283">
        <v>0</v>
      </c>
    </row>
    <row r="76" spans="1:10" x14ac:dyDescent="0.25">
      <c r="A76" s="282" t="s">
        <v>739</v>
      </c>
      <c r="B76" s="120">
        <v>0</v>
      </c>
      <c r="C76" s="689" t="s">
        <v>774</v>
      </c>
      <c r="D76" s="692">
        <f>+B76+B77+B78</f>
        <v>0</v>
      </c>
      <c r="E76" s="690"/>
      <c r="F76" s="639"/>
      <c r="G76" s="644"/>
      <c r="I76" s="278" t="s">
        <v>739</v>
      </c>
      <c r="J76" s="283">
        <v>0</v>
      </c>
    </row>
    <row r="77" spans="1:10" x14ac:dyDescent="0.25">
      <c r="A77" s="282" t="s">
        <v>740</v>
      </c>
      <c r="B77" s="120">
        <v>0</v>
      </c>
      <c r="C77" s="690"/>
      <c r="D77" s="693"/>
      <c r="E77" s="690"/>
      <c r="F77" s="639"/>
      <c r="G77" s="644"/>
      <c r="I77" s="278" t="s">
        <v>740</v>
      </c>
      <c r="J77" s="283">
        <v>0</v>
      </c>
    </row>
    <row r="78" spans="1:10" x14ac:dyDescent="0.25">
      <c r="A78" s="282" t="s">
        <v>730</v>
      </c>
      <c r="B78" s="120">
        <v>0</v>
      </c>
      <c r="C78" s="691"/>
      <c r="D78" s="694"/>
      <c r="E78" s="691"/>
      <c r="F78" s="640"/>
      <c r="G78" s="645"/>
      <c r="I78" s="278" t="s">
        <v>730</v>
      </c>
      <c r="J78" s="283">
        <v>0</v>
      </c>
    </row>
    <row r="79" spans="1:10" x14ac:dyDescent="0.25">
      <c r="A79" s="279" t="s">
        <v>688</v>
      </c>
      <c r="B79" s="271">
        <f>SUM(B67:B78)</f>
        <v>0</v>
      </c>
      <c r="C79" s="279" t="s">
        <v>688</v>
      </c>
      <c r="D79" s="271">
        <f>SUM(D67:D78)</f>
        <v>0</v>
      </c>
      <c r="E79" s="279" t="s">
        <v>688</v>
      </c>
      <c r="F79" s="641">
        <f>SUM(F67:G78)</f>
        <v>0</v>
      </c>
      <c r="G79" s="688"/>
      <c r="I79" s="279" t="s">
        <v>688</v>
      </c>
      <c r="J79" s="119">
        <f>SUM(J67:J78)</f>
        <v>0</v>
      </c>
    </row>
    <row r="81" spans="1:10" ht="18.75" customHeight="1" x14ac:dyDescent="0.25">
      <c r="A81" s="280" t="s">
        <v>1018</v>
      </c>
      <c r="B81" s="281"/>
      <c r="C81" s="281"/>
      <c r="D81" s="276" t="s">
        <v>1019</v>
      </c>
      <c r="E81" s="695"/>
      <c r="F81" s="695"/>
      <c r="G81" s="695"/>
      <c r="I81" s="696" t="s">
        <v>852</v>
      </c>
      <c r="J81" s="696"/>
    </row>
    <row r="82" spans="1:10" x14ac:dyDescent="0.25">
      <c r="A82" s="697" t="s">
        <v>241</v>
      </c>
      <c r="B82" s="698"/>
      <c r="C82" s="697" t="s">
        <v>741</v>
      </c>
      <c r="D82" s="698"/>
      <c r="E82" s="697" t="s">
        <v>745</v>
      </c>
      <c r="F82" s="698"/>
      <c r="G82" s="699"/>
      <c r="I82" s="700" t="s">
        <v>241</v>
      </c>
      <c r="J82" s="700"/>
    </row>
    <row r="83" spans="1:10" x14ac:dyDescent="0.25">
      <c r="A83" s="282" t="s">
        <v>731</v>
      </c>
      <c r="B83" s="120">
        <v>0</v>
      </c>
      <c r="C83" s="689" t="s">
        <v>742</v>
      </c>
      <c r="D83" s="692">
        <f>+B83+B84+B85</f>
        <v>0</v>
      </c>
      <c r="E83" s="689" t="s">
        <v>746</v>
      </c>
      <c r="F83" s="638">
        <f>+D83+D86</f>
        <v>0</v>
      </c>
      <c r="G83" s="643"/>
      <c r="I83" s="278" t="s">
        <v>731</v>
      </c>
      <c r="J83" s="283">
        <v>0</v>
      </c>
    </row>
    <row r="84" spans="1:10" x14ac:dyDescent="0.25">
      <c r="A84" s="282" t="s">
        <v>515</v>
      </c>
      <c r="B84" s="120">
        <v>0</v>
      </c>
      <c r="C84" s="690"/>
      <c r="D84" s="693"/>
      <c r="E84" s="690"/>
      <c r="F84" s="639"/>
      <c r="G84" s="644"/>
      <c r="I84" s="278" t="s">
        <v>515</v>
      </c>
      <c r="J84" s="283">
        <v>0</v>
      </c>
    </row>
    <row r="85" spans="1:10" x14ac:dyDescent="0.25">
      <c r="A85" s="282" t="s">
        <v>732</v>
      </c>
      <c r="B85" s="120">
        <v>0</v>
      </c>
      <c r="C85" s="691"/>
      <c r="D85" s="694"/>
      <c r="E85" s="690"/>
      <c r="F85" s="639"/>
      <c r="G85" s="644"/>
      <c r="I85" s="278" t="s">
        <v>732</v>
      </c>
      <c r="J85" s="283">
        <v>0</v>
      </c>
    </row>
    <row r="86" spans="1:10" x14ac:dyDescent="0.25">
      <c r="A86" s="282" t="s">
        <v>733</v>
      </c>
      <c r="B86" s="120">
        <v>0</v>
      </c>
      <c r="C86" s="689" t="s">
        <v>743</v>
      </c>
      <c r="D86" s="692">
        <f>+B86+B87+B88</f>
        <v>0</v>
      </c>
      <c r="E86" s="690"/>
      <c r="F86" s="639"/>
      <c r="G86" s="644"/>
      <c r="I86" s="278" t="s">
        <v>733</v>
      </c>
      <c r="J86" s="283">
        <v>0</v>
      </c>
    </row>
    <row r="87" spans="1:10" x14ac:dyDescent="0.25">
      <c r="A87" s="282" t="s">
        <v>734</v>
      </c>
      <c r="B87" s="120">
        <v>0</v>
      </c>
      <c r="C87" s="690"/>
      <c r="D87" s="693"/>
      <c r="E87" s="690"/>
      <c r="F87" s="639"/>
      <c r="G87" s="644"/>
      <c r="I87" s="278" t="s">
        <v>734</v>
      </c>
      <c r="J87" s="283">
        <v>0</v>
      </c>
    </row>
    <row r="88" spans="1:10" x14ac:dyDescent="0.25">
      <c r="A88" s="282" t="s">
        <v>735</v>
      </c>
      <c r="B88" s="120">
        <v>0</v>
      </c>
      <c r="C88" s="691"/>
      <c r="D88" s="694"/>
      <c r="E88" s="691"/>
      <c r="F88" s="640"/>
      <c r="G88" s="645"/>
      <c r="I88" s="278" t="s">
        <v>735</v>
      </c>
      <c r="J88" s="283">
        <v>0</v>
      </c>
    </row>
    <row r="89" spans="1:10" x14ac:dyDescent="0.25">
      <c r="A89" s="282" t="s">
        <v>736</v>
      </c>
      <c r="B89" s="120">
        <v>0</v>
      </c>
      <c r="C89" s="689" t="s">
        <v>744</v>
      </c>
      <c r="D89" s="692">
        <f>+B89+B90+B91</f>
        <v>0</v>
      </c>
      <c r="E89" s="689" t="s">
        <v>747</v>
      </c>
      <c r="F89" s="638">
        <f>+D89+D92</f>
        <v>0</v>
      </c>
      <c r="G89" s="643"/>
      <c r="I89" s="278" t="s">
        <v>736</v>
      </c>
      <c r="J89" s="283">
        <v>0</v>
      </c>
    </row>
    <row r="90" spans="1:10" x14ac:dyDescent="0.25">
      <c r="A90" s="282" t="s">
        <v>737</v>
      </c>
      <c r="B90" s="120">
        <v>0</v>
      </c>
      <c r="C90" s="690"/>
      <c r="D90" s="693"/>
      <c r="E90" s="690"/>
      <c r="F90" s="639"/>
      <c r="G90" s="644"/>
      <c r="I90" s="278" t="s">
        <v>737</v>
      </c>
      <c r="J90" s="283">
        <v>0</v>
      </c>
    </row>
    <row r="91" spans="1:10" x14ac:dyDescent="0.25">
      <c r="A91" s="282" t="s">
        <v>738</v>
      </c>
      <c r="B91" s="120">
        <v>0</v>
      </c>
      <c r="C91" s="691"/>
      <c r="D91" s="694"/>
      <c r="E91" s="690"/>
      <c r="F91" s="639"/>
      <c r="G91" s="644"/>
      <c r="I91" s="278" t="s">
        <v>738</v>
      </c>
      <c r="J91" s="283">
        <v>0</v>
      </c>
    </row>
    <row r="92" spans="1:10" x14ac:dyDescent="0.25">
      <c r="A92" s="282" t="s">
        <v>739</v>
      </c>
      <c r="B92" s="120">
        <v>0</v>
      </c>
      <c r="C92" s="689" t="s">
        <v>774</v>
      </c>
      <c r="D92" s="692">
        <f>+B92+B93+B94</f>
        <v>0</v>
      </c>
      <c r="E92" s="690"/>
      <c r="F92" s="639"/>
      <c r="G92" s="644"/>
      <c r="I92" s="278" t="s">
        <v>739</v>
      </c>
      <c r="J92" s="283">
        <v>0</v>
      </c>
    </row>
    <row r="93" spans="1:10" x14ac:dyDescent="0.25">
      <c r="A93" s="282" t="s">
        <v>740</v>
      </c>
      <c r="B93" s="120">
        <v>0</v>
      </c>
      <c r="C93" s="690"/>
      <c r="D93" s="693"/>
      <c r="E93" s="690"/>
      <c r="F93" s="639"/>
      <c r="G93" s="644"/>
      <c r="I93" s="278" t="s">
        <v>740</v>
      </c>
      <c r="J93" s="283">
        <v>0</v>
      </c>
    </row>
    <row r="94" spans="1:10" x14ac:dyDescent="0.25">
      <c r="A94" s="282" t="s">
        <v>730</v>
      </c>
      <c r="B94" s="120">
        <v>0</v>
      </c>
      <c r="C94" s="691"/>
      <c r="D94" s="694"/>
      <c r="E94" s="691"/>
      <c r="F94" s="640"/>
      <c r="G94" s="645"/>
      <c r="I94" s="278" t="s">
        <v>730</v>
      </c>
      <c r="J94" s="283">
        <v>0</v>
      </c>
    </row>
    <row r="95" spans="1:10" x14ac:dyDescent="0.25">
      <c r="A95" s="279" t="s">
        <v>688</v>
      </c>
      <c r="B95" s="271">
        <f>SUM(B83:B94)</f>
        <v>0</v>
      </c>
      <c r="C95" s="279" t="s">
        <v>688</v>
      </c>
      <c r="D95" s="271">
        <f>SUM(D83:D94)</f>
        <v>0</v>
      </c>
      <c r="E95" s="279" t="s">
        <v>688</v>
      </c>
      <c r="F95" s="641">
        <f>SUM(F83:G94)</f>
        <v>0</v>
      </c>
      <c r="G95" s="688"/>
      <c r="I95" s="279" t="s">
        <v>688</v>
      </c>
      <c r="J95" s="119">
        <f>SUM(J83:J94)</f>
        <v>0</v>
      </c>
    </row>
    <row r="97" spans="1:10" ht="18.75" customHeight="1" x14ac:dyDescent="0.25">
      <c r="A97" s="280" t="s">
        <v>1018</v>
      </c>
      <c r="B97" s="281"/>
      <c r="C97" s="281"/>
      <c r="D97" s="276" t="s">
        <v>1019</v>
      </c>
      <c r="E97" s="695"/>
      <c r="F97" s="695"/>
      <c r="G97" s="695"/>
      <c r="I97" s="696" t="s">
        <v>852</v>
      </c>
      <c r="J97" s="696"/>
    </row>
    <row r="98" spans="1:10" x14ac:dyDescent="0.25">
      <c r="A98" s="697" t="s">
        <v>241</v>
      </c>
      <c r="B98" s="698"/>
      <c r="C98" s="697" t="s">
        <v>741</v>
      </c>
      <c r="D98" s="698"/>
      <c r="E98" s="697" t="s">
        <v>745</v>
      </c>
      <c r="F98" s="698"/>
      <c r="G98" s="699"/>
      <c r="I98" s="700" t="s">
        <v>241</v>
      </c>
      <c r="J98" s="700"/>
    </row>
    <row r="99" spans="1:10" x14ac:dyDescent="0.25">
      <c r="A99" s="282" t="s">
        <v>731</v>
      </c>
      <c r="B99" s="120">
        <v>0</v>
      </c>
      <c r="C99" s="689" t="s">
        <v>742</v>
      </c>
      <c r="D99" s="692">
        <f>+B99+B100+B101</f>
        <v>0</v>
      </c>
      <c r="E99" s="689" t="s">
        <v>746</v>
      </c>
      <c r="F99" s="638">
        <f>+D99+D102</f>
        <v>0</v>
      </c>
      <c r="G99" s="643"/>
      <c r="I99" s="278" t="s">
        <v>731</v>
      </c>
      <c r="J99" s="283">
        <v>0</v>
      </c>
    </row>
    <row r="100" spans="1:10" x14ac:dyDescent="0.25">
      <c r="A100" s="282" t="s">
        <v>515</v>
      </c>
      <c r="B100" s="120">
        <v>0</v>
      </c>
      <c r="C100" s="690"/>
      <c r="D100" s="693"/>
      <c r="E100" s="690"/>
      <c r="F100" s="639"/>
      <c r="G100" s="644"/>
      <c r="I100" s="278" t="s">
        <v>515</v>
      </c>
      <c r="J100" s="283">
        <v>0</v>
      </c>
    </row>
    <row r="101" spans="1:10" x14ac:dyDescent="0.25">
      <c r="A101" s="282" t="s">
        <v>732</v>
      </c>
      <c r="B101" s="120">
        <v>0</v>
      </c>
      <c r="C101" s="691"/>
      <c r="D101" s="694"/>
      <c r="E101" s="690"/>
      <c r="F101" s="639"/>
      <c r="G101" s="644"/>
      <c r="I101" s="278" t="s">
        <v>732</v>
      </c>
      <c r="J101" s="283">
        <v>0</v>
      </c>
    </row>
    <row r="102" spans="1:10" x14ac:dyDescent="0.25">
      <c r="A102" s="282" t="s">
        <v>733</v>
      </c>
      <c r="B102" s="120">
        <v>0</v>
      </c>
      <c r="C102" s="689" t="s">
        <v>743</v>
      </c>
      <c r="D102" s="692">
        <f>+B102+B103+B104</f>
        <v>0</v>
      </c>
      <c r="E102" s="690"/>
      <c r="F102" s="639"/>
      <c r="G102" s="644"/>
      <c r="I102" s="278" t="s">
        <v>733</v>
      </c>
      <c r="J102" s="283">
        <v>0</v>
      </c>
    </row>
    <row r="103" spans="1:10" x14ac:dyDescent="0.25">
      <c r="A103" s="282" t="s">
        <v>734</v>
      </c>
      <c r="B103" s="120">
        <v>0</v>
      </c>
      <c r="C103" s="690"/>
      <c r="D103" s="693"/>
      <c r="E103" s="690"/>
      <c r="F103" s="639"/>
      <c r="G103" s="644"/>
      <c r="I103" s="278" t="s">
        <v>734</v>
      </c>
      <c r="J103" s="283">
        <v>0</v>
      </c>
    </row>
    <row r="104" spans="1:10" x14ac:dyDescent="0.25">
      <c r="A104" s="282" t="s">
        <v>735</v>
      </c>
      <c r="B104" s="120">
        <v>0</v>
      </c>
      <c r="C104" s="691"/>
      <c r="D104" s="694"/>
      <c r="E104" s="691"/>
      <c r="F104" s="640"/>
      <c r="G104" s="645"/>
      <c r="I104" s="278" t="s">
        <v>735</v>
      </c>
      <c r="J104" s="283">
        <v>0</v>
      </c>
    </row>
    <row r="105" spans="1:10" x14ac:dyDescent="0.25">
      <c r="A105" s="282" t="s">
        <v>736</v>
      </c>
      <c r="B105" s="120">
        <v>0</v>
      </c>
      <c r="C105" s="689" t="s">
        <v>744</v>
      </c>
      <c r="D105" s="692">
        <f>+B105+B106+B107</f>
        <v>0</v>
      </c>
      <c r="E105" s="689" t="s">
        <v>747</v>
      </c>
      <c r="F105" s="638">
        <f>+D105+D108</f>
        <v>0</v>
      </c>
      <c r="G105" s="643"/>
      <c r="I105" s="278" t="s">
        <v>736</v>
      </c>
      <c r="J105" s="283">
        <v>0</v>
      </c>
    </row>
    <row r="106" spans="1:10" x14ac:dyDescent="0.25">
      <c r="A106" s="282" t="s">
        <v>737</v>
      </c>
      <c r="B106" s="120">
        <v>0</v>
      </c>
      <c r="C106" s="690"/>
      <c r="D106" s="693"/>
      <c r="E106" s="690"/>
      <c r="F106" s="639"/>
      <c r="G106" s="644"/>
      <c r="I106" s="278" t="s">
        <v>737</v>
      </c>
      <c r="J106" s="283">
        <v>0</v>
      </c>
    </row>
    <row r="107" spans="1:10" x14ac:dyDescent="0.25">
      <c r="A107" s="282" t="s">
        <v>738</v>
      </c>
      <c r="B107" s="120">
        <v>0</v>
      </c>
      <c r="C107" s="691"/>
      <c r="D107" s="694"/>
      <c r="E107" s="690"/>
      <c r="F107" s="639"/>
      <c r="G107" s="644"/>
      <c r="I107" s="278" t="s">
        <v>738</v>
      </c>
      <c r="J107" s="283">
        <v>0</v>
      </c>
    </row>
    <row r="108" spans="1:10" x14ac:dyDescent="0.25">
      <c r="A108" s="282" t="s">
        <v>739</v>
      </c>
      <c r="B108" s="120">
        <v>0</v>
      </c>
      <c r="C108" s="689" t="s">
        <v>774</v>
      </c>
      <c r="D108" s="692">
        <f>+B108+B109+B110</f>
        <v>0</v>
      </c>
      <c r="E108" s="690"/>
      <c r="F108" s="639"/>
      <c r="G108" s="644"/>
      <c r="I108" s="278" t="s">
        <v>739</v>
      </c>
      <c r="J108" s="283">
        <v>0</v>
      </c>
    </row>
    <row r="109" spans="1:10" x14ac:dyDescent="0.25">
      <c r="A109" s="282" t="s">
        <v>740</v>
      </c>
      <c r="B109" s="120">
        <v>0</v>
      </c>
      <c r="C109" s="690"/>
      <c r="D109" s="693"/>
      <c r="E109" s="690"/>
      <c r="F109" s="639"/>
      <c r="G109" s="644"/>
      <c r="I109" s="278" t="s">
        <v>740</v>
      </c>
      <c r="J109" s="283">
        <v>0</v>
      </c>
    </row>
    <row r="110" spans="1:10" x14ac:dyDescent="0.25">
      <c r="A110" s="282" t="s">
        <v>730</v>
      </c>
      <c r="B110" s="120">
        <v>0</v>
      </c>
      <c r="C110" s="691"/>
      <c r="D110" s="694"/>
      <c r="E110" s="691"/>
      <c r="F110" s="640"/>
      <c r="G110" s="645"/>
      <c r="I110" s="278" t="s">
        <v>730</v>
      </c>
      <c r="J110" s="283">
        <v>0</v>
      </c>
    </row>
    <row r="111" spans="1:10" x14ac:dyDescent="0.25">
      <c r="A111" s="279" t="s">
        <v>688</v>
      </c>
      <c r="B111" s="271">
        <f>SUM(B99:B110)</f>
        <v>0</v>
      </c>
      <c r="C111" s="279" t="s">
        <v>688</v>
      </c>
      <c r="D111" s="271">
        <f>SUM(D99:D110)</f>
        <v>0</v>
      </c>
      <c r="E111" s="279" t="s">
        <v>688</v>
      </c>
      <c r="F111" s="641">
        <f>SUM(F99:G110)</f>
        <v>0</v>
      </c>
      <c r="G111" s="688"/>
      <c r="I111" s="279" t="s">
        <v>688</v>
      </c>
      <c r="J111" s="119">
        <f>SUM(J99:J110)</f>
        <v>0</v>
      </c>
    </row>
    <row r="113" spans="1:10" ht="18.75" customHeight="1" x14ac:dyDescent="0.25">
      <c r="A113" s="280" t="s">
        <v>1018</v>
      </c>
      <c r="B113" s="281"/>
      <c r="C113" s="281"/>
      <c r="D113" s="276" t="s">
        <v>1019</v>
      </c>
      <c r="E113" s="695"/>
      <c r="F113" s="695"/>
      <c r="G113" s="695"/>
      <c r="I113" s="696" t="s">
        <v>852</v>
      </c>
      <c r="J113" s="696"/>
    </row>
    <row r="114" spans="1:10" x14ac:dyDescent="0.25">
      <c r="A114" s="697" t="s">
        <v>241</v>
      </c>
      <c r="B114" s="698"/>
      <c r="C114" s="697" t="s">
        <v>741</v>
      </c>
      <c r="D114" s="698"/>
      <c r="E114" s="697" t="s">
        <v>745</v>
      </c>
      <c r="F114" s="698"/>
      <c r="G114" s="699"/>
      <c r="I114" s="700" t="s">
        <v>241</v>
      </c>
      <c r="J114" s="700"/>
    </row>
    <row r="115" spans="1:10" x14ac:dyDescent="0.25">
      <c r="A115" s="282" t="s">
        <v>731</v>
      </c>
      <c r="B115" s="120">
        <v>0</v>
      </c>
      <c r="C115" s="689" t="s">
        <v>742</v>
      </c>
      <c r="D115" s="692">
        <f>+B115+B116+B117</f>
        <v>0</v>
      </c>
      <c r="E115" s="689" t="s">
        <v>746</v>
      </c>
      <c r="F115" s="638">
        <f>+D115+D118</f>
        <v>0</v>
      </c>
      <c r="G115" s="643"/>
      <c r="I115" s="278" t="s">
        <v>731</v>
      </c>
      <c r="J115" s="283">
        <v>0</v>
      </c>
    </row>
    <row r="116" spans="1:10" x14ac:dyDescent="0.25">
      <c r="A116" s="282" t="s">
        <v>515</v>
      </c>
      <c r="B116" s="120">
        <v>0</v>
      </c>
      <c r="C116" s="690"/>
      <c r="D116" s="693"/>
      <c r="E116" s="690"/>
      <c r="F116" s="639"/>
      <c r="G116" s="644"/>
      <c r="I116" s="278" t="s">
        <v>515</v>
      </c>
      <c r="J116" s="283">
        <v>0</v>
      </c>
    </row>
    <row r="117" spans="1:10" x14ac:dyDescent="0.25">
      <c r="A117" s="282" t="s">
        <v>732</v>
      </c>
      <c r="B117" s="120">
        <v>0</v>
      </c>
      <c r="C117" s="691"/>
      <c r="D117" s="694"/>
      <c r="E117" s="690"/>
      <c r="F117" s="639"/>
      <c r="G117" s="644"/>
      <c r="I117" s="278" t="s">
        <v>732</v>
      </c>
      <c r="J117" s="283">
        <v>0</v>
      </c>
    </row>
    <row r="118" spans="1:10" x14ac:dyDescent="0.25">
      <c r="A118" s="282" t="s">
        <v>733</v>
      </c>
      <c r="B118" s="120">
        <v>0</v>
      </c>
      <c r="C118" s="689" t="s">
        <v>743</v>
      </c>
      <c r="D118" s="692">
        <f>+B118+B119+B120</f>
        <v>0</v>
      </c>
      <c r="E118" s="690"/>
      <c r="F118" s="639"/>
      <c r="G118" s="644"/>
      <c r="I118" s="278" t="s">
        <v>733</v>
      </c>
      <c r="J118" s="283">
        <v>0</v>
      </c>
    </row>
    <row r="119" spans="1:10" x14ac:dyDescent="0.25">
      <c r="A119" s="282" t="s">
        <v>734</v>
      </c>
      <c r="B119" s="120">
        <v>0</v>
      </c>
      <c r="C119" s="690"/>
      <c r="D119" s="693"/>
      <c r="E119" s="690"/>
      <c r="F119" s="639"/>
      <c r="G119" s="644"/>
      <c r="I119" s="278" t="s">
        <v>734</v>
      </c>
      <c r="J119" s="283">
        <v>0</v>
      </c>
    </row>
    <row r="120" spans="1:10" x14ac:dyDescent="0.25">
      <c r="A120" s="282" t="s">
        <v>735</v>
      </c>
      <c r="B120" s="120">
        <v>0</v>
      </c>
      <c r="C120" s="691"/>
      <c r="D120" s="694"/>
      <c r="E120" s="691"/>
      <c r="F120" s="640"/>
      <c r="G120" s="645"/>
      <c r="I120" s="278" t="s">
        <v>735</v>
      </c>
      <c r="J120" s="283">
        <v>0</v>
      </c>
    </row>
    <row r="121" spans="1:10" x14ac:dyDescent="0.25">
      <c r="A121" s="282" t="s">
        <v>736</v>
      </c>
      <c r="B121" s="120">
        <v>0</v>
      </c>
      <c r="C121" s="689" t="s">
        <v>744</v>
      </c>
      <c r="D121" s="692">
        <f>+B121+B122+B123</f>
        <v>0</v>
      </c>
      <c r="E121" s="689" t="s">
        <v>747</v>
      </c>
      <c r="F121" s="638">
        <f>+D121+D124</f>
        <v>0</v>
      </c>
      <c r="G121" s="643"/>
      <c r="I121" s="278" t="s">
        <v>736</v>
      </c>
      <c r="J121" s="283">
        <v>0</v>
      </c>
    </row>
    <row r="122" spans="1:10" x14ac:dyDescent="0.25">
      <c r="A122" s="282" t="s">
        <v>737</v>
      </c>
      <c r="B122" s="120">
        <v>0</v>
      </c>
      <c r="C122" s="690"/>
      <c r="D122" s="693"/>
      <c r="E122" s="690"/>
      <c r="F122" s="639"/>
      <c r="G122" s="644"/>
      <c r="I122" s="278" t="s">
        <v>737</v>
      </c>
      <c r="J122" s="283">
        <v>0</v>
      </c>
    </row>
    <row r="123" spans="1:10" x14ac:dyDescent="0.25">
      <c r="A123" s="282" t="s">
        <v>738</v>
      </c>
      <c r="B123" s="120">
        <v>0</v>
      </c>
      <c r="C123" s="691"/>
      <c r="D123" s="694"/>
      <c r="E123" s="690"/>
      <c r="F123" s="639"/>
      <c r="G123" s="644"/>
      <c r="I123" s="278" t="s">
        <v>738</v>
      </c>
      <c r="J123" s="283">
        <v>0</v>
      </c>
    </row>
    <row r="124" spans="1:10" x14ac:dyDescent="0.25">
      <c r="A124" s="282" t="s">
        <v>739</v>
      </c>
      <c r="B124" s="120">
        <v>0</v>
      </c>
      <c r="C124" s="689" t="s">
        <v>774</v>
      </c>
      <c r="D124" s="692">
        <f>+B124+B125+B126</f>
        <v>0</v>
      </c>
      <c r="E124" s="690"/>
      <c r="F124" s="639"/>
      <c r="G124" s="644"/>
      <c r="I124" s="278" t="s">
        <v>739</v>
      </c>
      <c r="J124" s="283">
        <v>0</v>
      </c>
    </row>
    <row r="125" spans="1:10" x14ac:dyDescent="0.25">
      <c r="A125" s="282" t="s">
        <v>740</v>
      </c>
      <c r="B125" s="120">
        <v>0</v>
      </c>
      <c r="C125" s="690"/>
      <c r="D125" s="693"/>
      <c r="E125" s="690"/>
      <c r="F125" s="639"/>
      <c r="G125" s="644"/>
      <c r="I125" s="278" t="s">
        <v>740</v>
      </c>
      <c r="J125" s="283">
        <v>0</v>
      </c>
    </row>
    <row r="126" spans="1:10" x14ac:dyDescent="0.25">
      <c r="A126" s="282" t="s">
        <v>730</v>
      </c>
      <c r="B126" s="120">
        <v>0</v>
      </c>
      <c r="C126" s="691"/>
      <c r="D126" s="694"/>
      <c r="E126" s="691"/>
      <c r="F126" s="640"/>
      <c r="G126" s="645"/>
      <c r="I126" s="278" t="s">
        <v>730</v>
      </c>
      <c r="J126" s="283">
        <v>0</v>
      </c>
    </row>
    <row r="127" spans="1:10" x14ac:dyDescent="0.25">
      <c r="A127" s="279" t="s">
        <v>688</v>
      </c>
      <c r="B127" s="271">
        <f>SUM(B115:B126)</f>
        <v>0</v>
      </c>
      <c r="C127" s="279" t="s">
        <v>688</v>
      </c>
      <c r="D127" s="271">
        <f>SUM(D115:D126)</f>
        <v>0</v>
      </c>
      <c r="E127" s="279" t="s">
        <v>688</v>
      </c>
      <c r="F127" s="641">
        <f>SUM(F115:G126)</f>
        <v>0</v>
      </c>
      <c r="G127" s="688"/>
      <c r="I127" s="279" t="s">
        <v>688</v>
      </c>
      <c r="J127" s="119">
        <f>SUM(J115:J126)</f>
        <v>0</v>
      </c>
    </row>
    <row r="129" spans="1:10" ht="18.75" customHeight="1" x14ac:dyDescent="0.25">
      <c r="A129" s="280" t="s">
        <v>1018</v>
      </c>
      <c r="B129" s="281"/>
      <c r="C129" s="281"/>
      <c r="D129" s="276" t="s">
        <v>1019</v>
      </c>
      <c r="E129" s="695"/>
      <c r="F129" s="695"/>
      <c r="G129" s="695"/>
      <c r="I129" s="696" t="s">
        <v>852</v>
      </c>
      <c r="J129" s="696"/>
    </row>
    <row r="130" spans="1:10" x14ac:dyDescent="0.25">
      <c r="A130" s="697" t="s">
        <v>241</v>
      </c>
      <c r="B130" s="698"/>
      <c r="C130" s="697" t="s">
        <v>741</v>
      </c>
      <c r="D130" s="698"/>
      <c r="E130" s="697" t="s">
        <v>745</v>
      </c>
      <c r="F130" s="698"/>
      <c r="G130" s="699"/>
      <c r="I130" s="700" t="s">
        <v>241</v>
      </c>
      <c r="J130" s="700"/>
    </row>
    <row r="131" spans="1:10" x14ac:dyDescent="0.25">
      <c r="A131" s="282" t="s">
        <v>731</v>
      </c>
      <c r="B131" s="120">
        <v>0</v>
      </c>
      <c r="C131" s="689" t="s">
        <v>742</v>
      </c>
      <c r="D131" s="692">
        <f>+B131+B132+B133</f>
        <v>0</v>
      </c>
      <c r="E131" s="689" t="s">
        <v>746</v>
      </c>
      <c r="F131" s="638">
        <f>+D131+D134</f>
        <v>0</v>
      </c>
      <c r="G131" s="643"/>
      <c r="I131" s="278" t="s">
        <v>731</v>
      </c>
      <c r="J131" s="283">
        <v>0</v>
      </c>
    </row>
    <row r="132" spans="1:10" x14ac:dyDescent="0.25">
      <c r="A132" s="282" t="s">
        <v>515</v>
      </c>
      <c r="B132" s="120">
        <v>0</v>
      </c>
      <c r="C132" s="690"/>
      <c r="D132" s="693"/>
      <c r="E132" s="690"/>
      <c r="F132" s="639"/>
      <c r="G132" s="644"/>
      <c r="I132" s="278" t="s">
        <v>515</v>
      </c>
      <c r="J132" s="283">
        <v>0</v>
      </c>
    </row>
    <row r="133" spans="1:10" x14ac:dyDescent="0.25">
      <c r="A133" s="282" t="s">
        <v>732</v>
      </c>
      <c r="B133" s="120">
        <v>0</v>
      </c>
      <c r="C133" s="691"/>
      <c r="D133" s="694"/>
      <c r="E133" s="690"/>
      <c r="F133" s="639"/>
      <c r="G133" s="644"/>
      <c r="I133" s="278" t="s">
        <v>732</v>
      </c>
      <c r="J133" s="283">
        <v>0</v>
      </c>
    </row>
    <row r="134" spans="1:10" x14ac:dyDescent="0.25">
      <c r="A134" s="282" t="s">
        <v>733</v>
      </c>
      <c r="B134" s="120">
        <v>0</v>
      </c>
      <c r="C134" s="689" t="s">
        <v>743</v>
      </c>
      <c r="D134" s="692">
        <f>+B134+B135+B136</f>
        <v>0</v>
      </c>
      <c r="E134" s="690"/>
      <c r="F134" s="639"/>
      <c r="G134" s="644"/>
      <c r="I134" s="278" t="s">
        <v>733</v>
      </c>
      <c r="J134" s="283">
        <v>0</v>
      </c>
    </row>
    <row r="135" spans="1:10" x14ac:dyDescent="0.25">
      <c r="A135" s="282" t="s">
        <v>734</v>
      </c>
      <c r="B135" s="120">
        <v>0</v>
      </c>
      <c r="C135" s="690"/>
      <c r="D135" s="693"/>
      <c r="E135" s="690"/>
      <c r="F135" s="639"/>
      <c r="G135" s="644"/>
      <c r="I135" s="278" t="s">
        <v>734</v>
      </c>
      <c r="J135" s="283">
        <v>0</v>
      </c>
    </row>
    <row r="136" spans="1:10" x14ac:dyDescent="0.25">
      <c r="A136" s="282" t="s">
        <v>735</v>
      </c>
      <c r="B136" s="120">
        <v>0</v>
      </c>
      <c r="C136" s="691"/>
      <c r="D136" s="694"/>
      <c r="E136" s="691"/>
      <c r="F136" s="640"/>
      <c r="G136" s="645"/>
      <c r="I136" s="278" t="s">
        <v>735</v>
      </c>
      <c r="J136" s="283">
        <v>0</v>
      </c>
    </row>
    <row r="137" spans="1:10" x14ac:dyDescent="0.25">
      <c r="A137" s="282" t="s">
        <v>736</v>
      </c>
      <c r="B137" s="120">
        <v>0</v>
      </c>
      <c r="C137" s="689" t="s">
        <v>744</v>
      </c>
      <c r="D137" s="692">
        <f>+B137+B138+B139</f>
        <v>0</v>
      </c>
      <c r="E137" s="689" t="s">
        <v>747</v>
      </c>
      <c r="F137" s="638">
        <f>+D137+D140</f>
        <v>0</v>
      </c>
      <c r="G137" s="643"/>
      <c r="I137" s="278" t="s">
        <v>736</v>
      </c>
      <c r="J137" s="283">
        <v>0</v>
      </c>
    </row>
    <row r="138" spans="1:10" x14ac:dyDescent="0.25">
      <c r="A138" s="282" t="s">
        <v>737</v>
      </c>
      <c r="B138" s="120">
        <v>0</v>
      </c>
      <c r="C138" s="690"/>
      <c r="D138" s="693"/>
      <c r="E138" s="690"/>
      <c r="F138" s="639"/>
      <c r="G138" s="644"/>
      <c r="I138" s="278" t="s">
        <v>737</v>
      </c>
      <c r="J138" s="283">
        <v>0</v>
      </c>
    </row>
    <row r="139" spans="1:10" x14ac:dyDescent="0.25">
      <c r="A139" s="282" t="s">
        <v>738</v>
      </c>
      <c r="B139" s="120">
        <v>0</v>
      </c>
      <c r="C139" s="691"/>
      <c r="D139" s="694"/>
      <c r="E139" s="690"/>
      <c r="F139" s="639"/>
      <c r="G139" s="644"/>
      <c r="I139" s="278" t="s">
        <v>738</v>
      </c>
      <c r="J139" s="283">
        <v>0</v>
      </c>
    </row>
    <row r="140" spans="1:10" x14ac:dyDescent="0.25">
      <c r="A140" s="282" t="s">
        <v>739</v>
      </c>
      <c r="B140" s="120">
        <v>0</v>
      </c>
      <c r="C140" s="689" t="s">
        <v>774</v>
      </c>
      <c r="D140" s="692">
        <f>+B140+B141+B142</f>
        <v>0</v>
      </c>
      <c r="E140" s="690"/>
      <c r="F140" s="639"/>
      <c r="G140" s="644"/>
      <c r="I140" s="278" t="s">
        <v>739</v>
      </c>
      <c r="J140" s="283">
        <v>0</v>
      </c>
    </row>
    <row r="141" spans="1:10" x14ac:dyDescent="0.25">
      <c r="A141" s="282" t="s">
        <v>740</v>
      </c>
      <c r="B141" s="120">
        <v>0</v>
      </c>
      <c r="C141" s="690"/>
      <c r="D141" s="693"/>
      <c r="E141" s="690"/>
      <c r="F141" s="639"/>
      <c r="G141" s="644"/>
      <c r="I141" s="278" t="s">
        <v>740</v>
      </c>
      <c r="J141" s="283">
        <v>0</v>
      </c>
    </row>
    <row r="142" spans="1:10" x14ac:dyDescent="0.25">
      <c r="A142" s="282" t="s">
        <v>730</v>
      </c>
      <c r="B142" s="120">
        <v>0</v>
      </c>
      <c r="C142" s="691"/>
      <c r="D142" s="694"/>
      <c r="E142" s="691"/>
      <c r="F142" s="640"/>
      <c r="G142" s="645"/>
      <c r="I142" s="278" t="s">
        <v>730</v>
      </c>
      <c r="J142" s="283">
        <v>0</v>
      </c>
    </row>
    <row r="143" spans="1:10" x14ac:dyDescent="0.25">
      <c r="A143" s="279" t="s">
        <v>688</v>
      </c>
      <c r="B143" s="271">
        <f>SUM(B131:B142)</f>
        <v>0</v>
      </c>
      <c r="C143" s="279" t="s">
        <v>688</v>
      </c>
      <c r="D143" s="271">
        <f>SUM(D131:D142)</f>
        <v>0</v>
      </c>
      <c r="E143" s="279" t="s">
        <v>688</v>
      </c>
      <c r="F143" s="641">
        <f>SUM(F131:G142)</f>
        <v>0</v>
      </c>
      <c r="G143" s="688"/>
      <c r="I143" s="279" t="s">
        <v>688</v>
      </c>
      <c r="J143" s="119">
        <f>SUM(J131:J142)</f>
        <v>0</v>
      </c>
    </row>
    <row r="145" spans="1:10" ht="18.75" customHeight="1" x14ac:dyDescent="0.25">
      <c r="A145" s="280" t="s">
        <v>1018</v>
      </c>
      <c r="B145" s="281"/>
      <c r="C145" s="281"/>
      <c r="D145" s="276" t="s">
        <v>1019</v>
      </c>
      <c r="E145" s="695"/>
      <c r="F145" s="695"/>
      <c r="G145" s="695"/>
      <c r="I145" s="696" t="s">
        <v>852</v>
      </c>
      <c r="J145" s="696"/>
    </row>
    <row r="146" spans="1:10" x14ac:dyDescent="0.25">
      <c r="A146" s="697" t="s">
        <v>241</v>
      </c>
      <c r="B146" s="698"/>
      <c r="C146" s="697" t="s">
        <v>741</v>
      </c>
      <c r="D146" s="698"/>
      <c r="E146" s="697" t="s">
        <v>745</v>
      </c>
      <c r="F146" s="698"/>
      <c r="G146" s="699"/>
      <c r="I146" s="700" t="s">
        <v>241</v>
      </c>
      <c r="J146" s="700"/>
    </row>
    <row r="147" spans="1:10" x14ac:dyDescent="0.25">
      <c r="A147" s="282" t="s">
        <v>731</v>
      </c>
      <c r="B147" s="120">
        <v>0</v>
      </c>
      <c r="C147" s="689" t="s">
        <v>742</v>
      </c>
      <c r="D147" s="692">
        <f>+B147+B148+B149</f>
        <v>0</v>
      </c>
      <c r="E147" s="689" t="s">
        <v>746</v>
      </c>
      <c r="F147" s="638">
        <f>+D147+D150</f>
        <v>0</v>
      </c>
      <c r="G147" s="643"/>
      <c r="I147" s="278" t="s">
        <v>731</v>
      </c>
      <c r="J147" s="283">
        <v>0</v>
      </c>
    </row>
    <row r="148" spans="1:10" x14ac:dyDescent="0.25">
      <c r="A148" s="282" t="s">
        <v>515</v>
      </c>
      <c r="B148" s="120">
        <v>0</v>
      </c>
      <c r="C148" s="690"/>
      <c r="D148" s="693"/>
      <c r="E148" s="690"/>
      <c r="F148" s="639"/>
      <c r="G148" s="644"/>
      <c r="I148" s="278" t="s">
        <v>515</v>
      </c>
      <c r="J148" s="283">
        <v>0</v>
      </c>
    </row>
    <row r="149" spans="1:10" x14ac:dyDescent="0.25">
      <c r="A149" s="282" t="s">
        <v>732</v>
      </c>
      <c r="B149" s="120">
        <v>0</v>
      </c>
      <c r="C149" s="691"/>
      <c r="D149" s="694"/>
      <c r="E149" s="690"/>
      <c r="F149" s="639"/>
      <c r="G149" s="644"/>
      <c r="I149" s="278" t="s">
        <v>732</v>
      </c>
      <c r="J149" s="283">
        <v>0</v>
      </c>
    </row>
    <row r="150" spans="1:10" x14ac:dyDescent="0.25">
      <c r="A150" s="282" t="s">
        <v>733</v>
      </c>
      <c r="B150" s="120">
        <v>0</v>
      </c>
      <c r="C150" s="689" t="s">
        <v>743</v>
      </c>
      <c r="D150" s="692">
        <f>+B150+B151+B152</f>
        <v>0</v>
      </c>
      <c r="E150" s="690"/>
      <c r="F150" s="639"/>
      <c r="G150" s="644"/>
      <c r="I150" s="278" t="s">
        <v>733</v>
      </c>
      <c r="J150" s="283">
        <v>0</v>
      </c>
    </row>
    <row r="151" spans="1:10" x14ac:dyDescent="0.25">
      <c r="A151" s="282" t="s">
        <v>734</v>
      </c>
      <c r="B151" s="120">
        <v>0</v>
      </c>
      <c r="C151" s="690"/>
      <c r="D151" s="693"/>
      <c r="E151" s="690"/>
      <c r="F151" s="639"/>
      <c r="G151" s="644"/>
      <c r="I151" s="278" t="s">
        <v>734</v>
      </c>
      <c r="J151" s="283">
        <v>0</v>
      </c>
    </row>
    <row r="152" spans="1:10" x14ac:dyDescent="0.25">
      <c r="A152" s="282" t="s">
        <v>735</v>
      </c>
      <c r="B152" s="120">
        <v>0</v>
      </c>
      <c r="C152" s="691"/>
      <c r="D152" s="694"/>
      <c r="E152" s="691"/>
      <c r="F152" s="640"/>
      <c r="G152" s="645"/>
      <c r="I152" s="278" t="s">
        <v>735</v>
      </c>
      <c r="J152" s="283">
        <v>0</v>
      </c>
    </row>
    <row r="153" spans="1:10" x14ac:dyDescent="0.25">
      <c r="A153" s="282" t="s">
        <v>736</v>
      </c>
      <c r="B153" s="120">
        <v>0</v>
      </c>
      <c r="C153" s="689" t="s">
        <v>744</v>
      </c>
      <c r="D153" s="692">
        <f>+B153+B154+B155</f>
        <v>0</v>
      </c>
      <c r="E153" s="689" t="s">
        <v>747</v>
      </c>
      <c r="F153" s="638">
        <f>+D153+D156</f>
        <v>0</v>
      </c>
      <c r="G153" s="643"/>
      <c r="I153" s="278" t="s">
        <v>736</v>
      </c>
      <c r="J153" s="283">
        <v>0</v>
      </c>
    </row>
    <row r="154" spans="1:10" x14ac:dyDescent="0.25">
      <c r="A154" s="282" t="s">
        <v>737</v>
      </c>
      <c r="B154" s="120">
        <v>0</v>
      </c>
      <c r="C154" s="690"/>
      <c r="D154" s="693"/>
      <c r="E154" s="690"/>
      <c r="F154" s="639"/>
      <c r="G154" s="644"/>
      <c r="I154" s="278" t="s">
        <v>737</v>
      </c>
      <c r="J154" s="283">
        <v>0</v>
      </c>
    </row>
    <row r="155" spans="1:10" x14ac:dyDescent="0.25">
      <c r="A155" s="282" t="s">
        <v>738</v>
      </c>
      <c r="B155" s="120">
        <v>0</v>
      </c>
      <c r="C155" s="691"/>
      <c r="D155" s="694"/>
      <c r="E155" s="690"/>
      <c r="F155" s="639"/>
      <c r="G155" s="644"/>
      <c r="I155" s="278" t="s">
        <v>738</v>
      </c>
      <c r="J155" s="283">
        <v>0</v>
      </c>
    </row>
    <row r="156" spans="1:10" x14ac:dyDescent="0.25">
      <c r="A156" s="282" t="s">
        <v>739</v>
      </c>
      <c r="B156" s="120">
        <v>0</v>
      </c>
      <c r="C156" s="689" t="s">
        <v>774</v>
      </c>
      <c r="D156" s="692">
        <f>+B156+B157+B158</f>
        <v>0</v>
      </c>
      <c r="E156" s="690"/>
      <c r="F156" s="639"/>
      <c r="G156" s="644"/>
      <c r="I156" s="278" t="s">
        <v>739</v>
      </c>
      <c r="J156" s="283">
        <v>0</v>
      </c>
    </row>
    <row r="157" spans="1:10" x14ac:dyDescent="0.25">
      <c r="A157" s="282" t="s">
        <v>740</v>
      </c>
      <c r="B157" s="120">
        <v>0</v>
      </c>
      <c r="C157" s="690"/>
      <c r="D157" s="693"/>
      <c r="E157" s="690"/>
      <c r="F157" s="639"/>
      <c r="G157" s="644"/>
      <c r="I157" s="278" t="s">
        <v>740</v>
      </c>
      <c r="J157" s="283">
        <v>0</v>
      </c>
    </row>
    <row r="158" spans="1:10" x14ac:dyDescent="0.25">
      <c r="A158" s="282" t="s">
        <v>730</v>
      </c>
      <c r="B158" s="120">
        <v>0</v>
      </c>
      <c r="C158" s="691"/>
      <c r="D158" s="694"/>
      <c r="E158" s="691"/>
      <c r="F158" s="640"/>
      <c r="G158" s="645"/>
      <c r="I158" s="278" t="s">
        <v>730</v>
      </c>
      <c r="J158" s="283">
        <v>0</v>
      </c>
    </row>
    <row r="159" spans="1:10" x14ac:dyDescent="0.25">
      <c r="A159" s="279" t="s">
        <v>688</v>
      </c>
      <c r="B159" s="271">
        <f>SUM(B147:B158)</f>
        <v>0</v>
      </c>
      <c r="C159" s="279" t="s">
        <v>688</v>
      </c>
      <c r="D159" s="271">
        <f>SUM(D147:D158)</f>
        <v>0</v>
      </c>
      <c r="E159" s="279" t="s">
        <v>688</v>
      </c>
      <c r="F159" s="641">
        <f>SUM(F147:G158)</f>
        <v>0</v>
      </c>
      <c r="G159" s="688"/>
      <c r="I159" s="279" t="s">
        <v>688</v>
      </c>
      <c r="J159" s="119">
        <f>SUM(J147:J158)</f>
        <v>0</v>
      </c>
    </row>
    <row r="161" spans="1:10" ht="18.75" customHeight="1" x14ac:dyDescent="0.25">
      <c r="A161" s="280" t="s">
        <v>1018</v>
      </c>
      <c r="B161" s="281"/>
      <c r="C161" s="281"/>
      <c r="D161" s="276" t="s">
        <v>1019</v>
      </c>
      <c r="E161" s="695"/>
      <c r="F161" s="695"/>
      <c r="G161" s="695"/>
      <c r="I161" s="696" t="s">
        <v>852</v>
      </c>
      <c r="J161" s="696"/>
    </row>
    <row r="162" spans="1:10" x14ac:dyDescent="0.25">
      <c r="A162" s="697" t="s">
        <v>241</v>
      </c>
      <c r="B162" s="698"/>
      <c r="C162" s="697" t="s">
        <v>741</v>
      </c>
      <c r="D162" s="698"/>
      <c r="E162" s="697" t="s">
        <v>745</v>
      </c>
      <c r="F162" s="698"/>
      <c r="G162" s="699"/>
      <c r="I162" s="700" t="s">
        <v>241</v>
      </c>
      <c r="J162" s="700"/>
    </row>
    <row r="163" spans="1:10" x14ac:dyDescent="0.25">
      <c r="A163" s="282" t="s">
        <v>731</v>
      </c>
      <c r="B163" s="120">
        <v>0</v>
      </c>
      <c r="C163" s="689" t="s">
        <v>742</v>
      </c>
      <c r="D163" s="692">
        <f>+B163+B164+B165</f>
        <v>0</v>
      </c>
      <c r="E163" s="689" t="s">
        <v>746</v>
      </c>
      <c r="F163" s="638">
        <f>+D163+D166</f>
        <v>0</v>
      </c>
      <c r="G163" s="643"/>
      <c r="I163" s="278" t="s">
        <v>731</v>
      </c>
      <c r="J163" s="283">
        <v>0</v>
      </c>
    </row>
    <row r="164" spans="1:10" x14ac:dyDescent="0.25">
      <c r="A164" s="282" t="s">
        <v>515</v>
      </c>
      <c r="B164" s="120">
        <v>0</v>
      </c>
      <c r="C164" s="690"/>
      <c r="D164" s="693"/>
      <c r="E164" s="690"/>
      <c r="F164" s="639"/>
      <c r="G164" s="644"/>
      <c r="I164" s="278" t="s">
        <v>515</v>
      </c>
      <c r="J164" s="283">
        <v>0</v>
      </c>
    </row>
    <row r="165" spans="1:10" x14ac:dyDescent="0.25">
      <c r="A165" s="282" t="s">
        <v>732</v>
      </c>
      <c r="B165" s="120">
        <v>0</v>
      </c>
      <c r="C165" s="691"/>
      <c r="D165" s="694"/>
      <c r="E165" s="690"/>
      <c r="F165" s="639"/>
      <c r="G165" s="644"/>
      <c r="I165" s="278" t="s">
        <v>732</v>
      </c>
      <c r="J165" s="283">
        <v>0</v>
      </c>
    </row>
    <row r="166" spans="1:10" x14ac:dyDescent="0.25">
      <c r="A166" s="282" t="s">
        <v>733</v>
      </c>
      <c r="B166" s="120">
        <v>0</v>
      </c>
      <c r="C166" s="689" t="s">
        <v>743</v>
      </c>
      <c r="D166" s="692">
        <f>+B166+B167+B168</f>
        <v>0</v>
      </c>
      <c r="E166" s="690"/>
      <c r="F166" s="639"/>
      <c r="G166" s="644"/>
      <c r="I166" s="278" t="s">
        <v>733</v>
      </c>
      <c r="J166" s="283">
        <v>0</v>
      </c>
    </row>
    <row r="167" spans="1:10" x14ac:dyDescent="0.25">
      <c r="A167" s="282" t="s">
        <v>734</v>
      </c>
      <c r="B167" s="120">
        <v>0</v>
      </c>
      <c r="C167" s="690"/>
      <c r="D167" s="693"/>
      <c r="E167" s="690"/>
      <c r="F167" s="639"/>
      <c r="G167" s="644"/>
      <c r="I167" s="278" t="s">
        <v>734</v>
      </c>
      <c r="J167" s="283">
        <v>0</v>
      </c>
    </row>
    <row r="168" spans="1:10" x14ac:dyDescent="0.25">
      <c r="A168" s="282" t="s">
        <v>735</v>
      </c>
      <c r="B168" s="120">
        <v>0</v>
      </c>
      <c r="C168" s="691"/>
      <c r="D168" s="694"/>
      <c r="E168" s="691"/>
      <c r="F168" s="640"/>
      <c r="G168" s="645"/>
      <c r="I168" s="278" t="s">
        <v>735</v>
      </c>
      <c r="J168" s="283">
        <v>0</v>
      </c>
    </row>
    <row r="169" spans="1:10" x14ac:dyDescent="0.25">
      <c r="A169" s="282" t="s">
        <v>736</v>
      </c>
      <c r="B169" s="120">
        <v>0</v>
      </c>
      <c r="C169" s="689" t="s">
        <v>744</v>
      </c>
      <c r="D169" s="692">
        <f>+B169+B170+B171</f>
        <v>0</v>
      </c>
      <c r="E169" s="689" t="s">
        <v>747</v>
      </c>
      <c r="F169" s="638">
        <f>+D169+D172</f>
        <v>0</v>
      </c>
      <c r="G169" s="643"/>
      <c r="I169" s="278" t="s">
        <v>736</v>
      </c>
      <c r="J169" s="283">
        <v>0</v>
      </c>
    </row>
    <row r="170" spans="1:10" x14ac:dyDescent="0.25">
      <c r="A170" s="282" t="s">
        <v>737</v>
      </c>
      <c r="B170" s="120">
        <v>0</v>
      </c>
      <c r="C170" s="690"/>
      <c r="D170" s="693"/>
      <c r="E170" s="690"/>
      <c r="F170" s="639"/>
      <c r="G170" s="644"/>
      <c r="I170" s="278" t="s">
        <v>737</v>
      </c>
      <c r="J170" s="283">
        <v>0</v>
      </c>
    </row>
    <row r="171" spans="1:10" x14ac:dyDescent="0.25">
      <c r="A171" s="282" t="s">
        <v>738</v>
      </c>
      <c r="B171" s="120">
        <v>0</v>
      </c>
      <c r="C171" s="691"/>
      <c r="D171" s="694"/>
      <c r="E171" s="690"/>
      <c r="F171" s="639"/>
      <c r="G171" s="644"/>
      <c r="I171" s="278" t="s">
        <v>738</v>
      </c>
      <c r="J171" s="283">
        <v>0</v>
      </c>
    </row>
    <row r="172" spans="1:10" x14ac:dyDescent="0.25">
      <c r="A172" s="282" t="s">
        <v>739</v>
      </c>
      <c r="B172" s="120">
        <v>0</v>
      </c>
      <c r="C172" s="689" t="s">
        <v>774</v>
      </c>
      <c r="D172" s="692">
        <f>+B172+B173+B174</f>
        <v>0</v>
      </c>
      <c r="E172" s="690"/>
      <c r="F172" s="639"/>
      <c r="G172" s="644"/>
      <c r="I172" s="278" t="s">
        <v>739</v>
      </c>
      <c r="J172" s="283">
        <v>0</v>
      </c>
    </row>
    <row r="173" spans="1:10" x14ac:dyDescent="0.25">
      <c r="A173" s="282" t="s">
        <v>740</v>
      </c>
      <c r="B173" s="120">
        <v>0</v>
      </c>
      <c r="C173" s="690"/>
      <c r="D173" s="693"/>
      <c r="E173" s="690"/>
      <c r="F173" s="639"/>
      <c r="G173" s="644"/>
      <c r="I173" s="278" t="s">
        <v>740</v>
      </c>
      <c r="J173" s="283">
        <v>0</v>
      </c>
    </row>
    <row r="174" spans="1:10" x14ac:dyDescent="0.25">
      <c r="A174" s="282" t="s">
        <v>730</v>
      </c>
      <c r="B174" s="120">
        <v>0</v>
      </c>
      <c r="C174" s="691"/>
      <c r="D174" s="694"/>
      <c r="E174" s="691"/>
      <c r="F174" s="640"/>
      <c r="G174" s="645"/>
      <c r="I174" s="278" t="s">
        <v>730</v>
      </c>
      <c r="J174" s="283">
        <v>0</v>
      </c>
    </row>
    <row r="175" spans="1:10" x14ac:dyDescent="0.25">
      <c r="A175" s="279" t="s">
        <v>688</v>
      </c>
      <c r="B175" s="271">
        <f>SUM(B163:B174)</f>
        <v>0</v>
      </c>
      <c r="C175" s="279" t="s">
        <v>688</v>
      </c>
      <c r="D175" s="271">
        <f>SUM(D163:D174)</f>
        <v>0</v>
      </c>
      <c r="E175" s="279" t="s">
        <v>688</v>
      </c>
      <c r="F175" s="641">
        <f>SUM(F163:G174)</f>
        <v>0</v>
      </c>
      <c r="G175" s="688"/>
      <c r="I175" s="279" t="s">
        <v>688</v>
      </c>
      <c r="J175" s="119">
        <f>SUM(J163:J174)</f>
        <v>0</v>
      </c>
    </row>
    <row r="177" spans="1:10" ht="18.75" customHeight="1" x14ac:dyDescent="0.25">
      <c r="A177" s="280" t="s">
        <v>1018</v>
      </c>
      <c r="B177" s="281"/>
      <c r="C177" s="281"/>
      <c r="D177" s="276" t="s">
        <v>1019</v>
      </c>
      <c r="E177" s="695"/>
      <c r="F177" s="695"/>
      <c r="G177" s="695"/>
      <c r="I177" s="696" t="s">
        <v>852</v>
      </c>
      <c r="J177" s="696"/>
    </row>
    <row r="178" spans="1:10" x14ac:dyDescent="0.25">
      <c r="A178" s="697" t="s">
        <v>241</v>
      </c>
      <c r="B178" s="698"/>
      <c r="C178" s="697" t="s">
        <v>741</v>
      </c>
      <c r="D178" s="698"/>
      <c r="E178" s="697" t="s">
        <v>745</v>
      </c>
      <c r="F178" s="698"/>
      <c r="G178" s="699"/>
      <c r="I178" s="700" t="s">
        <v>241</v>
      </c>
      <c r="J178" s="700"/>
    </row>
    <row r="179" spans="1:10" x14ac:dyDescent="0.25">
      <c r="A179" s="282" t="s">
        <v>731</v>
      </c>
      <c r="B179" s="120">
        <v>0</v>
      </c>
      <c r="C179" s="689" t="s">
        <v>742</v>
      </c>
      <c r="D179" s="692">
        <f>+B179+B180+B181</f>
        <v>0</v>
      </c>
      <c r="E179" s="689" t="s">
        <v>746</v>
      </c>
      <c r="F179" s="638">
        <f>+D179+D182</f>
        <v>0</v>
      </c>
      <c r="G179" s="643"/>
      <c r="I179" s="278" t="s">
        <v>731</v>
      </c>
      <c r="J179" s="283">
        <v>0</v>
      </c>
    </row>
    <row r="180" spans="1:10" x14ac:dyDescent="0.25">
      <c r="A180" s="282" t="s">
        <v>515</v>
      </c>
      <c r="B180" s="120">
        <v>0</v>
      </c>
      <c r="C180" s="690"/>
      <c r="D180" s="693"/>
      <c r="E180" s="690"/>
      <c r="F180" s="639"/>
      <c r="G180" s="644"/>
      <c r="I180" s="278" t="s">
        <v>515</v>
      </c>
      <c r="J180" s="283">
        <v>0</v>
      </c>
    </row>
    <row r="181" spans="1:10" x14ac:dyDescent="0.25">
      <c r="A181" s="282" t="s">
        <v>732</v>
      </c>
      <c r="B181" s="120">
        <v>0</v>
      </c>
      <c r="C181" s="691"/>
      <c r="D181" s="694"/>
      <c r="E181" s="690"/>
      <c r="F181" s="639"/>
      <c r="G181" s="644"/>
      <c r="I181" s="278" t="s">
        <v>732</v>
      </c>
      <c r="J181" s="283">
        <v>0</v>
      </c>
    </row>
    <row r="182" spans="1:10" x14ac:dyDescent="0.25">
      <c r="A182" s="282" t="s">
        <v>733</v>
      </c>
      <c r="B182" s="120">
        <v>0</v>
      </c>
      <c r="C182" s="689" t="s">
        <v>743</v>
      </c>
      <c r="D182" s="692">
        <f>+B182+B183+B184</f>
        <v>0</v>
      </c>
      <c r="E182" s="690"/>
      <c r="F182" s="639"/>
      <c r="G182" s="644"/>
      <c r="I182" s="278" t="s">
        <v>733</v>
      </c>
      <c r="J182" s="283">
        <v>0</v>
      </c>
    </row>
    <row r="183" spans="1:10" x14ac:dyDescent="0.25">
      <c r="A183" s="282" t="s">
        <v>734</v>
      </c>
      <c r="B183" s="120">
        <v>0</v>
      </c>
      <c r="C183" s="690"/>
      <c r="D183" s="693"/>
      <c r="E183" s="690"/>
      <c r="F183" s="639"/>
      <c r="G183" s="644"/>
      <c r="I183" s="278" t="s">
        <v>734</v>
      </c>
      <c r="J183" s="283">
        <v>0</v>
      </c>
    </row>
    <row r="184" spans="1:10" x14ac:dyDescent="0.25">
      <c r="A184" s="282" t="s">
        <v>735</v>
      </c>
      <c r="B184" s="120">
        <v>0</v>
      </c>
      <c r="C184" s="691"/>
      <c r="D184" s="694"/>
      <c r="E184" s="691"/>
      <c r="F184" s="640"/>
      <c r="G184" s="645"/>
      <c r="I184" s="278" t="s">
        <v>735</v>
      </c>
      <c r="J184" s="283">
        <v>0</v>
      </c>
    </row>
    <row r="185" spans="1:10" x14ac:dyDescent="0.25">
      <c r="A185" s="282" t="s">
        <v>736</v>
      </c>
      <c r="B185" s="120">
        <v>0</v>
      </c>
      <c r="C185" s="689" t="s">
        <v>744</v>
      </c>
      <c r="D185" s="692">
        <f>+B185+B186+B187</f>
        <v>0</v>
      </c>
      <c r="E185" s="689" t="s">
        <v>747</v>
      </c>
      <c r="F185" s="638">
        <f>+D185+D188</f>
        <v>0</v>
      </c>
      <c r="G185" s="643"/>
      <c r="I185" s="278" t="s">
        <v>736</v>
      </c>
      <c r="J185" s="283">
        <v>0</v>
      </c>
    </row>
    <row r="186" spans="1:10" x14ac:dyDescent="0.25">
      <c r="A186" s="282" t="s">
        <v>737</v>
      </c>
      <c r="B186" s="120">
        <v>0</v>
      </c>
      <c r="C186" s="690"/>
      <c r="D186" s="693"/>
      <c r="E186" s="690"/>
      <c r="F186" s="639"/>
      <c r="G186" s="644"/>
      <c r="I186" s="278" t="s">
        <v>737</v>
      </c>
      <c r="J186" s="283">
        <v>0</v>
      </c>
    </row>
    <row r="187" spans="1:10" x14ac:dyDescent="0.25">
      <c r="A187" s="282" t="s">
        <v>738</v>
      </c>
      <c r="B187" s="120">
        <v>0</v>
      </c>
      <c r="C187" s="691"/>
      <c r="D187" s="694"/>
      <c r="E187" s="690"/>
      <c r="F187" s="639"/>
      <c r="G187" s="644"/>
      <c r="I187" s="278" t="s">
        <v>738</v>
      </c>
      <c r="J187" s="283">
        <v>0</v>
      </c>
    </row>
    <row r="188" spans="1:10" x14ac:dyDescent="0.25">
      <c r="A188" s="282" t="s">
        <v>739</v>
      </c>
      <c r="B188" s="120">
        <v>0</v>
      </c>
      <c r="C188" s="689" t="s">
        <v>774</v>
      </c>
      <c r="D188" s="692">
        <f>+B188+B189+B190</f>
        <v>0</v>
      </c>
      <c r="E188" s="690"/>
      <c r="F188" s="639"/>
      <c r="G188" s="644"/>
      <c r="I188" s="278" t="s">
        <v>739</v>
      </c>
      <c r="J188" s="283">
        <v>0</v>
      </c>
    </row>
    <row r="189" spans="1:10" x14ac:dyDescent="0.25">
      <c r="A189" s="282" t="s">
        <v>740</v>
      </c>
      <c r="B189" s="120">
        <v>0</v>
      </c>
      <c r="C189" s="690"/>
      <c r="D189" s="693"/>
      <c r="E189" s="690"/>
      <c r="F189" s="639"/>
      <c r="G189" s="644"/>
      <c r="I189" s="278" t="s">
        <v>740</v>
      </c>
      <c r="J189" s="283">
        <v>0</v>
      </c>
    </row>
    <row r="190" spans="1:10" x14ac:dyDescent="0.25">
      <c r="A190" s="282" t="s">
        <v>730</v>
      </c>
      <c r="B190" s="120">
        <v>0</v>
      </c>
      <c r="C190" s="691"/>
      <c r="D190" s="694"/>
      <c r="E190" s="691"/>
      <c r="F190" s="640"/>
      <c r="G190" s="645"/>
      <c r="I190" s="278" t="s">
        <v>730</v>
      </c>
      <c r="J190" s="283">
        <v>0</v>
      </c>
    </row>
    <row r="191" spans="1:10" x14ac:dyDescent="0.25">
      <c r="A191" s="279" t="s">
        <v>688</v>
      </c>
      <c r="B191" s="271">
        <f>SUM(B179:B190)</f>
        <v>0</v>
      </c>
      <c r="C191" s="279" t="s">
        <v>688</v>
      </c>
      <c r="D191" s="271">
        <f>SUM(D179:D190)</f>
        <v>0</v>
      </c>
      <c r="E191" s="279" t="s">
        <v>688</v>
      </c>
      <c r="F191" s="641">
        <f>SUM(F179:G190)</f>
        <v>0</v>
      </c>
      <c r="G191" s="688"/>
      <c r="I191" s="279" t="s">
        <v>688</v>
      </c>
      <c r="J191" s="119">
        <f>SUM(J179:J190)</f>
        <v>0</v>
      </c>
    </row>
    <row r="193" spans="1:10" ht="18.75" customHeight="1" x14ac:dyDescent="0.25">
      <c r="A193" s="280" t="s">
        <v>1018</v>
      </c>
      <c r="B193" s="281"/>
      <c r="C193" s="281"/>
      <c r="D193" s="276" t="s">
        <v>1019</v>
      </c>
      <c r="E193" s="695"/>
      <c r="F193" s="695"/>
      <c r="G193" s="695"/>
      <c r="I193" s="696" t="s">
        <v>852</v>
      </c>
      <c r="J193" s="696"/>
    </row>
    <row r="194" spans="1:10" x14ac:dyDescent="0.25">
      <c r="A194" s="697" t="s">
        <v>241</v>
      </c>
      <c r="B194" s="698"/>
      <c r="C194" s="697" t="s">
        <v>741</v>
      </c>
      <c r="D194" s="698"/>
      <c r="E194" s="697" t="s">
        <v>745</v>
      </c>
      <c r="F194" s="698"/>
      <c r="G194" s="699"/>
      <c r="I194" s="700" t="s">
        <v>241</v>
      </c>
      <c r="J194" s="700"/>
    </row>
    <row r="195" spans="1:10" x14ac:dyDescent="0.25">
      <c r="A195" s="282" t="s">
        <v>731</v>
      </c>
      <c r="B195" s="120">
        <v>0</v>
      </c>
      <c r="C195" s="689" t="s">
        <v>742</v>
      </c>
      <c r="D195" s="692">
        <f>+B195+B196+B197</f>
        <v>0</v>
      </c>
      <c r="E195" s="689" t="s">
        <v>746</v>
      </c>
      <c r="F195" s="638">
        <f>+D195+D198</f>
        <v>0</v>
      </c>
      <c r="G195" s="643"/>
      <c r="I195" s="278" t="s">
        <v>731</v>
      </c>
      <c r="J195" s="283">
        <v>0</v>
      </c>
    </row>
    <row r="196" spans="1:10" x14ac:dyDescent="0.25">
      <c r="A196" s="282" t="s">
        <v>515</v>
      </c>
      <c r="B196" s="120">
        <v>0</v>
      </c>
      <c r="C196" s="690"/>
      <c r="D196" s="693"/>
      <c r="E196" s="690"/>
      <c r="F196" s="639"/>
      <c r="G196" s="644"/>
      <c r="I196" s="278" t="s">
        <v>515</v>
      </c>
      <c r="J196" s="283">
        <v>0</v>
      </c>
    </row>
    <row r="197" spans="1:10" x14ac:dyDescent="0.25">
      <c r="A197" s="282" t="s">
        <v>732</v>
      </c>
      <c r="B197" s="120">
        <v>0</v>
      </c>
      <c r="C197" s="691"/>
      <c r="D197" s="694"/>
      <c r="E197" s="690"/>
      <c r="F197" s="639"/>
      <c r="G197" s="644"/>
      <c r="I197" s="278" t="s">
        <v>732</v>
      </c>
      <c r="J197" s="283">
        <v>0</v>
      </c>
    </row>
    <row r="198" spans="1:10" x14ac:dyDescent="0.25">
      <c r="A198" s="282" t="s">
        <v>733</v>
      </c>
      <c r="B198" s="120">
        <v>0</v>
      </c>
      <c r="C198" s="689" t="s">
        <v>743</v>
      </c>
      <c r="D198" s="692">
        <f>+B198+B199+B200</f>
        <v>0</v>
      </c>
      <c r="E198" s="690"/>
      <c r="F198" s="639"/>
      <c r="G198" s="644"/>
      <c r="I198" s="278" t="s">
        <v>733</v>
      </c>
      <c r="J198" s="283">
        <v>0</v>
      </c>
    </row>
    <row r="199" spans="1:10" x14ac:dyDescent="0.25">
      <c r="A199" s="282" t="s">
        <v>734</v>
      </c>
      <c r="B199" s="120">
        <v>0</v>
      </c>
      <c r="C199" s="690"/>
      <c r="D199" s="693"/>
      <c r="E199" s="690"/>
      <c r="F199" s="639"/>
      <c r="G199" s="644"/>
      <c r="I199" s="278" t="s">
        <v>734</v>
      </c>
      <c r="J199" s="283">
        <v>0</v>
      </c>
    </row>
    <row r="200" spans="1:10" x14ac:dyDescent="0.25">
      <c r="A200" s="282" t="s">
        <v>735</v>
      </c>
      <c r="B200" s="120">
        <v>0</v>
      </c>
      <c r="C200" s="691"/>
      <c r="D200" s="694"/>
      <c r="E200" s="691"/>
      <c r="F200" s="640"/>
      <c r="G200" s="645"/>
      <c r="I200" s="278" t="s">
        <v>735</v>
      </c>
      <c r="J200" s="283">
        <v>0</v>
      </c>
    </row>
    <row r="201" spans="1:10" x14ac:dyDescent="0.25">
      <c r="A201" s="282" t="s">
        <v>736</v>
      </c>
      <c r="B201" s="120">
        <v>0</v>
      </c>
      <c r="C201" s="689" t="s">
        <v>744</v>
      </c>
      <c r="D201" s="692">
        <f>+B201+B202+B203</f>
        <v>0</v>
      </c>
      <c r="E201" s="689" t="s">
        <v>747</v>
      </c>
      <c r="F201" s="638">
        <f>+D201+D204</f>
        <v>0</v>
      </c>
      <c r="G201" s="643"/>
      <c r="I201" s="278" t="s">
        <v>736</v>
      </c>
      <c r="J201" s="283">
        <v>0</v>
      </c>
    </row>
    <row r="202" spans="1:10" x14ac:dyDescent="0.25">
      <c r="A202" s="282" t="s">
        <v>737</v>
      </c>
      <c r="B202" s="120">
        <v>0</v>
      </c>
      <c r="C202" s="690"/>
      <c r="D202" s="693"/>
      <c r="E202" s="690"/>
      <c r="F202" s="639"/>
      <c r="G202" s="644"/>
      <c r="I202" s="278" t="s">
        <v>737</v>
      </c>
      <c r="J202" s="283">
        <v>0</v>
      </c>
    </row>
    <row r="203" spans="1:10" x14ac:dyDescent="0.25">
      <c r="A203" s="282" t="s">
        <v>738</v>
      </c>
      <c r="B203" s="120">
        <v>0</v>
      </c>
      <c r="C203" s="691"/>
      <c r="D203" s="694"/>
      <c r="E203" s="690"/>
      <c r="F203" s="639"/>
      <c r="G203" s="644"/>
      <c r="I203" s="278" t="s">
        <v>738</v>
      </c>
      <c r="J203" s="283">
        <v>0</v>
      </c>
    </row>
    <row r="204" spans="1:10" x14ac:dyDescent="0.25">
      <c r="A204" s="282" t="s">
        <v>739</v>
      </c>
      <c r="B204" s="120">
        <v>0</v>
      </c>
      <c r="C204" s="689" t="s">
        <v>774</v>
      </c>
      <c r="D204" s="692">
        <f>+B204+B205+B206</f>
        <v>0</v>
      </c>
      <c r="E204" s="690"/>
      <c r="F204" s="639"/>
      <c r="G204" s="644"/>
      <c r="I204" s="278" t="s">
        <v>739</v>
      </c>
      <c r="J204" s="283">
        <v>0</v>
      </c>
    </row>
    <row r="205" spans="1:10" x14ac:dyDescent="0.25">
      <c r="A205" s="282" t="s">
        <v>740</v>
      </c>
      <c r="B205" s="120">
        <v>0</v>
      </c>
      <c r="C205" s="690"/>
      <c r="D205" s="693"/>
      <c r="E205" s="690"/>
      <c r="F205" s="639"/>
      <c r="G205" s="644"/>
      <c r="I205" s="278" t="s">
        <v>740</v>
      </c>
      <c r="J205" s="283">
        <v>0</v>
      </c>
    </row>
    <row r="206" spans="1:10" x14ac:dyDescent="0.25">
      <c r="A206" s="282" t="s">
        <v>730</v>
      </c>
      <c r="B206" s="120">
        <v>0</v>
      </c>
      <c r="C206" s="691"/>
      <c r="D206" s="694"/>
      <c r="E206" s="691"/>
      <c r="F206" s="640"/>
      <c r="G206" s="645"/>
      <c r="I206" s="278" t="s">
        <v>730</v>
      </c>
      <c r="J206" s="283">
        <v>0</v>
      </c>
    </row>
    <row r="207" spans="1:10" x14ac:dyDescent="0.25">
      <c r="A207" s="279" t="s">
        <v>688</v>
      </c>
      <c r="B207" s="271">
        <f>SUM(B195:B206)</f>
        <v>0</v>
      </c>
      <c r="C207" s="279" t="s">
        <v>688</v>
      </c>
      <c r="D207" s="271">
        <f>SUM(D195:D206)</f>
        <v>0</v>
      </c>
      <c r="E207" s="279" t="s">
        <v>688</v>
      </c>
      <c r="F207" s="641">
        <f>SUM(F195:G206)</f>
        <v>0</v>
      </c>
      <c r="G207" s="688"/>
      <c r="I207" s="279" t="s">
        <v>688</v>
      </c>
      <c r="J207" s="119">
        <f>SUM(J195:J206)</f>
        <v>0</v>
      </c>
    </row>
    <row r="209" spans="1:10" ht="18.75" customHeight="1" x14ac:dyDescent="0.25">
      <c r="A209" s="280" t="s">
        <v>1018</v>
      </c>
      <c r="B209" s="281"/>
      <c r="C209" s="281"/>
      <c r="D209" s="276" t="s">
        <v>1019</v>
      </c>
      <c r="E209" s="695"/>
      <c r="F209" s="695"/>
      <c r="G209" s="695"/>
      <c r="I209" s="696" t="s">
        <v>852</v>
      </c>
      <c r="J209" s="696"/>
    </row>
    <row r="210" spans="1:10" x14ac:dyDescent="0.25">
      <c r="A210" s="697" t="s">
        <v>241</v>
      </c>
      <c r="B210" s="698"/>
      <c r="C210" s="697" t="s">
        <v>741</v>
      </c>
      <c r="D210" s="698"/>
      <c r="E210" s="697" t="s">
        <v>745</v>
      </c>
      <c r="F210" s="698"/>
      <c r="G210" s="699"/>
      <c r="I210" s="700" t="s">
        <v>241</v>
      </c>
      <c r="J210" s="700"/>
    </row>
    <row r="211" spans="1:10" x14ac:dyDescent="0.25">
      <c r="A211" s="282" t="s">
        <v>731</v>
      </c>
      <c r="B211" s="120">
        <v>0</v>
      </c>
      <c r="C211" s="689" t="s">
        <v>742</v>
      </c>
      <c r="D211" s="692">
        <f>+B211+B212+B213</f>
        <v>0</v>
      </c>
      <c r="E211" s="689" t="s">
        <v>746</v>
      </c>
      <c r="F211" s="638">
        <f>+D211+D214</f>
        <v>0</v>
      </c>
      <c r="G211" s="643"/>
      <c r="I211" s="278" t="s">
        <v>731</v>
      </c>
      <c r="J211" s="283">
        <v>0</v>
      </c>
    </row>
    <row r="212" spans="1:10" x14ac:dyDescent="0.25">
      <c r="A212" s="282" t="s">
        <v>515</v>
      </c>
      <c r="B212" s="120">
        <v>0</v>
      </c>
      <c r="C212" s="690"/>
      <c r="D212" s="693"/>
      <c r="E212" s="690"/>
      <c r="F212" s="639"/>
      <c r="G212" s="644"/>
      <c r="I212" s="278" t="s">
        <v>515</v>
      </c>
      <c r="J212" s="283">
        <v>0</v>
      </c>
    </row>
    <row r="213" spans="1:10" x14ac:dyDescent="0.25">
      <c r="A213" s="282" t="s">
        <v>732</v>
      </c>
      <c r="B213" s="120">
        <v>0</v>
      </c>
      <c r="C213" s="691"/>
      <c r="D213" s="694"/>
      <c r="E213" s="690"/>
      <c r="F213" s="639"/>
      <c r="G213" s="644"/>
      <c r="I213" s="278" t="s">
        <v>732</v>
      </c>
      <c r="J213" s="283">
        <v>0</v>
      </c>
    </row>
    <row r="214" spans="1:10" x14ac:dyDescent="0.25">
      <c r="A214" s="282" t="s">
        <v>733</v>
      </c>
      <c r="B214" s="120">
        <v>0</v>
      </c>
      <c r="C214" s="689" t="s">
        <v>743</v>
      </c>
      <c r="D214" s="692">
        <f>+B214+B215+B216</f>
        <v>0</v>
      </c>
      <c r="E214" s="690"/>
      <c r="F214" s="639"/>
      <c r="G214" s="644"/>
      <c r="I214" s="278" t="s">
        <v>733</v>
      </c>
      <c r="J214" s="283">
        <v>0</v>
      </c>
    </row>
    <row r="215" spans="1:10" x14ac:dyDescent="0.25">
      <c r="A215" s="282" t="s">
        <v>734</v>
      </c>
      <c r="B215" s="120">
        <v>0</v>
      </c>
      <c r="C215" s="690"/>
      <c r="D215" s="693"/>
      <c r="E215" s="690"/>
      <c r="F215" s="639"/>
      <c r="G215" s="644"/>
      <c r="I215" s="278" t="s">
        <v>734</v>
      </c>
      <c r="J215" s="283">
        <v>0</v>
      </c>
    </row>
    <row r="216" spans="1:10" x14ac:dyDescent="0.25">
      <c r="A216" s="282" t="s">
        <v>735</v>
      </c>
      <c r="B216" s="120">
        <v>0</v>
      </c>
      <c r="C216" s="691"/>
      <c r="D216" s="694"/>
      <c r="E216" s="691"/>
      <c r="F216" s="640"/>
      <c r="G216" s="645"/>
      <c r="I216" s="278" t="s">
        <v>735</v>
      </c>
      <c r="J216" s="283">
        <v>0</v>
      </c>
    </row>
    <row r="217" spans="1:10" x14ac:dyDescent="0.25">
      <c r="A217" s="282" t="s">
        <v>736</v>
      </c>
      <c r="B217" s="120">
        <v>0</v>
      </c>
      <c r="C217" s="689" t="s">
        <v>744</v>
      </c>
      <c r="D217" s="692">
        <f>+B217+B218+B219</f>
        <v>0</v>
      </c>
      <c r="E217" s="689" t="s">
        <v>747</v>
      </c>
      <c r="F217" s="638">
        <f>+D217+D220</f>
        <v>0</v>
      </c>
      <c r="G217" s="643"/>
      <c r="I217" s="278" t="s">
        <v>736</v>
      </c>
      <c r="J217" s="283">
        <v>0</v>
      </c>
    </row>
    <row r="218" spans="1:10" x14ac:dyDescent="0.25">
      <c r="A218" s="282" t="s">
        <v>737</v>
      </c>
      <c r="B218" s="120">
        <v>0</v>
      </c>
      <c r="C218" s="690"/>
      <c r="D218" s="693"/>
      <c r="E218" s="690"/>
      <c r="F218" s="639"/>
      <c r="G218" s="644"/>
      <c r="I218" s="278" t="s">
        <v>737</v>
      </c>
      <c r="J218" s="283">
        <v>0</v>
      </c>
    </row>
    <row r="219" spans="1:10" x14ac:dyDescent="0.25">
      <c r="A219" s="282" t="s">
        <v>738</v>
      </c>
      <c r="B219" s="120">
        <v>0</v>
      </c>
      <c r="C219" s="691"/>
      <c r="D219" s="694"/>
      <c r="E219" s="690"/>
      <c r="F219" s="639"/>
      <c r="G219" s="644"/>
      <c r="I219" s="278" t="s">
        <v>738</v>
      </c>
      <c r="J219" s="283">
        <v>0</v>
      </c>
    </row>
    <row r="220" spans="1:10" x14ac:dyDescent="0.25">
      <c r="A220" s="282" t="s">
        <v>739</v>
      </c>
      <c r="B220" s="120">
        <v>0</v>
      </c>
      <c r="C220" s="689" t="s">
        <v>774</v>
      </c>
      <c r="D220" s="692">
        <f>+B220+B221+B222</f>
        <v>0</v>
      </c>
      <c r="E220" s="690"/>
      <c r="F220" s="639"/>
      <c r="G220" s="644"/>
      <c r="I220" s="278" t="s">
        <v>739</v>
      </c>
      <c r="J220" s="283">
        <v>0</v>
      </c>
    </row>
    <row r="221" spans="1:10" x14ac:dyDescent="0.25">
      <c r="A221" s="282" t="s">
        <v>740</v>
      </c>
      <c r="B221" s="120">
        <v>0</v>
      </c>
      <c r="C221" s="690"/>
      <c r="D221" s="693"/>
      <c r="E221" s="690"/>
      <c r="F221" s="639"/>
      <c r="G221" s="644"/>
      <c r="I221" s="278" t="s">
        <v>740</v>
      </c>
      <c r="J221" s="283">
        <v>0</v>
      </c>
    </row>
    <row r="222" spans="1:10" x14ac:dyDescent="0.25">
      <c r="A222" s="282" t="s">
        <v>730</v>
      </c>
      <c r="B222" s="120">
        <v>0</v>
      </c>
      <c r="C222" s="691"/>
      <c r="D222" s="694"/>
      <c r="E222" s="691"/>
      <c r="F222" s="640"/>
      <c r="G222" s="645"/>
      <c r="I222" s="278" t="s">
        <v>730</v>
      </c>
      <c r="J222" s="283">
        <v>0</v>
      </c>
    </row>
    <row r="223" spans="1:10" x14ac:dyDescent="0.25">
      <c r="A223" s="279" t="s">
        <v>688</v>
      </c>
      <c r="B223" s="271">
        <f>SUM(B211:B222)</f>
        <v>0</v>
      </c>
      <c r="C223" s="279" t="s">
        <v>688</v>
      </c>
      <c r="D223" s="271">
        <f>SUM(D211:D222)</f>
        <v>0</v>
      </c>
      <c r="E223" s="279" t="s">
        <v>688</v>
      </c>
      <c r="F223" s="641">
        <f>SUM(F211:G222)</f>
        <v>0</v>
      </c>
      <c r="G223" s="688"/>
      <c r="I223" s="279" t="s">
        <v>688</v>
      </c>
      <c r="J223" s="119">
        <f>SUM(J211:J222)</f>
        <v>0</v>
      </c>
    </row>
    <row r="225" spans="1:10" ht="18.75" customHeight="1" x14ac:dyDescent="0.25">
      <c r="A225" s="280" t="s">
        <v>1018</v>
      </c>
      <c r="B225" s="281"/>
      <c r="C225" s="281"/>
      <c r="D225" s="276" t="s">
        <v>1019</v>
      </c>
      <c r="E225" s="695"/>
      <c r="F225" s="695"/>
      <c r="G225" s="695"/>
      <c r="I225" s="696" t="s">
        <v>852</v>
      </c>
      <c r="J225" s="696"/>
    </row>
    <row r="226" spans="1:10" x14ac:dyDescent="0.25">
      <c r="A226" s="697" t="s">
        <v>241</v>
      </c>
      <c r="B226" s="698"/>
      <c r="C226" s="697" t="s">
        <v>741</v>
      </c>
      <c r="D226" s="698"/>
      <c r="E226" s="697" t="s">
        <v>745</v>
      </c>
      <c r="F226" s="698"/>
      <c r="G226" s="699"/>
      <c r="I226" s="700" t="s">
        <v>241</v>
      </c>
      <c r="J226" s="700"/>
    </row>
    <row r="227" spans="1:10" x14ac:dyDescent="0.25">
      <c r="A227" s="282" t="s">
        <v>731</v>
      </c>
      <c r="B227" s="120">
        <v>0</v>
      </c>
      <c r="C227" s="689" t="s">
        <v>742</v>
      </c>
      <c r="D227" s="692">
        <f>+B227+B228+B229</f>
        <v>0</v>
      </c>
      <c r="E227" s="689" t="s">
        <v>746</v>
      </c>
      <c r="F227" s="638">
        <f>+D227+D230</f>
        <v>0</v>
      </c>
      <c r="G227" s="643"/>
      <c r="I227" s="278" t="s">
        <v>731</v>
      </c>
      <c r="J227" s="283">
        <v>0</v>
      </c>
    </row>
    <row r="228" spans="1:10" x14ac:dyDescent="0.25">
      <c r="A228" s="282" t="s">
        <v>515</v>
      </c>
      <c r="B228" s="120">
        <v>0</v>
      </c>
      <c r="C228" s="690"/>
      <c r="D228" s="693"/>
      <c r="E228" s="690"/>
      <c r="F228" s="639"/>
      <c r="G228" s="644"/>
      <c r="I228" s="278" t="s">
        <v>515</v>
      </c>
      <c r="J228" s="283">
        <v>0</v>
      </c>
    </row>
    <row r="229" spans="1:10" x14ac:dyDescent="0.25">
      <c r="A229" s="282" t="s">
        <v>732</v>
      </c>
      <c r="B229" s="120">
        <v>0</v>
      </c>
      <c r="C229" s="691"/>
      <c r="D229" s="694"/>
      <c r="E229" s="690"/>
      <c r="F229" s="639"/>
      <c r="G229" s="644"/>
      <c r="I229" s="278" t="s">
        <v>732</v>
      </c>
      <c r="J229" s="283">
        <v>0</v>
      </c>
    </row>
    <row r="230" spans="1:10" x14ac:dyDescent="0.25">
      <c r="A230" s="282" t="s">
        <v>733</v>
      </c>
      <c r="B230" s="120">
        <v>0</v>
      </c>
      <c r="C230" s="689" t="s">
        <v>743</v>
      </c>
      <c r="D230" s="692">
        <f>+B230+B231+B232</f>
        <v>0</v>
      </c>
      <c r="E230" s="690"/>
      <c r="F230" s="639"/>
      <c r="G230" s="644"/>
      <c r="I230" s="278" t="s">
        <v>733</v>
      </c>
      <c r="J230" s="283">
        <v>0</v>
      </c>
    </row>
    <row r="231" spans="1:10" x14ac:dyDescent="0.25">
      <c r="A231" s="282" t="s">
        <v>734</v>
      </c>
      <c r="B231" s="120">
        <v>0</v>
      </c>
      <c r="C231" s="690"/>
      <c r="D231" s="693"/>
      <c r="E231" s="690"/>
      <c r="F231" s="639"/>
      <c r="G231" s="644"/>
      <c r="I231" s="278" t="s">
        <v>734</v>
      </c>
      <c r="J231" s="283">
        <v>0</v>
      </c>
    </row>
    <row r="232" spans="1:10" x14ac:dyDescent="0.25">
      <c r="A232" s="282" t="s">
        <v>735</v>
      </c>
      <c r="B232" s="120">
        <v>0</v>
      </c>
      <c r="C232" s="691"/>
      <c r="D232" s="694"/>
      <c r="E232" s="691"/>
      <c r="F232" s="640"/>
      <c r="G232" s="645"/>
      <c r="I232" s="278" t="s">
        <v>735</v>
      </c>
      <c r="J232" s="283">
        <v>0</v>
      </c>
    </row>
    <row r="233" spans="1:10" x14ac:dyDescent="0.25">
      <c r="A233" s="282" t="s">
        <v>736</v>
      </c>
      <c r="B233" s="120">
        <v>0</v>
      </c>
      <c r="C233" s="689" t="s">
        <v>744</v>
      </c>
      <c r="D233" s="692">
        <f>+B233+B234+B235</f>
        <v>0</v>
      </c>
      <c r="E233" s="689" t="s">
        <v>747</v>
      </c>
      <c r="F233" s="638">
        <f>+D233+D236</f>
        <v>0</v>
      </c>
      <c r="G233" s="643"/>
      <c r="I233" s="278" t="s">
        <v>736</v>
      </c>
      <c r="J233" s="283">
        <v>0</v>
      </c>
    </row>
    <row r="234" spans="1:10" x14ac:dyDescent="0.25">
      <c r="A234" s="282" t="s">
        <v>737</v>
      </c>
      <c r="B234" s="120">
        <v>0</v>
      </c>
      <c r="C234" s="690"/>
      <c r="D234" s="693"/>
      <c r="E234" s="690"/>
      <c r="F234" s="639"/>
      <c r="G234" s="644"/>
      <c r="I234" s="278" t="s">
        <v>737</v>
      </c>
      <c r="J234" s="283">
        <v>0</v>
      </c>
    </row>
    <row r="235" spans="1:10" x14ac:dyDescent="0.25">
      <c r="A235" s="282" t="s">
        <v>738</v>
      </c>
      <c r="B235" s="120">
        <v>0</v>
      </c>
      <c r="C235" s="691"/>
      <c r="D235" s="694"/>
      <c r="E235" s="690"/>
      <c r="F235" s="639"/>
      <c r="G235" s="644"/>
      <c r="I235" s="278" t="s">
        <v>738</v>
      </c>
      <c r="J235" s="283">
        <v>0</v>
      </c>
    </row>
    <row r="236" spans="1:10" x14ac:dyDescent="0.25">
      <c r="A236" s="282" t="s">
        <v>739</v>
      </c>
      <c r="B236" s="120">
        <v>0</v>
      </c>
      <c r="C236" s="689" t="s">
        <v>774</v>
      </c>
      <c r="D236" s="692">
        <f>+B236+B237+B238</f>
        <v>0</v>
      </c>
      <c r="E236" s="690"/>
      <c r="F236" s="639"/>
      <c r="G236" s="644"/>
      <c r="I236" s="278" t="s">
        <v>739</v>
      </c>
      <c r="J236" s="283">
        <v>0</v>
      </c>
    </row>
    <row r="237" spans="1:10" x14ac:dyDescent="0.25">
      <c r="A237" s="282" t="s">
        <v>740</v>
      </c>
      <c r="B237" s="120">
        <v>0</v>
      </c>
      <c r="C237" s="690"/>
      <c r="D237" s="693"/>
      <c r="E237" s="690"/>
      <c r="F237" s="639"/>
      <c r="G237" s="644"/>
      <c r="I237" s="278" t="s">
        <v>740</v>
      </c>
      <c r="J237" s="283">
        <v>0</v>
      </c>
    </row>
    <row r="238" spans="1:10" x14ac:dyDescent="0.25">
      <c r="A238" s="282" t="s">
        <v>730</v>
      </c>
      <c r="B238" s="120">
        <v>0</v>
      </c>
      <c r="C238" s="691"/>
      <c r="D238" s="694"/>
      <c r="E238" s="691"/>
      <c r="F238" s="640"/>
      <c r="G238" s="645"/>
      <c r="I238" s="278" t="s">
        <v>730</v>
      </c>
      <c r="J238" s="283">
        <v>0</v>
      </c>
    </row>
    <row r="239" spans="1:10" x14ac:dyDescent="0.25">
      <c r="A239" s="279" t="s">
        <v>688</v>
      </c>
      <c r="B239" s="271">
        <f>SUM(B227:B238)</f>
        <v>0</v>
      </c>
      <c r="C239" s="279" t="s">
        <v>688</v>
      </c>
      <c r="D239" s="271">
        <f>SUM(D227:D238)</f>
        <v>0</v>
      </c>
      <c r="E239" s="279" t="s">
        <v>688</v>
      </c>
      <c r="F239" s="641">
        <f>SUM(F227:G238)</f>
        <v>0</v>
      </c>
      <c r="G239" s="688"/>
      <c r="I239" s="279" t="s">
        <v>688</v>
      </c>
      <c r="J239" s="119">
        <f>SUM(J227:J238)</f>
        <v>0</v>
      </c>
    </row>
    <row r="241" spans="1:10" ht="18.75" customHeight="1" x14ac:dyDescent="0.25">
      <c r="A241" s="280" t="s">
        <v>1018</v>
      </c>
      <c r="B241" s="281"/>
      <c r="C241" s="281"/>
      <c r="D241" s="276" t="s">
        <v>1019</v>
      </c>
      <c r="E241" s="695"/>
      <c r="F241" s="695"/>
      <c r="G241" s="695"/>
      <c r="I241" s="696" t="s">
        <v>852</v>
      </c>
      <c r="J241" s="696"/>
    </row>
    <row r="242" spans="1:10" x14ac:dyDescent="0.25">
      <c r="A242" s="697" t="s">
        <v>241</v>
      </c>
      <c r="B242" s="698"/>
      <c r="C242" s="697" t="s">
        <v>741</v>
      </c>
      <c r="D242" s="698"/>
      <c r="E242" s="697" t="s">
        <v>745</v>
      </c>
      <c r="F242" s="698"/>
      <c r="G242" s="699"/>
      <c r="I242" s="700" t="s">
        <v>241</v>
      </c>
      <c r="J242" s="700"/>
    </row>
    <row r="243" spans="1:10" x14ac:dyDescent="0.25">
      <c r="A243" s="282" t="s">
        <v>731</v>
      </c>
      <c r="B243" s="120">
        <v>0</v>
      </c>
      <c r="C243" s="689" t="s">
        <v>742</v>
      </c>
      <c r="D243" s="692">
        <f>+B243+B244+B245</f>
        <v>0</v>
      </c>
      <c r="E243" s="689" t="s">
        <v>746</v>
      </c>
      <c r="F243" s="638">
        <f>+D243+D246</f>
        <v>0</v>
      </c>
      <c r="G243" s="643"/>
      <c r="I243" s="278" t="s">
        <v>731</v>
      </c>
      <c r="J243" s="283">
        <v>0</v>
      </c>
    </row>
    <row r="244" spans="1:10" x14ac:dyDescent="0.25">
      <c r="A244" s="282" t="s">
        <v>515</v>
      </c>
      <c r="B244" s="120">
        <v>0</v>
      </c>
      <c r="C244" s="690"/>
      <c r="D244" s="693"/>
      <c r="E244" s="690"/>
      <c r="F244" s="639"/>
      <c r="G244" s="644"/>
      <c r="I244" s="278" t="s">
        <v>515</v>
      </c>
      <c r="J244" s="283">
        <v>0</v>
      </c>
    </row>
    <row r="245" spans="1:10" x14ac:dyDescent="0.25">
      <c r="A245" s="282" t="s">
        <v>732</v>
      </c>
      <c r="B245" s="120">
        <v>0</v>
      </c>
      <c r="C245" s="691"/>
      <c r="D245" s="694"/>
      <c r="E245" s="690"/>
      <c r="F245" s="639"/>
      <c r="G245" s="644"/>
      <c r="I245" s="278" t="s">
        <v>732</v>
      </c>
      <c r="J245" s="283">
        <v>0</v>
      </c>
    </row>
    <row r="246" spans="1:10" x14ac:dyDescent="0.25">
      <c r="A246" s="282" t="s">
        <v>733</v>
      </c>
      <c r="B246" s="120">
        <v>0</v>
      </c>
      <c r="C246" s="689" t="s">
        <v>743</v>
      </c>
      <c r="D246" s="692">
        <f>+B246+B247+B248</f>
        <v>0</v>
      </c>
      <c r="E246" s="690"/>
      <c r="F246" s="639"/>
      <c r="G246" s="644"/>
      <c r="I246" s="278" t="s">
        <v>733</v>
      </c>
      <c r="J246" s="283">
        <v>0</v>
      </c>
    </row>
    <row r="247" spans="1:10" x14ac:dyDescent="0.25">
      <c r="A247" s="282" t="s">
        <v>734</v>
      </c>
      <c r="B247" s="120">
        <v>0</v>
      </c>
      <c r="C247" s="690"/>
      <c r="D247" s="693"/>
      <c r="E247" s="690"/>
      <c r="F247" s="639"/>
      <c r="G247" s="644"/>
      <c r="I247" s="278" t="s">
        <v>734</v>
      </c>
      <c r="J247" s="283">
        <v>0</v>
      </c>
    </row>
    <row r="248" spans="1:10" x14ac:dyDescent="0.25">
      <c r="A248" s="282" t="s">
        <v>735</v>
      </c>
      <c r="B248" s="120">
        <v>0</v>
      </c>
      <c r="C248" s="691"/>
      <c r="D248" s="694"/>
      <c r="E248" s="691"/>
      <c r="F248" s="640"/>
      <c r="G248" s="645"/>
      <c r="I248" s="278" t="s">
        <v>735</v>
      </c>
      <c r="J248" s="283">
        <v>0</v>
      </c>
    </row>
    <row r="249" spans="1:10" x14ac:dyDescent="0.25">
      <c r="A249" s="282" t="s">
        <v>736</v>
      </c>
      <c r="B249" s="120">
        <v>0</v>
      </c>
      <c r="C249" s="689" t="s">
        <v>744</v>
      </c>
      <c r="D249" s="692">
        <f>+B249+B250+B251</f>
        <v>0</v>
      </c>
      <c r="E249" s="689" t="s">
        <v>747</v>
      </c>
      <c r="F249" s="638">
        <f>+D249+D252</f>
        <v>0</v>
      </c>
      <c r="G249" s="643"/>
      <c r="I249" s="278" t="s">
        <v>736</v>
      </c>
      <c r="J249" s="283">
        <v>0</v>
      </c>
    </row>
    <row r="250" spans="1:10" x14ac:dyDescent="0.25">
      <c r="A250" s="282" t="s">
        <v>737</v>
      </c>
      <c r="B250" s="120">
        <v>0</v>
      </c>
      <c r="C250" s="690"/>
      <c r="D250" s="693"/>
      <c r="E250" s="690"/>
      <c r="F250" s="639"/>
      <c r="G250" s="644"/>
      <c r="I250" s="278" t="s">
        <v>737</v>
      </c>
      <c r="J250" s="283">
        <v>0</v>
      </c>
    </row>
    <row r="251" spans="1:10" x14ac:dyDescent="0.25">
      <c r="A251" s="282" t="s">
        <v>738</v>
      </c>
      <c r="B251" s="120">
        <v>0</v>
      </c>
      <c r="C251" s="691"/>
      <c r="D251" s="694"/>
      <c r="E251" s="690"/>
      <c r="F251" s="639"/>
      <c r="G251" s="644"/>
      <c r="I251" s="278" t="s">
        <v>738</v>
      </c>
      <c r="J251" s="283">
        <v>0</v>
      </c>
    </row>
    <row r="252" spans="1:10" x14ac:dyDescent="0.25">
      <c r="A252" s="282" t="s">
        <v>739</v>
      </c>
      <c r="B252" s="120">
        <v>0</v>
      </c>
      <c r="C252" s="689" t="s">
        <v>774</v>
      </c>
      <c r="D252" s="692">
        <f>+B252+B253+B254</f>
        <v>0</v>
      </c>
      <c r="E252" s="690"/>
      <c r="F252" s="639"/>
      <c r="G252" s="644"/>
      <c r="I252" s="278" t="s">
        <v>739</v>
      </c>
      <c r="J252" s="283">
        <v>0</v>
      </c>
    </row>
    <row r="253" spans="1:10" x14ac:dyDescent="0.25">
      <c r="A253" s="282" t="s">
        <v>740</v>
      </c>
      <c r="B253" s="120">
        <v>0</v>
      </c>
      <c r="C253" s="690"/>
      <c r="D253" s="693"/>
      <c r="E253" s="690"/>
      <c r="F253" s="639"/>
      <c r="G253" s="644"/>
      <c r="I253" s="278" t="s">
        <v>740</v>
      </c>
      <c r="J253" s="283">
        <v>0</v>
      </c>
    </row>
    <row r="254" spans="1:10" x14ac:dyDescent="0.25">
      <c r="A254" s="282" t="s">
        <v>730</v>
      </c>
      <c r="B254" s="120">
        <v>0</v>
      </c>
      <c r="C254" s="691"/>
      <c r="D254" s="694"/>
      <c r="E254" s="691"/>
      <c r="F254" s="640"/>
      <c r="G254" s="645"/>
      <c r="I254" s="278" t="s">
        <v>730</v>
      </c>
      <c r="J254" s="283">
        <v>0</v>
      </c>
    </row>
    <row r="255" spans="1:10" x14ac:dyDescent="0.25">
      <c r="A255" s="279" t="s">
        <v>688</v>
      </c>
      <c r="B255" s="271">
        <f>SUM(B243:B254)</f>
        <v>0</v>
      </c>
      <c r="C255" s="279" t="s">
        <v>688</v>
      </c>
      <c r="D255" s="271">
        <f>SUM(D243:D254)</f>
        <v>0</v>
      </c>
      <c r="E255" s="279" t="s">
        <v>688</v>
      </c>
      <c r="F255" s="641">
        <f>SUM(F243:G254)</f>
        <v>0</v>
      </c>
      <c r="G255" s="688"/>
      <c r="I255" s="279" t="s">
        <v>688</v>
      </c>
      <c r="J255" s="119">
        <f>SUM(J243:J254)</f>
        <v>0</v>
      </c>
    </row>
  </sheetData>
  <sheetProtection algorithmName="SHA-512" hashValue="hajSxJ+2ioQRoRMOPdQOL2Y71XKo0ADN9jTaNdvPB5HVcFOA7xJCVR+ddBnOPLXcvpVv/kH7Xt7YtFggKPUTPA==" saltValue="vlj+FZUja74zI0FEFCewDg==" spinCount="100000" sheet="1" objects="1" scenarios="1" formatCells="0" formatColumns="0" formatRows="0" sort="0" autoFilter="0" pivotTables="0"/>
  <mergeCells count="314">
    <mergeCell ref="A1:D1"/>
    <mergeCell ref="F1:G1"/>
    <mergeCell ref="I1:J1"/>
    <mergeCell ref="K1:K15"/>
    <mergeCell ref="L1:O1"/>
    <mergeCell ref="A2:B2"/>
    <mergeCell ref="C2:D2"/>
    <mergeCell ref="E2:G2"/>
    <mergeCell ref="I2:J2"/>
    <mergeCell ref="C3:C5"/>
    <mergeCell ref="D3:D5"/>
    <mergeCell ref="E3:E8"/>
    <mergeCell ref="F3:G8"/>
    <mergeCell ref="L5:O5"/>
    <mergeCell ref="C6:C8"/>
    <mergeCell ref="D6:D8"/>
    <mergeCell ref="M6:O6"/>
    <mergeCell ref="M7:O7"/>
    <mergeCell ref="L8:O8"/>
    <mergeCell ref="C9:C11"/>
    <mergeCell ref="D9:D11"/>
    <mergeCell ref="E9:E14"/>
    <mergeCell ref="F9:G14"/>
    <mergeCell ref="M9:O9"/>
    <mergeCell ref="M10:O10"/>
    <mergeCell ref="L11:O15"/>
    <mergeCell ref="C12:C14"/>
    <mergeCell ref="D12:D14"/>
    <mergeCell ref="F15:G15"/>
    <mergeCell ref="C19:C21"/>
    <mergeCell ref="D19:D21"/>
    <mergeCell ref="E19:E24"/>
    <mergeCell ref="F19:G24"/>
    <mergeCell ref="C22:C24"/>
    <mergeCell ref="D22:D24"/>
    <mergeCell ref="E17:G17"/>
    <mergeCell ref="I17:J17"/>
    <mergeCell ref="A18:B18"/>
    <mergeCell ref="C18:D18"/>
    <mergeCell ref="E18:G18"/>
    <mergeCell ref="I18:J18"/>
    <mergeCell ref="A34:B34"/>
    <mergeCell ref="C34:D34"/>
    <mergeCell ref="E34:G34"/>
    <mergeCell ref="I34:J34"/>
    <mergeCell ref="C25:C27"/>
    <mergeCell ref="D25:D27"/>
    <mergeCell ref="E25:E30"/>
    <mergeCell ref="F25:G30"/>
    <mergeCell ref="C28:C30"/>
    <mergeCell ref="D28:D30"/>
    <mergeCell ref="C35:C37"/>
    <mergeCell ref="D35:D37"/>
    <mergeCell ref="E35:E40"/>
    <mergeCell ref="F35:G40"/>
    <mergeCell ref="C38:C40"/>
    <mergeCell ref="D38:D40"/>
    <mergeCell ref="F31:G31"/>
    <mergeCell ref="E33:G33"/>
    <mergeCell ref="I33:J33"/>
    <mergeCell ref="A50:B50"/>
    <mergeCell ref="C50:D50"/>
    <mergeCell ref="E50:G50"/>
    <mergeCell ref="I50:J50"/>
    <mergeCell ref="C41:C43"/>
    <mergeCell ref="D41:D43"/>
    <mergeCell ref="E41:E46"/>
    <mergeCell ref="F41:G46"/>
    <mergeCell ref="C44:C46"/>
    <mergeCell ref="D44:D46"/>
    <mergeCell ref="C51:C53"/>
    <mergeCell ref="D51:D53"/>
    <mergeCell ref="E51:E56"/>
    <mergeCell ref="F51:G56"/>
    <mergeCell ref="C54:C56"/>
    <mergeCell ref="D54:D56"/>
    <mergeCell ref="F47:G47"/>
    <mergeCell ref="E49:G49"/>
    <mergeCell ref="I49:J49"/>
    <mergeCell ref="A66:B66"/>
    <mergeCell ref="C66:D66"/>
    <mergeCell ref="E66:G66"/>
    <mergeCell ref="I66:J66"/>
    <mergeCell ref="C57:C59"/>
    <mergeCell ref="D57:D59"/>
    <mergeCell ref="E57:E62"/>
    <mergeCell ref="F57:G62"/>
    <mergeCell ref="C60:C62"/>
    <mergeCell ref="D60:D62"/>
    <mergeCell ref="C67:C69"/>
    <mergeCell ref="D67:D69"/>
    <mergeCell ref="E67:E72"/>
    <mergeCell ref="F67:G72"/>
    <mergeCell ref="C70:C72"/>
    <mergeCell ref="D70:D72"/>
    <mergeCell ref="F63:G63"/>
    <mergeCell ref="E65:G65"/>
    <mergeCell ref="I65:J65"/>
    <mergeCell ref="A82:B82"/>
    <mergeCell ref="C82:D82"/>
    <mergeCell ref="E82:G82"/>
    <mergeCell ref="I82:J82"/>
    <mergeCell ref="C73:C75"/>
    <mergeCell ref="D73:D75"/>
    <mergeCell ref="E73:E78"/>
    <mergeCell ref="F73:G78"/>
    <mergeCell ref="C76:C78"/>
    <mergeCell ref="D76:D78"/>
    <mergeCell ref="C83:C85"/>
    <mergeCell ref="D83:D85"/>
    <mergeCell ref="E83:E88"/>
    <mergeCell ref="F83:G88"/>
    <mergeCell ref="C86:C88"/>
    <mergeCell ref="D86:D88"/>
    <mergeCell ref="F79:G79"/>
    <mergeCell ref="E81:G81"/>
    <mergeCell ref="I81:J81"/>
    <mergeCell ref="A98:B98"/>
    <mergeCell ref="C98:D98"/>
    <mergeCell ref="E98:G98"/>
    <mergeCell ref="I98:J98"/>
    <mergeCell ref="C89:C91"/>
    <mergeCell ref="D89:D91"/>
    <mergeCell ref="E89:E94"/>
    <mergeCell ref="F89:G94"/>
    <mergeCell ref="C92:C94"/>
    <mergeCell ref="D92:D94"/>
    <mergeCell ref="C99:C101"/>
    <mergeCell ref="D99:D101"/>
    <mergeCell ref="E99:E104"/>
    <mergeCell ref="F99:G104"/>
    <mergeCell ref="C102:C104"/>
    <mergeCell ref="D102:D104"/>
    <mergeCell ref="F95:G95"/>
    <mergeCell ref="E97:G97"/>
    <mergeCell ref="I97:J97"/>
    <mergeCell ref="A114:B114"/>
    <mergeCell ref="C114:D114"/>
    <mergeCell ref="E114:G114"/>
    <mergeCell ref="I114:J114"/>
    <mergeCell ref="C105:C107"/>
    <mergeCell ref="D105:D107"/>
    <mergeCell ref="E105:E110"/>
    <mergeCell ref="F105:G110"/>
    <mergeCell ref="C108:C110"/>
    <mergeCell ref="D108:D110"/>
    <mergeCell ref="C115:C117"/>
    <mergeCell ref="D115:D117"/>
    <mergeCell ref="E115:E120"/>
    <mergeCell ref="F115:G120"/>
    <mergeCell ref="C118:C120"/>
    <mergeCell ref="D118:D120"/>
    <mergeCell ref="F111:G111"/>
    <mergeCell ref="E113:G113"/>
    <mergeCell ref="I113:J113"/>
    <mergeCell ref="A130:B130"/>
    <mergeCell ref="C130:D130"/>
    <mergeCell ref="E130:G130"/>
    <mergeCell ref="I130:J130"/>
    <mergeCell ref="C121:C123"/>
    <mergeCell ref="D121:D123"/>
    <mergeCell ref="E121:E126"/>
    <mergeCell ref="F121:G126"/>
    <mergeCell ref="C124:C126"/>
    <mergeCell ref="D124:D126"/>
    <mergeCell ref="C131:C133"/>
    <mergeCell ref="D131:D133"/>
    <mergeCell ref="E131:E136"/>
    <mergeCell ref="F131:G136"/>
    <mergeCell ref="C134:C136"/>
    <mergeCell ref="D134:D136"/>
    <mergeCell ref="F127:G127"/>
    <mergeCell ref="E129:G129"/>
    <mergeCell ref="I129:J129"/>
    <mergeCell ref="A146:B146"/>
    <mergeCell ref="C146:D146"/>
    <mergeCell ref="E146:G146"/>
    <mergeCell ref="I146:J146"/>
    <mergeCell ref="C137:C139"/>
    <mergeCell ref="D137:D139"/>
    <mergeCell ref="E137:E142"/>
    <mergeCell ref="F137:G142"/>
    <mergeCell ref="C140:C142"/>
    <mergeCell ref="D140:D142"/>
    <mergeCell ref="C147:C149"/>
    <mergeCell ref="D147:D149"/>
    <mergeCell ref="E147:E152"/>
    <mergeCell ref="F147:G152"/>
    <mergeCell ref="C150:C152"/>
    <mergeCell ref="D150:D152"/>
    <mergeCell ref="F143:G143"/>
    <mergeCell ref="E145:G145"/>
    <mergeCell ref="I145:J145"/>
    <mergeCell ref="A162:B162"/>
    <mergeCell ref="C162:D162"/>
    <mergeCell ref="E162:G162"/>
    <mergeCell ref="I162:J162"/>
    <mergeCell ref="C153:C155"/>
    <mergeCell ref="D153:D155"/>
    <mergeCell ref="E153:E158"/>
    <mergeCell ref="F153:G158"/>
    <mergeCell ref="C156:C158"/>
    <mergeCell ref="D156:D158"/>
    <mergeCell ref="C163:C165"/>
    <mergeCell ref="D163:D165"/>
    <mergeCell ref="E163:E168"/>
    <mergeCell ref="F163:G168"/>
    <mergeCell ref="C166:C168"/>
    <mergeCell ref="D166:D168"/>
    <mergeCell ref="F159:G159"/>
    <mergeCell ref="E161:G161"/>
    <mergeCell ref="I161:J161"/>
    <mergeCell ref="A178:B178"/>
    <mergeCell ref="C178:D178"/>
    <mergeCell ref="E178:G178"/>
    <mergeCell ref="I178:J178"/>
    <mergeCell ref="C169:C171"/>
    <mergeCell ref="D169:D171"/>
    <mergeCell ref="E169:E174"/>
    <mergeCell ref="F169:G174"/>
    <mergeCell ref="C172:C174"/>
    <mergeCell ref="D172:D174"/>
    <mergeCell ref="C179:C181"/>
    <mergeCell ref="D179:D181"/>
    <mergeCell ref="E179:E184"/>
    <mergeCell ref="F179:G184"/>
    <mergeCell ref="C182:C184"/>
    <mergeCell ref="D182:D184"/>
    <mergeCell ref="F175:G175"/>
    <mergeCell ref="E177:G177"/>
    <mergeCell ref="I177:J177"/>
    <mergeCell ref="A194:B194"/>
    <mergeCell ref="C194:D194"/>
    <mergeCell ref="E194:G194"/>
    <mergeCell ref="I194:J194"/>
    <mergeCell ref="C185:C187"/>
    <mergeCell ref="D185:D187"/>
    <mergeCell ref="E185:E190"/>
    <mergeCell ref="F185:G190"/>
    <mergeCell ref="C188:C190"/>
    <mergeCell ref="D188:D190"/>
    <mergeCell ref="C195:C197"/>
    <mergeCell ref="D195:D197"/>
    <mergeCell ref="E195:E200"/>
    <mergeCell ref="F195:G200"/>
    <mergeCell ref="C198:C200"/>
    <mergeCell ref="D198:D200"/>
    <mergeCell ref="F191:G191"/>
    <mergeCell ref="E193:G193"/>
    <mergeCell ref="I193:J193"/>
    <mergeCell ref="A210:B210"/>
    <mergeCell ref="C210:D210"/>
    <mergeCell ref="E210:G210"/>
    <mergeCell ref="I210:J210"/>
    <mergeCell ref="C201:C203"/>
    <mergeCell ref="D201:D203"/>
    <mergeCell ref="E201:E206"/>
    <mergeCell ref="F201:G206"/>
    <mergeCell ref="C204:C206"/>
    <mergeCell ref="D204:D206"/>
    <mergeCell ref="C211:C213"/>
    <mergeCell ref="D211:D213"/>
    <mergeCell ref="E211:E216"/>
    <mergeCell ref="F211:G216"/>
    <mergeCell ref="C214:C216"/>
    <mergeCell ref="D214:D216"/>
    <mergeCell ref="F207:G207"/>
    <mergeCell ref="E209:G209"/>
    <mergeCell ref="I209:J209"/>
    <mergeCell ref="A226:B226"/>
    <mergeCell ref="C226:D226"/>
    <mergeCell ref="E226:G226"/>
    <mergeCell ref="I226:J226"/>
    <mergeCell ref="C217:C219"/>
    <mergeCell ref="D217:D219"/>
    <mergeCell ref="E217:E222"/>
    <mergeCell ref="F217:G222"/>
    <mergeCell ref="C220:C222"/>
    <mergeCell ref="D220:D222"/>
    <mergeCell ref="C227:C229"/>
    <mergeCell ref="D227:D229"/>
    <mergeCell ref="E227:E232"/>
    <mergeCell ref="F227:G232"/>
    <mergeCell ref="C230:C232"/>
    <mergeCell ref="D230:D232"/>
    <mergeCell ref="F223:G223"/>
    <mergeCell ref="E225:G225"/>
    <mergeCell ref="I225:J225"/>
    <mergeCell ref="F239:G239"/>
    <mergeCell ref="E241:G241"/>
    <mergeCell ref="I241:J241"/>
    <mergeCell ref="A242:B242"/>
    <mergeCell ref="C242:D242"/>
    <mergeCell ref="E242:G242"/>
    <mergeCell ref="I242:J242"/>
    <mergeCell ref="C233:C235"/>
    <mergeCell ref="D233:D235"/>
    <mergeCell ref="E233:E238"/>
    <mergeCell ref="F233:G238"/>
    <mergeCell ref="C236:C238"/>
    <mergeCell ref="D236:D238"/>
    <mergeCell ref="F255:G255"/>
    <mergeCell ref="C249:C251"/>
    <mergeCell ref="D249:D251"/>
    <mergeCell ref="E249:E254"/>
    <mergeCell ref="F249:G254"/>
    <mergeCell ref="C252:C254"/>
    <mergeCell ref="D252:D254"/>
    <mergeCell ref="C243:C245"/>
    <mergeCell ref="D243:D245"/>
    <mergeCell ref="E243:E248"/>
    <mergeCell ref="F243:G248"/>
    <mergeCell ref="C246:C248"/>
    <mergeCell ref="D246:D248"/>
  </mergeCells>
  <pageMargins left="0.7" right="0.7" top="0.75" bottom="0.75" header="0.3" footer="0.3"/>
  <pageSetup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0C4B8-3532-453A-BC71-0B9396775E5C}">
  <sheetPr codeName="Sheet30"/>
  <dimension ref="A1:O255"/>
  <sheetViews>
    <sheetView zoomScaleNormal="100" workbookViewId="0">
      <selection activeCell="E17" sqref="E17:G17"/>
    </sheetView>
  </sheetViews>
  <sheetFormatPr defaultRowHeight="15" x14ac:dyDescent="0.25"/>
  <cols>
    <col min="1" max="1" width="10.85546875" customWidth="1"/>
    <col min="2" max="2" width="19.140625" customWidth="1"/>
    <col min="3" max="3" width="7.140625" bestFit="1" customWidth="1"/>
    <col min="4" max="4" width="21.85546875" customWidth="1"/>
    <col min="5" max="5" width="7.140625" bestFit="1" customWidth="1"/>
    <col min="6" max="6" width="12.5703125" customWidth="1"/>
    <col min="7" max="7" width="10.85546875" customWidth="1"/>
    <col min="9" max="9" width="10.85546875" customWidth="1"/>
    <col min="10" max="10" width="20.140625" customWidth="1"/>
    <col min="11" max="11" width="4.42578125" customWidth="1"/>
    <col min="12" max="12" width="24.85546875" customWidth="1"/>
    <col min="13" max="14" width="10" bestFit="1" customWidth="1"/>
    <col min="15" max="15" width="10.28515625" customWidth="1"/>
  </cols>
  <sheetData>
    <row r="1" spans="1:15" ht="33" customHeight="1" x14ac:dyDescent="0.25">
      <c r="A1" s="705" t="s">
        <v>1014</v>
      </c>
      <c r="B1" s="706"/>
      <c r="C1" s="706"/>
      <c r="D1" s="707"/>
      <c r="E1" s="276" t="s">
        <v>1015</v>
      </c>
      <c r="F1" s="708" t="s">
        <v>1020</v>
      </c>
      <c r="G1" s="709"/>
      <c r="I1" s="696" t="s">
        <v>1017</v>
      </c>
      <c r="J1" s="696"/>
      <c r="K1" s="653"/>
      <c r="L1" s="705" t="s">
        <v>859</v>
      </c>
      <c r="M1" s="706"/>
      <c r="N1" s="706"/>
      <c r="O1" s="707"/>
    </row>
    <row r="2" spans="1:15" x14ac:dyDescent="0.25">
      <c r="A2" s="697" t="s">
        <v>241</v>
      </c>
      <c r="B2" s="698"/>
      <c r="C2" s="697" t="s">
        <v>741</v>
      </c>
      <c r="D2" s="698"/>
      <c r="E2" s="697" t="s">
        <v>745</v>
      </c>
      <c r="F2" s="698"/>
      <c r="G2" s="699"/>
      <c r="I2" s="700" t="s">
        <v>241</v>
      </c>
      <c r="J2" s="700"/>
      <c r="K2" s="653"/>
      <c r="L2" s="270" t="s">
        <v>863</v>
      </c>
      <c r="M2" s="272" t="s">
        <v>860</v>
      </c>
      <c r="N2" s="272" t="s">
        <v>861</v>
      </c>
      <c r="O2" s="272" t="s">
        <v>862</v>
      </c>
    </row>
    <row r="3" spans="1:15" x14ac:dyDescent="0.25">
      <c r="A3" s="72" t="s">
        <v>731</v>
      </c>
      <c r="B3" s="277">
        <f>B19+B35+B51+B67+B83+B99+B115+B131+B147+B163+B179+B195+B211+B227+B243</f>
        <v>0</v>
      </c>
      <c r="C3" s="635" t="s">
        <v>742</v>
      </c>
      <c r="D3" s="702">
        <f>D19+D35+D51+D67+D83+D99+D115+D131+D147+D163+D179+D195+D211+D227+D243</f>
        <v>0</v>
      </c>
      <c r="E3" s="635" t="s">
        <v>746</v>
      </c>
      <c r="F3" s="710">
        <f>F19+F35+F51+F67+F83+F99+F115+F131+F147+F163+F179+F195+F211+F227+F243</f>
        <v>0</v>
      </c>
      <c r="G3" s="711"/>
      <c r="I3" s="278" t="s">
        <v>731</v>
      </c>
      <c r="J3" s="277">
        <f>J19+J35+J51+J67+J83+J99+J115+J131+J147+J163+J179+J195+J211+J227+J243</f>
        <v>0</v>
      </c>
      <c r="K3" s="653"/>
      <c r="L3" s="75" t="s">
        <v>853</v>
      </c>
      <c r="M3" s="77"/>
      <c r="N3" s="77"/>
      <c r="O3" s="74">
        <f>N3-M3</f>
        <v>0</v>
      </c>
    </row>
    <row r="4" spans="1:15" x14ac:dyDescent="0.25">
      <c r="A4" s="72" t="s">
        <v>515</v>
      </c>
      <c r="B4" s="277">
        <f t="shared" ref="B4:B14" si="0">B20+B36+B52+B68+B84+B100+B116+B132+B148+B164+B180+B196+B212+B228+B244</f>
        <v>0</v>
      </c>
      <c r="C4" s="636"/>
      <c r="D4" s="703"/>
      <c r="E4" s="636"/>
      <c r="F4" s="712"/>
      <c r="G4" s="713"/>
      <c r="I4" s="278" t="s">
        <v>515</v>
      </c>
      <c r="J4" s="277">
        <f t="shared" ref="J4:J14" si="1">J20+J36+J52+J68+J84+J100+J116+J132+J148+J164+J180+J196+J212+J228+J244</f>
        <v>0</v>
      </c>
      <c r="K4" s="653"/>
      <c r="L4" s="75" t="s">
        <v>854</v>
      </c>
      <c r="M4" s="77"/>
      <c r="N4" s="77"/>
      <c r="O4" s="74">
        <f>N4-M4</f>
        <v>0</v>
      </c>
    </row>
    <row r="5" spans="1:15" x14ac:dyDescent="0.25">
      <c r="A5" s="72" t="s">
        <v>732</v>
      </c>
      <c r="B5" s="277">
        <f t="shared" si="0"/>
        <v>0</v>
      </c>
      <c r="C5" s="637"/>
      <c r="D5" s="704"/>
      <c r="E5" s="636"/>
      <c r="F5" s="712"/>
      <c r="G5" s="713"/>
      <c r="I5" s="278" t="s">
        <v>732</v>
      </c>
      <c r="J5" s="277">
        <f t="shared" si="1"/>
        <v>0</v>
      </c>
      <c r="K5" s="654"/>
      <c r="L5" s="647"/>
      <c r="M5" s="647"/>
      <c r="N5" s="647"/>
      <c r="O5" s="647"/>
    </row>
    <row r="6" spans="1:15" x14ac:dyDescent="0.25">
      <c r="A6" s="72" t="s">
        <v>733</v>
      </c>
      <c r="B6" s="277">
        <f t="shared" si="0"/>
        <v>0</v>
      </c>
      <c r="C6" s="635" t="s">
        <v>743</v>
      </c>
      <c r="D6" s="702">
        <f t="shared" ref="D6" si="2">D22+D38+D54+D70+D86+D102+D118+D134+D150+D166+D182+D198+D214+D230+D246</f>
        <v>0</v>
      </c>
      <c r="E6" s="636"/>
      <c r="F6" s="712"/>
      <c r="G6" s="713"/>
      <c r="I6" s="278" t="s">
        <v>733</v>
      </c>
      <c r="J6" s="277">
        <f t="shared" si="1"/>
        <v>0</v>
      </c>
      <c r="K6" s="653"/>
      <c r="L6" s="118" t="s">
        <v>858</v>
      </c>
      <c r="M6" s="655"/>
      <c r="N6" s="656"/>
      <c r="O6" s="657"/>
    </row>
    <row r="7" spans="1:15" x14ac:dyDescent="0.25">
      <c r="A7" s="72" t="s">
        <v>734</v>
      </c>
      <c r="B7" s="277">
        <f t="shared" si="0"/>
        <v>0</v>
      </c>
      <c r="C7" s="636"/>
      <c r="D7" s="703"/>
      <c r="E7" s="636"/>
      <c r="F7" s="712"/>
      <c r="G7" s="713"/>
      <c r="I7" s="278" t="s">
        <v>734</v>
      </c>
      <c r="J7" s="277">
        <f t="shared" si="1"/>
        <v>0</v>
      </c>
      <c r="K7" s="653"/>
      <c r="L7" s="118" t="s">
        <v>857</v>
      </c>
      <c r="M7" s="655"/>
      <c r="N7" s="656"/>
      <c r="O7" s="657"/>
    </row>
    <row r="8" spans="1:15" x14ac:dyDescent="0.25">
      <c r="A8" s="72" t="s">
        <v>735</v>
      </c>
      <c r="B8" s="277">
        <f t="shared" si="0"/>
        <v>0</v>
      </c>
      <c r="C8" s="637"/>
      <c r="D8" s="704"/>
      <c r="E8" s="637"/>
      <c r="F8" s="714"/>
      <c r="G8" s="715"/>
      <c r="I8" s="278" t="s">
        <v>735</v>
      </c>
      <c r="J8" s="277">
        <f t="shared" si="1"/>
        <v>0</v>
      </c>
      <c r="K8" s="654"/>
      <c r="L8" s="647"/>
      <c r="M8" s="647"/>
      <c r="N8" s="647"/>
      <c r="O8" s="647"/>
    </row>
    <row r="9" spans="1:15" x14ac:dyDescent="0.25">
      <c r="A9" s="72" t="s">
        <v>736</v>
      </c>
      <c r="B9" s="277">
        <f t="shared" si="0"/>
        <v>0</v>
      </c>
      <c r="C9" s="635" t="s">
        <v>744</v>
      </c>
      <c r="D9" s="702">
        <f t="shared" ref="D9" si="3">D25+D41+D57+D73+D89+D105+D121+D137+D153+D169+D185+D201+D217+D233+D249</f>
        <v>0</v>
      </c>
      <c r="E9" s="635" t="s">
        <v>747</v>
      </c>
      <c r="F9" s="710">
        <f>F25+F41+F57+F73+F89+F105+F121+F137+F153+F169+F185+F201+F217+F233+F249</f>
        <v>0</v>
      </c>
      <c r="G9" s="711"/>
      <c r="I9" s="278" t="s">
        <v>736</v>
      </c>
      <c r="J9" s="277">
        <f t="shared" si="1"/>
        <v>0</v>
      </c>
      <c r="K9" s="653"/>
      <c r="L9" s="141" t="s">
        <v>856</v>
      </c>
      <c r="M9" s="658" t="e">
        <f>(M6/B15)*O3</f>
        <v>#DIV/0!</v>
      </c>
      <c r="N9" s="658"/>
      <c r="O9" s="658"/>
    </row>
    <row r="10" spans="1:15" x14ac:dyDescent="0.25">
      <c r="A10" s="72" t="s">
        <v>737</v>
      </c>
      <c r="B10" s="277">
        <f t="shared" si="0"/>
        <v>0</v>
      </c>
      <c r="C10" s="636"/>
      <c r="D10" s="703"/>
      <c r="E10" s="636"/>
      <c r="F10" s="712"/>
      <c r="G10" s="713"/>
      <c r="I10" s="278" t="s">
        <v>737</v>
      </c>
      <c r="J10" s="277">
        <f t="shared" si="1"/>
        <v>0</v>
      </c>
      <c r="K10" s="653"/>
      <c r="L10" s="141" t="s">
        <v>855</v>
      </c>
      <c r="M10" s="658" t="e">
        <f>(M7/J15)*O4</f>
        <v>#DIV/0!</v>
      </c>
      <c r="N10" s="658"/>
      <c r="O10" s="658"/>
    </row>
    <row r="11" spans="1:15" x14ac:dyDescent="0.25">
      <c r="A11" s="72" t="s">
        <v>738</v>
      </c>
      <c r="B11" s="277">
        <f t="shared" si="0"/>
        <v>0</v>
      </c>
      <c r="C11" s="637"/>
      <c r="D11" s="704"/>
      <c r="E11" s="636"/>
      <c r="F11" s="712"/>
      <c r="G11" s="713"/>
      <c r="I11" s="278" t="s">
        <v>738</v>
      </c>
      <c r="J11" s="277">
        <f t="shared" si="1"/>
        <v>0</v>
      </c>
      <c r="K11" s="654"/>
      <c r="L11" s="701"/>
      <c r="M11" s="701"/>
      <c r="N11" s="701"/>
      <c r="O11" s="701"/>
    </row>
    <row r="12" spans="1:15" x14ac:dyDescent="0.25">
      <c r="A12" s="72" t="s">
        <v>739</v>
      </c>
      <c r="B12" s="277">
        <f t="shared" si="0"/>
        <v>0</v>
      </c>
      <c r="C12" s="635" t="s">
        <v>774</v>
      </c>
      <c r="D12" s="702">
        <f t="shared" ref="D12" si="4">D28+D44+D60+D76+D92+D108+D124+D140+D156+D172+D188+D204+D220+D236+D252</f>
        <v>0</v>
      </c>
      <c r="E12" s="636"/>
      <c r="F12" s="712"/>
      <c r="G12" s="713"/>
      <c r="I12" s="278" t="s">
        <v>739</v>
      </c>
      <c r="J12" s="277">
        <f t="shared" si="1"/>
        <v>0</v>
      </c>
      <c r="K12" s="654"/>
      <c r="L12" s="701"/>
      <c r="M12" s="701"/>
      <c r="N12" s="701"/>
      <c r="O12" s="701"/>
    </row>
    <row r="13" spans="1:15" x14ac:dyDescent="0.25">
      <c r="A13" s="72" t="s">
        <v>740</v>
      </c>
      <c r="B13" s="277">
        <f t="shared" si="0"/>
        <v>0</v>
      </c>
      <c r="C13" s="636"/>
      <c r="D13" s="703"/>
      <c r="E13" s="636"/>
      <c r="F13" s="712"/>
      <c r="G13" s="713"/>
      <c r="I13" s="278" t="s">
        <v>740</v>
      </c>
      <c r="J13" s="277">
        <f t="shared" si="1"/>
        <v>0</v>
      </c>
      <c r="K13" s="654"/>
      <c r="L13" s="701"/>
      <c r="M13" s="701"/>
      <c r="N13" s="701"/>
      <c r="O13" s="701"/>
    </row>
    <row r="14" spans="1:15" x14ac:dyDescent="0.25">
      <c r="A14" s="72" t="s">
        <v>730</v>
      </c>
      <c r="B14" s="277">
        <f t="shared" si="0"/>
        <v>0</v>
      </c>
      <c r="C14" s="637"/>
      <c r="D14" s="704"/>
      <c r="E14" s="637"/>
      <c r="F14" s="714"/>
      <c r="G14" s="715"/>
      <c r="I14" s="278" t="s">
        <v>730</v>
      </c>
      <c r="J14" s="277">
        <f t="shared" si="1"/>
        <v>0</v>
      </c>
      <c r="K14" s="654"/>
      <c r="L14" s="701"/>
      <c r="M14" s="701"/>
      <c r="N14" s="701"/>
      <c r="O14" s="701"/>
    </row>
    <row r="15" spans="1:15" x14ac:dyDescent="0.25">
      <c r="A15" s="279" t="s">
        <v>688</v>
      </c>
      <c r="B15" s="271">
        <f>SUM(B3:B14)</f>
        <v>0</v>
      </c>
      <c r="C15" s="279" t="s">
        <v>688</v>
      </c>
      <c r="D15" s="271">
        <f>SUM(D3:D14)</f>
        <v>0</v>
      </c>
      <c r="E15" s="279" t="s">
        <v>688</v>
      </c>
      <c r="F15" s="641">
        <f>SUM(F3:G14)</f>
        <v>0</v>
      </c>
      <c r="G15" s="642"/>
      <c r="I15" s="279" t="s">
        <v>688</v>
      </c>
      <c r="J15" s="119">
        <f>SUM(J3:J14)</f>
        <v>0</v>
      </c>
      <c r="K15" s="654"/>
      <c r="L15" s="701"/>
      <c r="M15" s="701"/>
      <c r="N15" s="701"/>
      <c r="O15" s="701"/>
    </row>
    <row r="17" spans="1:10" ht="18.75" customHeight="1" x14ac:dyDescent="0.25">
      <c r="A17" s="280" t="s">
        <v>1018</v>
      </c>
      <c r="B17" s="281"/>
      <c r="C17" s="281"/>
      <c r="D17" s="276" t="s">
        <v>1019</v>
      </c>
      <c r="E17" s="695"/>
      <c r="F17" s="695"/>
      <c r="G17" s="695"/>
      <c r="I17" s="696" t="s">
        <v>852</v>
      </c>
      <c r="J17" s="696"/>
    </row>
    <row r="18" spans="1:10" x14ac:dyDescent="0.25">
      <c r="A18" s="697" t="s">
        <v>241</v>
      </c>
      <c r="B18" s="698"/>
      <c r="C18" s="697" t="s">
        <v>741</v>
      </c>
      <c r="D18" s="698"/>
      <c r="E18" s="697" t="s">
        <v>745</v>
      </c>
      <c r="F18" s="698"/>
      <c r="G18" s="699"/>
      <c r="I18" s="700" t="s">
        <v>241</v>
      </c>
      <c r="J18" s="700"/>
    </row>
    <row r="19" spans="1:10" x14ac:dyDescent="0.25">
      <c r="A19" s="282" t="s">
        <v>731</v>
      </c>
      <c r="B19" s="120">
        <v>0</v>
      </c>
      <c r="C19" s="689" t="s">
        <v>742</v>
      </c>
      <c r="D19" s="692">
        <f>B19+B20+B21</f>
        <v>0</v>
      </c>
      <c r="E19" s="689" t="s">
        <v>746</v>
      </c>
      <c r="F19" s="638">
        <f>+D19+D22</f>
        <v>0</v>
      </c>
      <c r="G19" s="643"/>
      <c r="I19" s="278" t="s">
        <v>731</v>
      </c>
      <c r="J19" s="283">
        <v>0</v>
      </c>
    </row>
    <row r="20" spans="1:10" x14ac:dyDescent="0.25">
      <c r="A20" s="282" t="s">
        <v>515</v>
      </c>
      <c r="B20" s="120">
        <v>0</v>
      </c>
      <c r="C20" s="690"/>
      <c r="D20" s="693"/>
      <c r="E20" s="690"/>
      <c r="F20" s="639"/>
      <c r="G20" s="644"/>
      <c r="I20" s="278" t="s">
        <v>515</v>
      </c>
      <c r="J20" s="283">
        <v>0</v>
      </c>
    </row>
    <row r="21" spans="1:10" x14ac:dyDescent="0.25">
      <c r="A21" s="282" t="s">
        <v>732</v>
      </c>
      <c r="B21" s="120">
        <v>0</v>
      </c>
      <c r="C21" s="691"/>
      <c r="D21" s="694"/>
      <c r="E21" s="690"/>
      <c r="F21" s="639"/>
      <c r="G21" s="644"/>
      <c r="I21" s="278" t="s">
        <v>732</v>
      </c>
      <c r="J21" s="283">
        <v>0</v>
      </c>
    </row>
    <row r="22" spans="1:10" x14ac:dyDescent="0.25">
      <c r="A22" s="282" t="s">
        <v>733</v>
      </c>
      <c r="B22" s="120">
        <v>0</v>
      </c>
      <c r="C22" s="689" t="s">
        <v>743</v>
      </c>
      <c r="D22" s="692">
        <f>B22+B23+B24</f>
        <v>0</v>
      </c>
      <c r="E22" s="690"/>
      <c r="F22" s="639"/>
      <c r="G22" s="644"/>
      <c r="I22" s="278" t="s">
        <v>733</v>
      </c>
      <c r="J22" s="283">
        <v>0</v>
      </c>
    </row>
    <row r="23" spans="1:10" x14ac:dyDescent="0.25">
      <c r="A23" s="282" t="s">
        <v>734</v>
      </c>
      <c r="B23" s="120">
        <v>0</v>
      </c>
      <c r="C23" s="690"/>
      <c r="D23" s="693"/>
      <c r="E23" s="690"/>
      <c r="F23" s="639"/>
      <c r="G23" s="644"/>
      <c r="I23" s="278" t="s">
        <v>734</v>
      </c>
      <c r="J23" s="283">
        <v>0</v>
      </c>
    </row>
    <row r="24" spans="1:10" x14ac:dyDescent="0.25">
      <c r="A24" s="282" t="s">
        <v>735</v>
      </c>
      <c r="B24" s="120">
        <v>0</v>
      </c>
      <c r="C24" s="691"/>
      <c r="D24" s="694"/>
      <c r="E24" s="691"/>
      <c r="F24" s="640"/>
      <c r="G24" s="645"/>
      <c r="I24" s="278" t="s">
        <v>735</v>
      </c>
      <c r="J24" s="283">
        <v>0</v>
      </c>
    </row>
    <row r="25" spans="1:10" x14ac:dyDescent="0.25">
      <c r="A25" s="282" t="s">
        <v>736</v>
      </c>
      <c r="B25" s="120">
        <v>0</v>
      </c>
      <c r="C25" s="689" t="s">
        <v>744</v>
      </c>
      <c r="D25" s="692">
        <f>B25+B26+B27</f>
        <v>0</v>
      </c>
      <c r="E25" s="689" t="s">
        <v>747</v>
      </c>
      <c r="F25" s="638">
        <f>+D25+D28</f>
        <v>0</v>
      </c>
      <c r="G25" s="643"/>
      <c r="I25" s="278" t="s">
        <v>736</v>
      </c>
      <c r="J25" s="283">
        <v>0</v>
      </c>
    </row>
    <row r="26" spans="1:10" x14ac:dyDescent="0.25">
      <c r="A26" s="282" t="s">
        <v>737</v>
      </c>
      <c r="B26" s="120">
        <v>0</v>
      </c>
      <c r="C26" s="690"/>
      <c r="D26" s="693"/>
      <c r="E26" s="690"/>
      <c r="F26" s="639"/>
      <c r="G26" s="644"/>
      <c r="I26" s="278" t="s">
        <v>737</v>
      </c>
      <c r="J26" s="283">
        <v>0</v>
      </c>
    </row>
    <row r="27" spans="1:10" x14ac:dyDescent="0.25">
      <c r="A27" s="282" t="s">
        <v>738</v>
      </c>
      <c r="B27" s="120">
        <v>0</v>
      </c>
      <c r="C27" s="691"/>
      <c r="D27" s="694"/>
      <c r="E27" s="690"/>
      <c r="F27" s="639"/>
      <c r="G27" s="644"/>
      <c r="I27" s="278" t="s">
        <v>738</v>
      </c>
      <c r="J27" s="283">
        <v>0</v>
      </c>
    </row>
    <row r="28" spans="1:10" x14ac:dyDescent="0.25">
      <c r="A28" s="282" t="s">
        <v>739</v>
      </c>
      <c r="B28" s="120">
        <v>0</v>
      </c>
      <c r="C28" s="689" t="s">
        <v>774</v>
      </c>
      <c r="D28" s="692">
        <f>B28+B29+B30</f>
        <v>0</v>
      </c>
      <c r="E28" s="690"/>
      <c r="F28" s="639"/>
      <c r="G28" s="644"/>
      <c r="I28" s="278" t="s">
        <v>739</v>
      </c>
      <c r="J28" s="283">
        <v>0</v>
      </c>
    </row>
    <row r="29" spans="1:10" x14ac:dyDescent="0.25">
      <c r="A29" s="282" t="s">
        <v>740</v>
      </c>
      <c r="B29" s="120">
        <v>0</v>
      </c>
      <c r="C29" s="690"/>
      <c r="D29" s="693"/>
      <c r="E29" s="690"/>
      <c r="F29" s="639"/>
      <c r="G29" s="644"/>
      <c r="I29" s="278" t="s">
        <v>740</v>
      </c>
      <c r="J29" s="283">
        <v>0</v>
      </c>
    </row>
    <row r="30" spans="1:10" x14ac:dyDescent="0.25">
      <c r="A30" s="282" t="s">
        <v>730</v>
      </c>
      <c r="B30" s="120">
        <v>0</v>
      </c>
      <c r="C30" s="691"/>
      <c r="D30" s="694"/>
      <c r="E30" s="691"/>
      <c r="F30" s="640"/>
      <c r="G30" s="645"/>
      <c r="I30" s="278" t="s">
        <v>730</v>
      </c>
      <c r="J30" s="283">
        <v>0</v>
      </c>
    </row>
    <row r="31" spans="1:10" x14ac:dyDescent="0.25">
      <c r="A31" s="279" t="s">
        <v>688</v>
      </c>
      <c r="B31" s="271">
        <f>SUM(B19:B30)</f>
        <v>0</v>
      </c>
      <c r="C31" s="279" t="s">
        <v>688</v>
      </c>
      <c r="D31" s="271">
        <f>SUM(D19:D30)</f>
        <v>0</v>
      </c>
      <c r="E31" s="279" t="s">
        <v>688</v>
      </c>
      <c r="F31" s="641">
        <f>SUM(F19:G30)</f>
        <v>0</v>
      </c>
      <c r="G31" s="688"/>
      <c r="I31" s="279" t="s">
        <v>688</v>
      </c>
      <c r="J31" s="119">
        <f>SUM(J19:J30)</f>
        <v>0</v>
      </c>
    </row>
    <row r="33" spans="1:10" ht="18.75" customHeight="1" x14ac:dyDescent="0.25">
      <c r="A33" s="280" t="s">
        <v>1018</v>
      </c>
      <c r="B33" s="281"/>
      <c r="C33" s="281"/>
      <c r="D33" s="276" t="s">
        <v>1019</v>
      </c>
      <c r="E33" s="695"/>
      <c r="F33" s="695"/>
      <c r="G33" s="695"/>
      <c r="I33" s="696" t="s">
        <v>852</v>
      </c>
      <c r="J33" s="696"/>
    </row>
    <row r="34" spans="1:10" x14ac:dyDescent="0.25">
      <c r="A34" s="697" t="s">
        <v>241</v>
      </c>
      <c r="B34" s="698"/>
      <c r="C34" s="697" t="s">
        <v>741</v>
      </c>
      <c r="D34" s="698"/>
      <c r="E34" s="697" t="s">
        <v>745</v>
      </c>
      <c r="F34" s="698"/>
      <c r="G34" s="699"/>
      <c r="I34" s="700" t="s">
        <v>241</v>
      </c>
      <c r="J34" s="700"/>
    </row>
    <row r="35" spans="1:10" x14ac:dyDescent="0.25">
      <c r="A35" s="282" t="s">
        <v>731</v>
      </c>
      <c r="B35" s="120">
        <v>0</v>
      </c>
      <c r="C35" s="689" t="s">
        <v>742</v>
      </c>
      <c r="D35" s="692">
        <f>+B35+B36+B37</f>
        <v>0</v>
      </c>
      <c r="E35" s="689" t="s">
        <v>746</v>
      </c>
      <c r="F35" s="638">
        <f>+D35+D38</f>
        <v>0</v>
      </c>
      <c r="G35" s="643"/>
      <c r="I35" s="278" t="s">
        <v>731</v>
      </c>
      <c r="J35" s="283">
        <v>0</v>
      </c>
    </row>
    <row r="36" spans="1:10" x14ac:dyDescent="0.25">
      <c r="A36" s="282" t="s">
        <v>515</v>
      </c>
      <c r="B36" s="120">
        <v>0</v>
      </c>
      <c r="C36" s="690"/>
      <c r="D36" s="693"/>
      <c r="E36" s="690"/>
      <c r="F36" s="639"/>
      <c r="G36" s="644"/>
      <c r="I36" s="278" t="s">
        <v>515</v>
      </c>
      <c r="J36" s="283">
        <v>0</v>
      </c>
    </row>
    <row r="37" spans="1:10" x14ac:dyDescent="0.25">
      <c r="A37" s="282" t="s">
        <v>732</v>
      </c>
      <c r="B37" s="120">
        <v>0</v>
      </c>
      <c r="C37" s="691"/>
      <c r="D37" s="694"/>
      <c r="E37" s="690"/>
      <c r="F37" s="639"/>
      <c r="G37" s="644"/>
      <c r="I37" s="278" t="s">
        <v>732</v>
      </c>
      <c r="J37" s="283">
        <v>0</v>
      </c>
    </row>
    <row r="38" spans="1:10" x14ac:dyDescent="0.25">
      <c r="A38" s="282" t="s">
        <v>733</v>
      </c>
      <c r="B38" s="120">
        <v>0</v>
      </c>
      <c r="C38" s="689" t="s">
        <v>743</v>
      </c>
      <c r="D38" s="692">
        <f>+B38+B39+B40</f>
        <v>0</v>
      </c>
      <c r="E38" s="690"/>
      <c r="F38" s="639"/>
      <c r="G38" s="644"/>
      <c r="I38" s="278" t="s">
        <v>733</v>
      </c>
      <c r="J38" s="283">
        <v>0</v>
      </c>
    </row>
    <row r="39" spans="1:10" x14ac:dyDescent="0.25">
      <c r="A39" s="282" t="s">
        <v>734</v>
      </c>
      <c r="B39" s="120">
        <v>0</v>
      </c>
      <c r="C39" s="690"/>
      <c r="D39" s="693"/>
      <c r="E39" s="690"/>
      <c r="F39" s="639"/>
      <c r="G39" s="644"/>
      <c r="I39" s="278" t="s">
        <v>734</v>
      </c>
      <c r="J39" s="283">
        <v>0</v>
      </c>
    </row>
    <row r="40" spans="1:10" x14ac:dyDescent="0.25">
      <c r="A40" s="282" t="s">
        <v>735</v>
      </c>
      <c r="B40" s="120">
        <v>0</v>
      </c>
      <c r="C40" s="691"/>
      <c r="D40" s="694"/>
      <c r="E40" s="691"/>
      <c r="F40" s="640"/>
      <c r="G40" s="645"/>
      <c r="I40" s="278" t="s">
        <v>735</v>
      </c>
      <c r="J40" s="283">
        <v>0</v>
      </c>
    </row>
    <row r="41" spans="1:10" x14ac:dyDescent="0.25">
      <c r="A41" s="282" t="s">
        <v>736</v>
      </c>
      <c r="B41" s="120">
        <v>0</v>
      </c>
      <c r="C41" s="689" t="s">
        <v>744</v>
      </c>
      <c r="D41" s="692">
        <f>+B41+B42+B43</f>
        <v>0</v>
      </c>
      <c r="E41" s="689" t="s">
        <v>747</v>
      </c>
      <c r="F41" s="638">
        <f>+D41+D44</f>
        <v>0</v>
      </c>
      <c r="G41" s="643"/>
      <c r="I41" s="278" t="s">
        <v>736</v>
      </c>
      <c r="J41" s="283">
        <v>0</v>
      </c>
    </row>
    <row r="42" spans="1:10" x14ac:dyDescent="0.25">
      <c r="A42" s="282" t="s">
        <v>737</v>
      </c>
      <c r="B42" s="120">
        <v>0</v>
      </c>
      <c r="C42" s="690"/>
      <c r="D42" s="693"/>
      <c r="E42" s="690"/>
      <c r="F42" s="639"/>
      <c r="G42" s="644"/>
      <c r="I42" s="278" t="s">
        <v>737</v>
      </c>
      <c r="J42" s="283">
        <v>0</v>
      </c>
    </row>
    <row r="43" spans="1:10" x14ac:dyDescent="0.25">
      <c r="A43" s="282" t="s">
        <v>738</v>
      </c>
      <c r="B43" s="120">
        <v>0</v>
      </c>
      <c r="C43" s="691"/>
      <c r="D43" s="694"/>
      <c r="E43" s="690"/>
      <c r="F43" s="639"/>
      <c r="G43" s="644"/>
      <c r="I43" s="278" t="s">
        <v>738</v>
      </c>
      <c r="J43" s="283">
        <v>0</v>
      </c>
    </row>
    <row r="44" spans="1:10" x14ac:dyDescent="0.25">
      <c r="A44" s="282" t="s">
        <v>739</v>
      </c>
      <c r="B44" s="120">
        <v>0</v>
      </c>
      <c r="C44" s="689" t="s">
        <v>774</v>
      </c>
      <c r="D44" s="692">
        <f>+B44+B45+B46</f>
        <v>0</v>
      </c>
      <c r="E44" s="690"/>
      <c r="F44" s="639"/>
      <c r="G44" s="644"/>
      <c r="I44" s="278" t="s">
        <v>739</v>
      </c>
      <c r="J44" s="283">
        <v>0</v>
      </c>
    </row>
    <row r="45" spans="1:10" x14ac:dyDescent="0.25">
      <c r="A45" s="282" t="s">
        <v>740</v>
      </c>
      <c r="B45" s="120">
        <v>0</v>
      </c>
      <c r="C45" s="690"/>
      <c r="D45" s="693"/>
      <c r="E45" s="690"/>
      <c r="F45" s="639"/>
      <c r="G45" s="644"/>
      <c r="I45" s="278" t="s">
        <v>740</v>
      </c>
      <c r="J45" s="283">
        <v>0</v>
      </c>
    </row>
    <row r="46" spans="1:10" x14ac:dyDescent="0.25">
      <c r="A46" s="282" t="s">
        <v>730</v>
      </c>
      <c r="B46" s="120">
        <v>0</v>
      </c>
      <c r="C46" s="691"/>
      <c r="D46" s="694"/>
      <c r="E46" s="691"/>
      <c r="F46" s="640"/>
      <c r="G46" s="645"/>
      <c r="I46" s="278" t="s">
        <v>730</v>
      </c>
      <c r="J46" s="283">
        <v>0</v>
      </c>
    </row>
    <row r="47" spans="1:10" x14ac:dyDescent="0.25">
      <c r="A47" s="279" t="s">
        <v>688</v>
      </c>
      <c r="B47" s="271">
        <f>SUM(B35:B46)</f>
        <v>0</v>
      </c>
      <c r="C47" s="279" t="s">
        <v>688</v>
      </c>
      <c r="D47" s="271">
        <f>SUM(D35:D46)</f>
        <v>0</v>
      </c>
      <c r="E47" s="279" t="s">
        <v>688</v>
      </c>
      <c r="F47" s="641">
        <f>SUM(F35:G46)</f>
        <v>0</v>
      </c>
      <c r="G47" s="688"/>
      <c r="I47" s="279" t="s">
        <v>688</v>
      </c>
      <c r="J47" s="119">
        <f>SUM(J35:J46)</f>
        <v>0</v>
      </c>
    </row>
    <row r="49" spans="1:10" ht="18.75" customHeight="1" x14ac:dyDescent="0.25">
      <c r="A49" s="280" t="s">
        <v>1018</v>
      </c>
      <c r="B49" s="281"/>
      <c r="C49" s="281"/>
      <c r="D49" s="276" t="s">
        <v>1019</v>
      </c>
      <c r="E49" s="695"/>
      <c r="F49" s="695"/>
      <c r="G49" s="695"/>
      <c r="I49" s="696" t="s">
        <v>852</v>
      </c>
      <c r="J49" s="696"/>
    </row>
    <row r="50" spans="1:10" x14ac:dyDescent="0.25">
      <c r="A50" s="697" t="s">
        <v>241</v>
      </c>
      <c r="B50" s="698"/>
      <c r="C50" s="697" t="s">
        <v>741</v>
      </c>
      <c r="D50" s="698"/>
      <c r="E50" s="697" t="s">
        <v>745</v>
      </c>
      <c r="F50" s="698"/>
      <c r="G50" s="699"/>
      <c r="I50" s="700" t="s">
        <v>241</v>
      </c>
      <c r="J50" s="700"/>
    </row>
    <row r="51" spans="1:10" x14ac:dyDescent="0.25">
      <c r="A51" s="282" t="s">
        <v>731</v>
      </c>
      <c r="B51" s="120">
        <v>0</v>
      </c>
      <c r="C51" s="689" t="s">
        <v>742</v>
      </c>
      <c r="D51" s="692">
        <f>+B51+B52+B53</f>
        <v>0</v>
      </c>
      <c r="E51" s="689" t="s">
        <v>746</v>
      </c>
      <c r="F51" s="638">
        <f>+D51+D54</f>
        <v>0</v>
      </c>
      <c r="G51" s="643"/>
      <c r="I51" s="278" t="s">
        <v>731</v>
      </c>
      <c r="J51" s="120">
        <v>0</v>
      </c>
    </row>
    <row r="52" spans="1:10" x14ac:dyDescent="0.25">
      <c r="A52" s="282" t="s">
        <v>515</v>
      </c>
      <c r="B52" s="120">
        <v>0</v>
      </c>
      <c r="C52" s="690"/>
      <c r="D52" s="693"/>
      <c r="E52" s="690"/>
      <c r="F52" s="639"/>
      <c r="G52" s="644"/>
      <c r="I52" s="278" t="s">
        <v>515</v>
      </c>
      <c r="J52" s="120">
        <v>0</v>
      </c>
    </row>
    <row r="53" spans="1:10" x14ac:dyDescent="0.25">
      <c r="A53" s="282" t="s">
        <v>732</v>
      </c>
      <c r="B53" s="120">
        <v>0</v>
      </c>
      <c r="C53" s="691"/>
      <c r="D53" s="694"/>
      <c r="E53" s="690"/>
      <c r="F53" s="639"/>
      <c r="G53" s="644"/>
      <c r="I53" s="278" t="s">
        <v>732</v>
      </c>
      <c r="J53" s="120">
        <v>0</v>
      </c>
    </row>
    <row r="54" spans="1:10" x14ac:dyDescent="0.25">
      <c r="A54" s="282" t="s">
        <v>733</v>
      </c>
      <c r="B54" s="120">
        <v>0</v>
      </c>
      <c r="C54" s="689" t="s">
        <v>743</v>
      </c>
      <c r="D54" s="692">
        <f>+B54+B55+B56</f>
        <v>0</v>
      </c>
      <c r="E54" s="690"/>
      <c r="F54" s="639"/>
      <c r="G54" s="644"/>
      <c r="I54" s="278" t="s">
        <v>733</v>
      </c>
      <c r="J54" s="120">
        <v>0</v>
      </c>
    </row>
    <row r="55" spans="1:10" x14ac:dyDescent="0.25">
      <c r="A55" s="282" t="s">
        <v>734</v>
      </c>
      <c r="B55" s="120">
        <v>0</v>
      </c>
      <c r="C55" s="690"/>
      <c r="D55" s="693"/>
      <c r="E55" s="690"/>
      <c r="F55" s="639"/>
      <c r="G55" s="644"/>
      <c r="I55" s="278" t="s">
        <v>734</v>
      </c>
      <c r="J55" s="120">
        <v>0</v>
      </c>
    </row>
    <row r="56" spans="1:10" x14ac:dyDescent="0.25">
      <c r="A56" s="282" t="s">
        <v>735</v>
      </c>
      <c r="B56" s="120">
        <v>0</v>
      </c>
      <c r="C56" s="691"/>
      <c r="D56" s="694"/>
      <c r="E56" s="691"/>
      <c r="F56" s="640"/>
      <c r="G56" s="645"/>
      <c r="I56" s="278" t="s">
        <v>735</v>
      </c>
      <c r="J56" s="120">
        <v>0</v>
      </c>
    </row>
    <row r="57" spans="1:10" x14ac:dyDescent="0.25">
      <c r="A57" s="282" t="s">
        <v>736</v>
      </c>
      <c r="B57" s="120">
        <v>0</v>
      </c>
      <c r="C57" s="689" t="s">
        <v>744</v>
      </c>
      <c r="D57" s="692">
        <f>+B57+B58+B59</f>
        <v>0</v>
      </c>
      <c r="E57" s="689" t="s">
        <v>747</v>
      </c>
      <c r="F57" s="638">
        <f>+D57+D60</f>
        <v>0</v>
      </c>
      <c r="G57" s="643"/>
      <c r="I57" s="278" t="s">
        <v>736</v>
      </c>
      <c r="J57" s="120">
        <v>0</v>
      </c>
    </row>
    <row r="58" spans="1:10" x14ac:dyDescent="0.25">
      <c r="A58" s="282" t="s">
        <v>737</v>
      </c>
      <c r="B58" s="120">
        <v>0</v>
      </c>
      <c r="C58" s="690"/>
      <c r="D58" s="693"/>
      <c r="E58" s="690"/>
      <c r="F58" s="639"/>
      <c r="G58" s="644"/>
      <c r="I58" s="278" t="s">
        <v>737</v>
      </c>
      <c r="J58" s="120">
        <v>0</v>
      </c>
    </row>
    <row r="59" spans="1:10" x14ac:dyDescent="0.25">
      <c r="A59" s="282" t="s">
        <v>738</v>
      </c>
      <c r="B59" s="120">
        <v>0</v>
      </c>
      <c r="C59" s="691"/>
      <c r="D59" s="694"/>
      <c r="E59" s="690"/>
      <c r="F59" s="639"/>
      <c r="G59" s="644"/>
      <c r="I59" s="278" t="s">
        <v>738</v>
      </c>
      <c r="J59" s="120">
        <v>0</v>
      </c>
    </row>
    <row r="60" spans="1:10" x14ac:dyDescent="0.25">
      <c r="A60" s="282" t="s">
        <v>739</v>
      </c>
      <c r="B60" s="120">
        <v>0</v>
      </c>
      <c r="C60" s="689" t="s">
        <v>774</v>
      </c>
      <c r="D60" s="692">
        <f>+B60+B61+B62</f>
        <v>0</v>
      </c>
      <c r="E60" s="690"/>
      <c r="F60" s="639"/>
      <c r="G60" s="644"/>
      <c r="I60" s="278" t="s">
        <v>739</v>
      </c>
      <c r="J60" s="120">
        <v>0</v>
      </c>
    </row>
    <row r="61" spans="1:10" x14ac:dyDescent="0.25">
      <c r="A61" s="282" t="s">
        <v>740</v>
      </c>
      <c r="B61" s="120">
        <v>0</v>
      </c>
      <c r="C61" s="690"/>
      <c r="D61" s="693"/>
      <c r="E61" s="690"/>
      <c r="F61" s="639"/>
      <c r="G61" s="644"/>
      <c r="I61" s="278" t="s">
        <v>740</v>
      </c>
      <c r="J61" s="120">
        <v>0</v>
      </c>
    </row>
    <row r="62" spans="1:10" x14ac:dyDescent="0.25">
      <c r="A62" s="282" t="s">
        <v>730</v>
      </c>
      <c r="B62" s="120">
        <v>0</v>
      </c>
      <c r="C62" s="691"/>
      <c r="D62" s="694"/>
      <c r="E62" s="691"/>
      <c r="F62" s="640"/>
      <c r="G62" s="645"/>
      <c r="I62" s="278" t="s">
        <v>730</v>
      </c>
      <c r="J62" s="120">
        <v>0</v>
      </c>
    </row>
    <row r="63" spans="1:10" x14ac:dyDescent="0.25">
      <c r="A63" s="279" t="s">
        <v>688</v>
      </c>
      <c r="B63" s="271">
        <f>SUM(B51:B62)</f>
        <v>0</v>
      </c>
      <c r="C63" s="279" t="s">
        <v>688</v>
      </c>
      <c r="D63" s="271">
        <f>SUM(D51:D62)</f>
        <v>0</v>
      </c>
      <c r="E63" s="279" t="s">
        <v>688</v>
      </c>
      <c r="F63" s="641">
        <f>SUM(F51:G62)</f>
        <v>0</v>
      </c>
      <c r="G63" s="688"/>
      <c r="I63" s="279" t="s">
        <v>688</v>
      </c>
      <c r="J63" s="119">
        <f>SUM(J51:J62)</f>
        <v>0</v>
      </c>
    </row>
    <row r="65" spans="1:10" ht="18.75" customHeight="1" x14ac:dyDescent="0.25">
      <c r="A65" s="280" t="s">
        <v>1018</v>
      </c>
      <c r="B65" s="281"/>
      <c r="C65" s="281"/>
      <c r="D65" s="276" t="s">
        <v>1019</v>
      </c>
      <c r="E65" s="695"/>
      <c r="F65" s="695"/>
      <c r="G65" s="695"/>
      <c r="I65" s="696" t="s">
        <v>852</v>
      </c>
      <c r="J65" s="696"/>
    </row>
    <row r="66" spans="1:10" x14ac:dyDescent="0.25">
      <c r="A66" s="697" t="s">
        <v>241</v>
      </c>
      <c r="B66" s="698"/>
      <c r="C66" s="697" t="s">
        <v>741</v>
      </c>
      <c r="D66" s="698"/>
      <c r="E66" s="697" t="s">
        <v>745</v>
      </c>
      <c r="F66" s="698"/>
      <c r="G66" s="699"/>
      <c r="I66" s="700" t="s">
        <v>241</v>
      </c>
      <c r="J66" s="700"/>
    </row>
    <row r="67" spans="1:10" x14ac:dyDescent="0.25">
      <c r="A67" s="282" t="s">
        <v>731</v>
      </c>
      <c r="B67" s="120">
        <v>0</v>
      </c>
      <c r="C67" s="689" t="s">
        <v>742</v>
      </c>
      <c r="D67" s="692">
        <f>+B67+B68+B69</f>
        <v>0</v>
      </c>
      <c r="E67" s="689" t="s">
        <v>746</v>
      </c>
      <c r="F67" s="638">
        <f>+D67+D70</f>
        <v>0</v>
      </c>
      <c r="G67" s="643"/>
      <c r="I67" s="278" t="s">
        <v>731</v>
      </c>
      <c r="J67" s="283">
        <v>0</v>
      </c>
    </row>
    <row r="68" spans="1:10" x14ac:dyDescent="0.25">
      <c r="A68" s="282" t="s">
        <v>515</v>
      </c>
      <c r="B68" s="120">
        <v>0</v>
      </c>
      <c r="C68" s="690"/>
      <c r="D68" s="693"/>
      <c r="E68" s="690"/>
      <c r="F68" s="639"/>
      <c r="G68" s="644"/>
      <c r="I68" s="278" t="s">
        <v>515</v>
      </c>
      <c r="J68" s="283">
        <v>0</v>
      </c>
    </row>
    <row r="69" spans="1:10" x14ac:dyDescent="0.25">
      <c r="A69" s="282" t="s">
        <v>732</v>
      </c>
      <c r="B69" s="120">
        <v>0</v>
      </c>
      <c r="C69" s="691"/>
      <c r="D69" s="694"/>
      <c r="E69" s="690"/>
      <c r="F69" s="639"/>
      <c r="G69" s="644"/>
      <c r="I69" s="278" t="s">
        <v>732</v>
      </c>
      <c r="J69" s="283">
        <v>0</v>
      </c>
    </row>
    <row r="70" spans="1:10" x14ac:dyDescent="0.25">
      <c r="A70" s="282" t="s">
        <v>733</v>
      </c>
      <c r="B70" s="120">
        <v>0</v>
      </c>
      <c r="C70" s="689" t="s">
        <v>743</v>
      </c>
      <c r="D70" s="692">
        <f>+B70+B71+B72</f>
        <v>0</v>
      </c>
      <c r="E70" s="690"/>
      <c r="F70" s="639"/>
      <c r="G70" s="644"/>
      <c r="I70" s="278" t="s">
        <v>733</v>
      </c>
      <c r="J70" s="283">
        <v>0</v>
      </c>
    </row>
    <row r="71" spans="1:10" x14ac:dyDescent="0.25">
      <c r="A71" s="282" t="s">
        <v>734</v>
      </c>
      <c r="B71" s="120">
        <v>0</v>
      </c>
      <c r="C71" s="690"/>
      <c r="D71" s="693"/>
      <c r="E71" s="690"/>
      <c r="F71" s="639"/>
      <c r="G71" s="644"/>
      <c r="I71" s="278" t="s">
        <v>734</v>
      </c>
      <c r="J71" s="283">
        <v>0</v>
      </c>
    </row>
    <row r="72" spans="1:10" x14ac:dyDescent="0.25">
      <c r="A72" s="282" t="s">
        <v>735</v>
      </c>
      <c r="B72" s="120">
        <v>0</v>
      </c>
      <c r="C72" s="691"/>
      <c r="D72" s="694"/>
      <c r="E72" s="691"/>
      <c r="F72" s="640"/>
      <c r="G72" s="645"/>
      <c r="I72" s="278" t="s">
        <v>735</v>
      </c>
      <c r="J72" s="283">
        <v>0</v>
      </c>
    </row>
    <row r="73" spans="1:10" x14ac:dyDescent="0.25">
      <c r="A73" s="282" t="s">
        <v>736</v>
      </c>
      <c r="B73" s="120">
        <v>0</v>
      </c>
      <c r="C73" s="689" t="s">
        <v>744</v>
      </c>
      <c r="D73" s="692">
        <f>+B73+B74+B75</f>
        <v>0</v>
      </c>
      <c r="E73" s="689" t="s">
        <v>747</v>
      </c>
      <c r="F73" s="638">
        <f>+D73+D76</f>
        <v>0</v>
      </c>
      <c r="G73" s="643"/>
      <c r="I73" s="278" t="s">
        <v>736</v>
      </c>
      <c r="J73" s="283">
        <v>0</v>
      </c>
    </row>
    <row r="74" spans="1:10" x14ac:dyDescent="0.25">
      <c r="A74" s="282" t="s">
        <v>737</v>
      </c>
      <c r="B74" s="120">
        <v>0</v>
      </c>
      <c r="C74" s="690"/>
      <c r="D74" s="693"/>
      <c r="E74" s="690"/>
      <c r="F74" s="639"/>
      <c r="G74" s="644"/>
      <c r="I74" s="278" t="s">
        <v>737</v>
      </c>
      <c r="J74" s="283">
        <v>0</v>
      </c>
    </row>
    <row r="75" spans="1:10" x14ac:dyDescent="0.25">
      <c r="A75" s="282" t="s">
        <v>738</v>
      </c>
      <c r="B75" s="120">
        <v>0</v>
      </c>
      <c r="C75" s="691"/>
      <c r="D75" s="694"/>
      <c r="E75" s="690"/>
      <c r="F75" s="639"/>
      <c r="G75" s="644"/>
      <c r="I75" s="278" t="s">
        <v>738</v>
      </c>
      <c r="J75" s="283">
        <v>0</v>
      </c>
    </row>
    <row r="76" spans="1:10" x14ac:dyDescent="0.25">
      <c r="A76" s="282" t="s">
        <v>739</v>
      </c>
      <c r="B76" s="120">
        <v>0</v>
      </c>
      <c r="C76" s="689" t="s">
        <v>774</v>
      </c>
      <c r="D76" s="692">
        <f>+B76+B77+B78</f>
        <v>0</v>
      </c>
      <c r="E76" s="690"/>
      <c r="F76" s="639"/>
      <c r="G76" s="644"/>
      <c r="I76" s="278" t="s">
        <v>739</v>
      </c>
      <c r="J76" s="283">
        <v>0</v>
      </c>
    </row>
    <row r="77" spans="1:10" x14ac:dyDescent="0.25">
      <c r="A77" s="282" t="s">
        <v>740</v>
      </c>
      <c r="B77" s="120">
        <v>0</v>
      </c>
      <c r="C77" s="690"/>
      <c r="D77" s="693"/>
      <c r="E77" s="690"/>
      <c r="F77" s="639"/>
      <c r="G77" s="644"/>
      <c r="I77" s="278" t="s">
        <v>740</v>
      </c>
      <c r="J77" s="283">
        <v>0</v>
      </c>
    </row>
    <row r="78" spans="1:10" x14ac:dyDescent="0.25">
      <c r="A78" s="282" t="s">
        <v>730</v>
      </c>
      <c r="B78" s="120">
        <v>0</v>
      </c>
      <c r="C78" s="691"/>
      <c r="D78" s="694"/>
      <c r="E78" s="691"/>
      <c r="F78" s="640"/>
      <c r="G78" s="645"/>
      <c r="I78" s="278" t="s">
        <v>730</v>
      </c>
      <c r="J78" s="283">
        <v>0</v>
      </c>
    </row>
    <row r="79" spans="1:10" x14ac:dyDescent="0.25">
      <c r="A79" s="279" t="s">
        <v>688</v>
      </c>
      <c r="B79" s="271">
        <f>SUM(B67:B78)</f>
        <v>0</v>
      </c>
      <c r="C79" s="279" t="s">
        <v>688</v>
      </c>
      <c r="D79" s="271">
        <f>SUM(D67:D78)</f>
        <v>0</v>
      </c>
      <c r="E79" s="279" t="s">
        <v>688</v>
      </c>
      <c r="F79" s="641">
        <f>SUM(F67:G78)</f>
        <v>0</v>
      </c>
      <c r="G79" s="688"/>
      <c r="I79" s="279" t="s">
        <v>688</v>
      </c>
      <c r="J79" s="119">
        <f>SUM(J67:J78)</f>
        <v>0</v>
      </c>
    </row>
    <row r="81" spans="1:10" ht="18.75" customHeight="1" x14ac:dyDescent="0.25">
      <c r="A81" s="280" t="s">
        <v>1018</v>
      </c>
      <c r="B81" s="281"/>
      <c r="C81" s="281"/>
      <c r="D81" s="276" t="s">
        <v>1019</v>
      </c>
      <c r="E81" s="695"/>
      <c r="F81" s="695"/>
      <c r="G81" s="695"/>
      <c r="I81" s="696" t="s">
        <v>852</v>
      </c>
      <c r="J81" s="696"/>
    </row>
    <row r="82" spans="1:10" x14ac:dyDescent="0.25">
      <c r="A82" s="697" t="s">
        <v>241</v>
      </c>
      <c r="B82" s="698"/>
      <c r="C82" s="697" t="s">
        <v>741</v>
      </c>
      <c r="D82" s="698"/>
      <c r="E82" s="697" t="s">
        <v>745</v>
      </c>
      <c r="F82" s="698"/>
      <c r="G82" s="699"/>
      <c r="I82" s="700" t="s">
        <v>241</v>
      </c>
      <c r="J82" s="700"/>
    </row>
    <row r="83" spans="1:10" x14ac:dyDescent="0.25">
      <c r="A83" s="282" t="s">
        <v>731</v>
      </c>
      <c r="B83" s="120">
        <v>0</v>
      </c>
      <c r="C83" s="689" t="s">
        <v>742</v>
      </c>
      <c r="D83" s="692">
        <f>+B83+B84+B85</f>
        <v>0</v>
      </c>
      <c r="E83" s="689" t="s">
        <v>746</v>
      </c>
      <c r="F83" s="638">
        <f>+D83+D86</f>
        <v>0</v>
      </c>
      <c r="G83" s="643"/>
      <c r="I83" s="278" t="s">
        <v>731</v>
      </c>
      <c r="J83" s="283">
        <v>0</v>
      </c>
    </row>
    <row r="84" spans="1:10" x14ac:dyDescent="0.25">
      <c r="A84" s="282" t="s">
        <v>515</v>
      </c>
      <c r="B84" s="120">
        <v>0</v>
      </c>
      <c r="C84" s="690"/>
      <c r="D84" s="693"/>
      <c r="E84" s="690"/>
      <c r="F84" s="639"/>
      <c r="G84" s="644"/>
      <c r="I84" s="278" t="s">
        <v>515</v>
      </c>
      <c r="J84" s="283">
        <v>0</v>
      </c>
    </row>
    <row r="85" spans="1:10" x14ac:dyDescent="0.25">
      <c r="A85" s="282" t="s">
        <v>732</v>
      </c>
      <c r="B85" s="120">
        <v>0</v>
      </c>
      <c r="C85" s="691"/>
      <c r="D85" s="694"/>
      <c r="E85" s="690"/>
      <c r="F85" s="639"/>
      <c r="G85" s="644"/>
      <c r="I85" s="278" t="s">
        <v>732</v>
      </c>
      <c r="J85" s="283">
        <v>0</v>
      </c>
    </row>
    <row r="86" spans="1:10" x14ac:dyDescent="0.25">
      <c r="A86" s="282" t="s">
        <v>733</v>
      </c>
      <c r="B86" s="120">
        <v>0</v>
      </c>
      <c r="C86" s="689" t="s">
        <v>743</v>
      </c>
      <c r="D86" s="692">
        <f>+B86+B87+B88</f>
        <v>0</v>
      </c>
      <c r="E86" s="690"/>
      <c r="F86" s="639"/>
      <c r="G86" s="644"/>
      <c r="I86" s="278" t="s">
        <v>733</v>
      </c>
      <c r="J86" s="283">
        <v>0</v>
      </c>
    </row>
    <row r="87" spans="1:10" x14ac:dyDescent="0.25">
      <c r="A87" s="282" t="s">
        <v>734</v>
      </c>
      <c r="B87" s="120">
        <v>0</v>
      </c>
      <c r="C87" s="690"/>
      <c r="D87" s="693"/>
      <c r="E87" s="690"/>
      <c r="F87" s="639"/>
      <c r="G87" s="644"/>
      <c r="I87" s="278" t="s">
        <v>734</v>
      </c>
      <c r="J87" s="283">
        <v>0</v>
      </c>
    </row>
    <row r="88" spans="1:10" x14ac:dyDescent="0.25">
      <c r="A88" s="282" t="s">
        <v>735</v>
      </c>
      <c r="B88" s="120">
        <v>0</v>
      </c>
      <c r="C88" s="691"/>
      <c r="D88" s="694"/>
      <c r="E88" s="691"/>
      <c r="F88" s="640"/>
      <c r="G88" s="645"/>
      <c r="I88" s="278" t="s">
        <v>735</v>
      </c>
      <c r="J88" s="283">
        <v>0</v>
      </c>
    </row>
    <row r="89" spans="1:10" x14ac:dyDescent="0.25">
      <c r="A89" s="282" t="s">
        <v>736</v>
      </c>
      <c r="B89" s="120">
        <v>0</v>
      </c>
      <c r="C89" s="689" t="s">
        <v>744</v>
      </c>
      <c r="D89" s="692">
        <f>+B89+B90+B91</f>
        <v>0</v>
      </c>
      <c r="E89" s="689" t="s">
        <v>747</v>
      </c>
      <c r="F89" s="638">
        <f>+D89+D92</f>
        <v>0</v>
      </c>
      <c r="G89" s="643"/>
      <c r="I89" s="278" t="s">
        <v>736</v>
      </c>
      <c r="J89" s="283">
        <v>0</v>
      </c>
    </row>
    <row r="90" spans="1:10" x14ac:dyDescent="0.25">
      <c r="A90" s="282" t="s">
        <v>737</v>
      </c>
      <c r="B90" s="120">
        <v>0</v>
      </c>
      <c r="C90" s="690"/>
      <c r="D90" s="693"/>
      <c r="E90" s="690"/>
      <c r="F90" s="639"/>
      <c r="G90" s="644"/>
      <c r="I90" s="278" t="s">
        <v>737</v>
      </c>
      <c r="J90" s="283">
        <v>0</v>
      </c>
    </row>
    <row r="91" spans="1:10" x14ac:dyDescent="0.25">
      <c r="A91" s="282" t="s">
        <v>738</v>
      </c>
      <c r="B91" s="120">
        <v>0</v>
      </c>
      <c r="C91" s="691"/>
      <c r="D91" s="694"/>
      <c r="E91" s="690"/>
      <c r="F91" s="639"/>
      <c r="G91" s="644"/>
      <c r="I91" s="278" t="s">
        <v>738</v>
      </c>
      <c r="J91" s="283">
        <v>0</v>
      </c>
    </row>
    <row r="92" spans="1:10" x14ac:dyDescent="0.25">
      <c r="A92" s="282" t="s">
        <v>739</v>
      </c>
      <c r="B92" s="120">
        <v>0</v>
      </c>
      <c r="C92" s="689" t="s">
        <v>774</v>
      </c>
      <c r="D92" s="692">
        <f>+B92+B93+B94</f>
        <v>0</v>
      </c>
      <c r="E92" s="690"/>
      <c r="F92" s="639"/>
      <c r="G92" s="644"/>
      <c r="I92" s="278" t="s">
        <v>739</v>
      </c>
      <c r="J92" s="283">
        <v>0</v>
      </c>
    </row>
    <row r="93" spans="1:10" x14ac:dyDescent="0.25">
      <c r="A93" s="282" t="s">
        <v>740</v>
      </c>
      <c r="B93" s="120">
        <v>0</v>
      </c>
      <c r="C93" s="690"/>
      <c r="D93" s="693"/>
      <c r="E93" s="690"/>
      <c r="F93" s="639"/>
      <c r="G93" s="644"/>
      <c r="I93" s="278" t="s">
        <v>740</v>
      </c>
      <c r="J93" s="283">
        <v>0</v>
      </c>
    </row>
    <row r="94" spans="1:10" x14ac:dyDescent="0.25">
      <c r="A94" s="282" t="s">
        <v>730</v>
      </c>
      <c r="B94" s="120">
        <v>0</v>
      </c>
      <c r="C94" s="691"/>
      <c r="D94" s="694"/>
      <c r="E94" s="691"/>
      <c r="F94" s="640"/>
      <c r="G94" s="645"/>
      <c r="I94" s="278" t="s">
        <v>730</v>
      </c>
      <c r="J94" s="283">
        <v>0</v>
      </c>
    </row>
    <row r="95" spans="1:10" x14ac:dyDescent="0.25">
      <c r="A95" s="279" t="s">
        <v>688</v>
      </c>
      <c r="B95" s="271">
        <f>SUM(B83:B94)</f>
        <v>0</v>
      </c>
      <c r="C95" s="279" t="s">
        <v>688</v>
      </c>
      <c r="D95" s="271">
        <f>SUM(D83:D94)</f>
        <v>0</v>
      </c>
      <c r="E95" s="279" t="s">
        <v>688</v>
      </c>
      <c r="F95" s="641">
        <f>SUM(F83:G94)</f>
        <v>0</v>
      </c>
      <c r="G95" s="688"/>
      <c r="I95" s="279" t="s">
        <v>688</v>
      </c>
      <c r="J95" s="119">
        <f>SUM(J83:J94)</f>
        <v>0</v>
      </c>
    </row>
    <row r="97" spans="1:10" ht="18.75" customHeight="1" x14ac:dyDescent="0.25">
      <c r="A97" s="280" t="s">
        <v>1018</v>
      </c>
      <c r="B97" s="281"/>
      <c r="C97" s="281"/>
      <c r="D97" s="276" t="s">
        <v>1019</v>
      </c>
      <c r="E97" s="695"/>
      <c r="F97" s="695"/>
      <c r="G97" s="695"/>
      <c r="I97" s="696" t="s">
        <v>852</v>
      </c>
      <c r="J97" s="696"/>
    </row>
    <row r="98" spans="1:10" x14ac:dyDescent="0.25">
      <c r="A98" s="697" t="s">
        <v>241</v>
      </c>
      <c r="B98" s="698"/>
      <c r="C98" s="697" t="s">
        <v>741</v>
      </c>
      <c r="D98" s="698"/>
      <c r="E98" s="697" t="s">
        <v>745</v>
      </c>
      <c r="F98" s="698"/>
      <c r="G98" s="699"/>
      <c r="I98" s="700" t="s">
        <v>241</v>
      </c>
      <c r="J98" s="700"/>
    </row>
    <row r="99" spans="1:10" x14ac:dyDescent="0.25">
      <c r="A99" s="282" t="s">
        <v>731</v>
      </c>
      <c r="B99" s="120">
        <v>0</v>
      </c>
      <c r="C99" s="689" t="s">
        <v>742</v>
      </c>
      <c r="D99" s="692">
        <f>+B99+B100+B101</f>
        <v>0</v>
      </c>
      <c r="E99" s="689" t="s">
        <v>746</v>
      </c>
      <c r="F99" s="638">
        <f>+D99+D102</f>
        <v>0</v>
      </c>
      <c r="G99" s="643"/>
      <c r="I99" s="278" t="s">
        <v>731</v>
      </c>
      <c r="J99" s="283">
        <v>0</v>
      </c>
    </row>
    <row r="100" spans="1:10" x14ac:dyDescent="0.25">
      <c r="A100" s="282" t="s">
        <v>515</v>
      </c>
      <c r="B100" s="120">
        <v>0</v>
      </c>
      <c r="C100" s="690"/>
      <c r="D100" s="693"/>
      <c r="E100" s="690"/>
      <c r="F100" s="639"/>
      <c r="G100" s="644"/>
      <c r="I100" s="278" t="s">
        <v>515</v>
      </c>
      <c r="J100" s="283">
        <v>0</v>
      </c>
    </row>
    <row r="101" spans="1:10" x14ac:dyDescent="0.25">
      <c r="A101" s="282" t="s">
        <v>732</v>
      </c>
      <c r="B101" s="120">
        <v>0</v>
      </c>
      <c r="C101" s="691"/>
      <c r="D101" s="694"/>
      <c r="E101" s="690"/>
      <c r="F101" s="639"/>
      <c r="G101" s="644"/>
      <c r="I101" s="278" t="s">
        <v>732</v>
      </c>
      <c r="J101" s="283">
        <v>0</v>
      </c>
    </row>
    <row r="102" spans="1:10" x14ac:dyDescent="0.25">
      <c r="A102" s="282" t="s">
        <v>733</v>
      </c>
      <c r="B102" s="120">
        <v>0</v>
      </c>
      <c r="C102" s="689" t="s">
        <v>743</v>
      </c>
      <c r="D102" s="692">
        <f>+B102+B103+B104</f>
        <v>0</v>
      </c>
      <c r="E102" s="690"/>
      <c r="F102" s="639"/>
      <c r="G102" s="644"/>
      <c r="I102" s="278" t="s">
        <v>733</v>
      </c>
      <c r="J102" s="283">
        <v>0</v>
      </c>
    </row>
    <row r="103" spans="1:10" x14ac:dyDescent="0.25">
      <c r="A103" s="282" t="s">
        <v>734</v>
      </c>
      <c r="B103" s="120">
        <v>0</v>
      </c>
      <c r="C103" s="690"/>
      <c r="D103" s="693"/>
      <c r="E103" s="690"/>
      <c r="F103" s="639"/>
      <c r="G103" s="644"/>
      <c r="I103" s="278" t="s">
        <v>734</v>
      </c>
      <c r="J103" s="283">
        <v>0</v>
      </c>
    </row>
    <row r="104" spans="1:10" x14ac:dyDescent="0.25">
      <c r="A104" s="282" t="s">
        <v>735</v>
      </c>
      <c r="B104" s="120">
        <v>0</v>
      </c>
      <c r="C104" s="691"/>
      <c r="D104" s="694"/>
      <c r="E104" s="691"/>
      <c r="F104" s="640"/>
      <c r="G104" s="645"/>
      <c r="I104" s="278" t="s">
        <v>735</v>
      </c>
      <c r="J104" s="283">
        <v>0</v>
      </c>
    </row>
    <row r="105" spans="1:10" x14ac:dyDescent="0.25">
      <c r="A105" s="282" t="s">
        <v>736</v>
      </c>
      <c r="B105" s="120">
        <v>0</v>
      </c>
      <c r="C105" s="689" t="s">
        <v>744</v>
      </c>
      <c r="D105" s="692">
        <f>+B105+B106+B107</f>
        <v>0</v>
      </c>
      <c r="E105" s="689" t="s">
        <v>747</v>
      </c>
      <c r="F105" s="638">
        <f>+D105+D108</f>
        <v>0</v>
      </c>
      <c r="G105" s="643"/>
      <c r="I105" s="278" t="s">
        <v>736</v>
      </c>
      <c r="J105" s="283">
        <v>0</v>
      </c>
    </row>
    <row r="106" spans="1:10" x14ac:dyDescent="0.25">
      <c r="A106" s="282" t="s">
        <v>737</v>
      </c>
      <c r="B106" s="120">
        <v>0</v>
      </c>
      <c r="C106" s="690"/>
      <c r="D106" s="693"/>
      <c r="E106" s="690"/>
      <c r="F106" s="639"/>
      <c r="G106" s="644"/>
      <c r="I106" s="278" t="s">
        <v>737</v>
      </c>
      <c r="J106" s="283">
        <v>0</v>
      </c>
    </row>
    <row r="107" spans="1:10" x14ac:dyDescent="0.25">
      <c r="A107" s="282" t="s">
        <v>738</v>
      </c>
      <c r="B107" s="120">
        <v>0</v>
      </c>
      <c r="C107" s="691"/>
      <c r="D107" s="694"/>
      <c r="E107" s="690"/>
      <c r="F107" s="639"/>
      <c r="G107" s="644"/>
      <c r="I107" s="278" t="s">
        <v>738</v>
      </c>
      <c r="J107" s="283">
        <v>0</v>
      </c>
    </row>
    <row r="108" spans="1:10" x14ac:dyDescent="0.25">
      <c r="A108" s="282" t="s">
        <v>739</v>
      </c>
      <c r="B108" s="120">
        <v>0</v>
      </c>
      <c r="C108" s="689" t="s">
        <v>774</v>
      </c>
      <c r="D108" s="692">
        <f>+B108+B109+B110</f>
        <v>0</v>
      </c>
      <c r="E108" s="690"/>
      <c r="F108" s="639"/>
      <c r="G108" s="644"/>
      <c r="I108" s="278" t="s">
        <v>739</v>
      </c>
      <c r="J108" s="283">
        <v>0</v>
      </c>
    </row>
    <row r="109" spans="1:10" x14ac:dyDescent="0.25">
      <c r="A109" s="282" t="s">
        <v>740</v>
      </c>
      <c r="B109" s="120">
        <v>0</v>
      </c>
      <c r="C109" s="690"/>
      <c r="D109" s="693"/>
      <c r="E109" s="690"/>
      <c r="F109" s="639"/>
      <c r="G109" s="644"/>
      <c r="I109" s="278" t="s">
        <v>740</v>
      </c>
      <c r="J109" s="283">
        <v>0</v>
      </c>
    </row>
    <row r="110" spans="1:10" x14ac:dyDescent="0.25">
      <c r="A110" s="282" t="s">
        <v>730</v>
      </c>
      <c r="B110" s="120">
        <v>0</v>
      </c>
      <c r="C110" s="691"/>
      <c r="D110" s="694"/>
      <c r="E110" s="691"/>
      <c r="F110" s="640"/>
      <c r="G110" s="645"/>
      <c r="I110" s="278" t="s">
        <v>730</v>
      </c>
      <c r="J110" s="283">
        <v>0</v>
      </c>
    </row>
    <row r="111" spans="1:10" x14ac:dyDescent="0.25">
      <c r="A111" s="279" t="s">
        <v>688</v>
      </c>
      <c r="B111" s="271">
        <f>SUM(B99:B110)</f>
        <v>0</v>
      </c>
      <c r="C111" s="279" t="s">
        <v>688</v>
      </c>
      <c r="D111" s="271">
        <f>SUM(D99:D110)</f>
        <v>0</v>
      </c>
      <c r="E111" s="279" t="s">
        <v>688</v>
      </c>
      <c r="F111" s="641">
        <f>SUM(F99:G110)</f>
        <v>0</v>
      </c>
      <c r="G111" s="688"/>
      <c r="I111" s="279" t="s">
        <v>688</v>
      </c>
      <c r="J111" s="119">
        <f>SUM(J99:J110)</f>
        <v>0</v>
      </c>
    </row>
    <row r="113" spans="1:10" ht="18.75" customHeight="1" x14ac:dyDescent="0.25">
      <c r="A113" s="280" t="s">
        <v>1018</v>
      </c>
      <c r="B113" s="281"/>
      <c r="C113" s="281"/>
      <c r="D113" s="276" t="s">
        <v>1019</v>
      </c>
      <c r="E113" s="695"/>
      <c r="F113" s="695"/>
      <c r="G113" s="695"/>
      <c r="I113" s="696" t="s">
        <v>852</v>
      </c>
      <c r="J113" s="696"/>
    </row>
    <row r="114" spans="1:10" x14ac:dyDescent="0.25">
      <c r="A114" s="697" t="s">
        <v>241</v>
      </c>
      <c r="B114" s="698"/>
      <c r="C114" s="697" t="s">
        <v>741</v>
      </c>
      <c r="D114" s="698"/>
      <c r="E114" s="697" t="s">
        <v>745</v>
      </c>
      <c r="F114" s="698"/>
      <c r="G114" s="699"/>
      <c r="I114" s="700" t="s">
        <v>241</v>
      </c>
      <c r="J114" s="700"/>
    </row>
    <row r="115" spans="1:10" x14ac:dyDescent="0.25">
      <c r="A115" s="282" t="s">
        <v>731</v>
      </c>
      <c r="B115" s="120">
        <v>0</v>
      </c>
      <c r="C115" s="689" t="s">
        <v>742</v>
      </c>
      <c r="D115" s="692">
        <f>+B115+B116+B117</f>
        <v>0</v>
      </c>
      <c r="E115" s="689" t="s">
        <v>746</v>
      </c>
      <c r="F115" s="638">
        <f>+D115+D118</f>
        <v>0</v>
      </c>
      <c r="G115" s="643"/>
      <c r="I115" s="278" t="s">
        <v>731</v>
      </c>
      <c r="J115" s="283">
        <v>0</v>
      </c>
    </row>
    <row r="116" spans="1:10" x14ac:dyDescent="0.25">
      <c r="A116" s="282" t="s">
        <v>515</v>
      </c>
      <c r="B116" s="120">
        <v>0</v>
      </c>
      <c r="C116" s="690"/>
      <c r="D116" s="693"/>
      <c r="E116" s="690"/>
      <c r="F116" s="639"/>
      <c r="G116" s="644"/>
      <c r="I116" s="278" t="s">
        <v>515</v>
      </c>
      <c r="J116" s="283">
        <v>0</v>
      </c>
    </row>
    <row r="117" spans="1:10" x14ac:dyDescent="0.25">
      <c r="A117" s="282" t="s">
        <v>732</v>
      </c>
      <c r="B117" s="120">
        <v>0</v>
      </c>
      <c r="C117" s="691"/>
      <c r="D117" s="694"/>
      <c r="E117" s="690"/>
      <c r="F117" s="639"/>
      <c r="G117" s="644"/>
      <c r="I117" s="278" t="s">
        <v>732</v>
      </c>
      <c r="J117" s="283">
        <v>0</v>
      </c>
    </row>
    <row r="118" spans="1:10" x14ac:dyDescent="0.25">
      <c r="A118" s="282" t="s">
        <v>733</v>
      </c>
      <c r="B118" s="120">
        <v>0</v>
      </c>
      <c r="C118" s="689" t="s">
        <v>743</v>
      </c>
      <c r="D118" s="692">
        <f>+B118+B119+B120</f>
        <v>0</v>
      </c>
      <c r="E118" s="690"/>
      <c r="F118" s="639"/>
      <c r="G118" s="644"/>
      <c r="I118" s="278" t="s">
        <v>733</v>
      </c>
      <c r="J118" s="283">
        <v>0</v>
      </c>
    </row>
    <row r="119" spans="1:10" x14ac:dyDescent="0.25">
      <c r="A119" s="282" t="s">
        <v>734</v>
      </c>
      <c r="B119" s="120">
        <v>0</v>
      </c>
      <c r="C119" s="690"/>
      <c r="D119" s="693"/>
      <c r="E119" s="690"/>
      <c r="F119" s="639"/>
      <c r="G119" s="644"/>
      <c r="I119" s="278" t="s">
        <v>734</v>
      </c>
      <c r="J119" s="283">
        <v>0</v>
      </c>
    </row>
    <row r="120" spans="1:10" x14ac:dyDescent="0.25">
      <c r="A120" s="282" t="s">
        <v>735</v>
      </c>
      <c r="B120" s="120">
        <v>0</v>
      </c>
      <c r="C120" s="691"/>
      <c r="D120" s="694"/>
      <c r="E120" s="691"/>
      <c r="F120" s="640"/>
      <c r="G120" s="645"/>
      <c r="I120" s="278" t="s">
        <v>735</v>
      </c>
      <c r="J120" s="283">
        <v>0</v>
      </c>
    </row>
    <row r="121" spans="1:10" x14ac:dyDescent="0.25">
      <c r="A121" s="282" t="s">
        <v>736</v>
      </c>
      <c r="B121" s="120">
        <v>0</v>
      </c>
      <c r="C121" s="689" t="s">
        <v>744</v>
      </c>
      <c r="D121" s="692">
        <f>+B121+B122+B123</f>
        <v>0</v>
      </c>
      <c r="E121" s="689" t="s">
        <v>747</v>
      </c>
      <c r="F121" s="638">
        <f>+D121+D124</f>
        <v>0</v>
      </c>
      <c r="G121" s="643"/>
      <c r="I121" s="278" t="s">
        <v>736</v>
      </c>
      <c r="J121" s="283">
        <v>0</v>
      </c>
    </row>
    <row r="122" spans="1:10" x14ac:dyDescent="0.25">
      <c r="A122" s="282" t="s">
        <v>737</v>
      </c>
      <c r="B122" s="120">
        <v>0</v>
      </c>
      <c r="C122" s="690"/>
      <c r="D122" s="693"/>
      <c r="E122" s="690"/>
      <c r="F122" s="639"/>
      <c r="G122" s="644"/>
      <c r="I122" s="278" t="s">
        <v>737</v>
      </c>
      <c r="J122" s="283">
        <v>0</v>
      </c>
    </row>
    <row r="123" spans="1:10" x14ac:dyDescent="0.25">
      <c r="A123" s="282" t="s">
        <v>738</v>
      </c>
      <c r="B123" s="120">
        <v>0</v>
      </c>
      <c r="C123" s="691"/>
      <c r="D123" s="694"/>
      <c r="E123" s="690"/>
      <c r="F123" s="639"/>
      <c r="G123" s="644"/>
      <c r="I123" s="278" t="s">
        <v>738</v>
      </c>
      <c r="J123" s="283">
        <v>0</v>
      </c>
    </row>
    <row r="124" spans="1:10" x14ac:dyDescent="0.25">
      <c r="A124" s="282" t="s">
        <v>739</v>
      </c>
      <c r="B124" s="120">
        <v>0</v>
      </c>
      <c r="C124" s="689" t="s">
        <v>774</v>
      </c>
      <c r="D124" s="692">
        <f>+B124+B125+B126</f>
        <v>0</v>
      </c>
      <c r="E124" s="690"/>
      <c r="F124" s="639"/>
      <c r="G124" s="644"/>
      <c r="I124" s="278" t="s">
        <v>739</v>
      </c>
      <c r="J124" s="283">
        <v>0</v>
      </c>
    </row>
    <row r="125" spans="1:10" x14ac:dyDescent="0.25">
      <c r="A125" s="282" t="s">
        <v>740</v>
      </c>
      <c r="B125" s="120">
        <v>0</v>
      </c>
      <c r="C125" s="690"/>
      <c r="D125" s="693"/>
      <c r="E125" s="690"/>
      <c r="F125" s="639"/>
      <c r="G125" s="644"/>
      <c r="I125" s="278" t="s">
        <v>740</v>
      </c>
      <c r="J125" s="283">
        <v>0</v>
      </c>
    </row>
    <row r="126" spans="1:10" x14ac:dyDescent="0.25">
      <c r="A126" s="282" t="s">
        <v>730</v>
      </c>
      <c r="B126" s="120">
        <v>0</v>
      </c>
      <c r="C126" s="691"/>
      <c r="D126" s="694"/>
      <c r="E126" s="691"/>
      <c r="F126" s="640"/>
      <c r="G126" s="645"/>
      <c r="I126" s="278" t="s">
        <v>730</v>
      </c>
      <c r="J126" s="283">
        <v>0</v>
      </c>
    </row>
    <row r="127" spans="1:10" x14ac:dyDescent="0.25">
      <c r="A127" s="279" t="s">
        <v>688</v>
      </c>
      <c r="B127" s="271">
        <f>SUM(B115:B126)</f>
        <v>0</v>
      </c>
      <c r="C127" s="279" t="s">
        <v>688</v>
      </c>
      <c r="D127" s="271">
        <f>SUM(D115:D126)</f>
        <v>0</v>
      </c>
      <c r="E127" s="279" t="s">
        <v>688</v>
      </c>
      <c r="F127" s="641">
        <f>SUM(F115:G126)</f>
        <v>0</v>
      </c>
      <c r="G127" s="688"/>
      <c r="I127" s="279" t="s">
        <v>688</v>
      </c>
      <c r="J127" s="119">
        <f>SUM(J115:J126)</f>
        <v>0</v>
      </c>
    </row>
    <row r="129" spans="1:10" ht="18.75" customHeight="1" x14ac:dyDescent="0.25">
      <c r="A129" s="280" t="s">
        <v>1018</v>
      </c>
      <c r="B129" s="281"/>
      <c r="C129" s="281"/>
      <c r="D129" s="276" t="s">
        <v>1019</v>
      </c>
      <c r="E129" s="695"/>
      <c r="F129" s="695"/>
      <c r="G129" s="695"/>
      <c r="I129" s="696" t="s">
        <v>852</v>
      </c>
      <c r="J129" s="696"/>
    </row>
    <row r="130" spans="1:10" x14ac:dyDescent="0.25">
      <c r="A130" s="697" t="s">
        <v>241</v>
      </c>
      <c r="B130" s="698"/>
      <c r="C130" s="697" t="s">
        <v>741</v>
      </c>
      <c r="D130" s="698"/>
      <c r="E130" s="697" t="s">
        <v>745</v>
      </c>
      <c r="F130" s="698"/>
      <c r="G130" s="699"/>
      <c r="I130" s="700" t="s">
        <v>241</v>
      </c>
      <c r="J130" s="700"/>
    </row>
    <row r="131" spans="1:10" x14ac:dyDescent="0.25">
      <c r="A131" s="282" t="s">
        <v>731</v>
      </c>
      <c r="B131" s="120">
        <v>0</v>
      </c>
      <c r="C131" s="689" t="s">
        <v>742</v>
      </c>
      <c r="D131" s="692">
        <f>+B131+B132+B133</f>
        <v>0</v>
      </c>
      <c r="E131" s="689" t="s">
        <v>746</v>
      </c>
      <c r="F131" s="638">
        <f>+D131+D134</f>
        <v>0</v>
      </c>
      <c r="G131" s="643"/>
      <c r="I131" s="278" t="s">
        <v>731</v>
      </c>
      <c r="J131" s="283">
        <v>0</v>
      </c>
    </row>
    <row r="132" spans="1:10" x14ac:dyDescent="0.25">
      <c r="A132" s="282" t="s">
        <v>515</v>
      </c>
      <c r="B132" s="120">
        <v>0</v>
      </c>
      <c r="C132" s="690"/>
      <c r="D132" s="693"/>
      <c r="E132" s="690"/>
      <c r="F132" s="639"/>
      <c r="G132" s="644"/>
      <c r="I132" s="278" t="s">
        <v>515</v>
      </c>
      <c r="J132" s="283">
        <v>0</v>
      </c>
    </row>
    <row r="133" spans="1:10" x14ac:dyDescent="0.25">
      <c r="A133" s="282" t="s">
        <v>732</v>
      </c>
      <c r="B133" s="120">
        <v>0</v>
      </c>
      <c r="C133" s="691"/>
      <c r="D133" s="694"/>
      <c r="E133" s="690"/>
      <c r="F133" s="639"/>
      <c r="G133" s="644"/>
      <c r="I133" s="278" t="s">
        <v>732</v>
      </c>
      <c r="J133" s="283">
        <v>0</v>
      </c>
    </row>
    <row r="134" spans="1:10" x14ac:dyDescent="0.25">
      <c r="A134" s="282" t="s">
        <v>733</v>
      </c>
      <c r="B134" s="120">
        <v>0</v>
      </c>
      <c r="C134" s="689" t="s">
        <v>743</v>
      </c>
      <c r="D134" s="692">
        <f>+B134+B135+B136</f>
        <v>0</v>
      </c>
      <c r="E134" s="690"/>
      <c r="F134" s="639"/>
      <c r="G134" s="644"/>
      <c r="I134" s="278" t="s">
        <v>733</v>
      </c>
      <c r="J134" s="283">
        <v>0</v>
      </c>
    </row>
    <row r="135" spans="1:10" x14ac:dyDescent="0.25">
      <c r="A135" s="282" t="s">
        <v>734</v>
      </c>
      <c r="B135" s="120">
        <v>0</v>
      </c>
      <c r="C135" s="690"/>
      <c r="D135" s="693"/>
      <c r="E135" s="690"/>
      <c r="F135" s="639"/>
      <c r="G135" s="644"/>
      <c r="I135" s="278" t="s">
        <v>734</v>
      </c>
      <c r="J135" s="283">
        <v>0</v>
      </c>
    </row>
    <row r="136" spans="1:10" x14ac:dyDescent="0.25">
      <c r="A136" s="282" t="s">
        <v>735</v>
      </c>
      <c r="B136" s="120">
        <v>0</v>
      </c>
      <c r="C136" s="691"/>
      <c r="D136" s="694"/>
      <c r="E136" s="691"/>
      <c r="F136" s="640"/>
      <c r="G136" s="645"/>
      <c r="I136" s="278" t="s">
        <v>735</v>
      </c>
      <c r="J136" s="283">
        <v>0</v>
      </c>
    </row>
    <row r="137" spans="1:10" x14ac:dyDescent="0.25">
      <c r="A137" s="282" t="s">
        <v>736</v>
      </c>
      <c r="B137" s="120">
        <v>0</v>
      </c>
      <c r="C137" s="689" t="s">
        <v>744</v>
      </c>
      <c r="D137" s="692">
        <f>+B137+B138+B139</f>
        <v>0</v>
      </c>
      <c r="E137" s="689" t="s">
        <v>747</v>
      </c>
      <c r="F137" s="638">
        <f>+D137+D140</f>
        <v>0</v>
      </c>
      <c r="G137" s="643"/>
      <c r="I137" s="278" t="s">
        <v>736</v>
      </c>
      <c r="J137" s="283">
        <v>0</v>
      </c>
    </row>
    <row r="138" spans="1:10" x14ac:dyDescent="0.25">
      <c r="A138" s="282" t="s">
        <v>737</v>
      </c>
      <c r="B138" s="120">
        <v>0</v>
      </c>
      <c r="C138" s="690"/>
      <c r="D138" s="693"/>
      <c r="E138" s="690"/>
      <c r="F138" s="639"/>
      <c r="G138" s="644"/>
      <c r="I138" s="278" t="s">
        <v>737</v>
      </c>
      <c r="J138" s="283">
        <v>0</v>
      </c>
    </row>
    <row r="139" spans="1:10" x14ac:dyDescent="0.25">
      <c r="A139" s="282" t="s">
        <v>738</v>
      </c>
      <c r="B139" s="120">
        <v>0</v>
      </c>
      <c r="C139" s="691"/>
      <c r="D139" s="694"/>
      <c r="E139" s="690"/>
      <c r="F139" s="639"/>
      <c r="G139" s="644"/>
      <c r="I139" s="278" t="s">
        <v>738</v>
      </c>
      <c r="J139" s="283">
        <v>0</v>
      </c>
    </row>
    <row r="140" spans="1:10" x14ac:dyDescent="0.25">
      <c r="A140" s="282" t="s">
        <v>739</v>
      </c>
      <c r="B140" s="120">
        <v>0</v>
      </c>
      <c r="C140" s="689" t="s">
        <v>774</v>
      </c>
      <c r="D140" s="692">
        <f>+B140+B141+B142</f>
        <v>0</v>
      </c>
      <c r="E140" s="690"/>
      <c r="F140" s="639"/>
      <c r="G140" s="644"/>
      <c r="I140" s="278" t="s">
        <v>739</v>
      </c>
      <c r="J140" s="283">
        <v>0</v>
      </c>
    </row>
    <row r="141" spans="1:10" x14ac:dyDescent="0.25">
      <c r="A141" s="282" t="s">
        <v>740</v>
      </c>
      <c r="B141" s="120">
        <v>0</v>
      </c>
      <c r="C141" s="690"/>
      <c r="D141" s="693"/>
      <c r="E141" s="690"/>
      <c r="F141" s="639"/>
      <c r="G141" s="644"/>
      <c r="I141" s="278" t="s">
        <v>740</v>
      </c>
      <c r="J141" s="283">
        <v>0</v>
      </c>
    </row>
    <row r="142" spans="1:10" x14ac:dyDescent="0.25">
      <c r="A142" s="282" t="s">
        <v>730</v>
      </c>
      <c r="B142" s="120">
        <v>0</v>
      </c>
      <c r="C142" s="691"/>
      <c r="D142" s="694"/>
      <c r="E142" s="691"/>
      <c r="F142" s="640"/>
      <c r="G142" s="645"/>
      <c r="I142" s="278" t="s">
        <v>730</v>
      </c>
      <c r="J142" s="283">
        <v>0</v>
      </c>
    </row>
    <row r="143" spans="1:10" x14ac:dyDescent="0.25">
      <c r="A143" s="279" t="s">
        <v>688</v>
      </c>
      <c r="B143" s="271">
        <f>SUM(B131:B142)</f>
        <v>0</v>
      </c>
      <c r="C143" s="279" t="s">
        <v>688</v>
      </c>
      <c r="D143" s="271">
        <f>SUM(D131:D142)</f>
        <v>0</v>
      </c>
      <c r="E143" s="279" t="s">
        <v>688</v>
      </c>
      <c r="F143" s="641">
        <f>SUM(F131:G142)</f>
        <v>0</v>
      </c>
      <c r="G143" s="688"/>
      <c r="I143" s="279" t="s">
        <v>688</v>
      </c>
      <c r="J143" s="119">
        <f>SUM(J131:J142)</f>
        <v>0</v>
      </c>
    </row>
    <row r="145" spans="1:10" ht="18.75" customHeight="1" x14ac:dyDescent="0.25">
      <c r="A145" s="280" t="s">
        <v>1018</v>
      </c>
      <c r="B145" s="281"/>
      <c r="C145" s="281"/>
      <c r="D145" s="276" t="s">
        <v>1019</v>
      </c>
      <c r="E145" s="695"/>
      <c r="F145" s="695"/>
      <c r="G145" s="695"/>
      <c r="I145" s="696" t="s">
        <v>852</v>
      </c>
      <c r="J145" s="696"/>
    </row>
    <row r="146" spans="1:10" x14ac:dyDescent="0.25">
      <c r="A146" s="697" t="s">
        <v>241</v>
      </c>
      <c r="B146" s="698"/>
      <c r="C146" s="697" t="s">
        <v>741</v>
      </c>
      <c r="D146" s="698"/>
      <c r="E146" s="697" t="s">
        <v>745</v>
      </c>
      <c r="F146" s="698"/>
      <c r="G146" s="699"/>
      <c r="I146" s="700" t="s">
        <v>241</v>
      </c>
      <c r="J146" s="700"/>
    </row>
    <row r="147" spans="1:10" x14ac:dyDescent="0.25">
      <c r="A147" s="282" t="s">
        <v>731</v>
      </c>
      <c r="B147" s="120">
        <v>0</v>
      </c>
      <c r="C147" s="689" t="s">
        <v>742</v>
      </c>
      <c r="D147" s="692">
        <f>+B147+B148+B149</f>
        <v>0</v>
      </c>
      <c r="E147" s="689" t="s">
        <v>746</v>
      </c>
      <c r="F147" s="638">
        <f>+D147+D150</f>
        <v>0</v>
      </c>
      <c r="G147" s="643"/>
      <c r="I147" s="278" t="s">
        <v>731</v>
      </c>
      <c r="J147" s="283">
        <v>0</v>
      </c>
    </row>
    <row r="148" spans="1:10" x14ac:dyDescent="0.25">
      <c r="A148" s="282" t="s">
        <v>515</v>
      </c>
      <c r="B148" s="120">
        <v>0</v>
      </c>
      <c r="C148" s="690"/>
      <c r="D148" s="693"/>
      <c r="E148" s="690"/>
      <c r="F148" s="639"/>
      <c r="G148" s="644"/>
      <c r="I148" s="278" t="s">
        <v>515</v>
      </c>
      <c r="J148" s="283">
        <v>0</v>
      </c>
    </row>
    <row r="149" spans="1:10" x14ac:dyDescent="0.25">
      <c r="A149" s="282" t="s">
        <v>732</v>
      </c>
      <c r="B149" s="120">
        <v>0</v>
      </c>
      <c r="C149" s="691"/>
      <c r="D149" s="694"/>
      <c r="E149" s="690"/>
      <c r="F149" s="639"/>
      <c r="G149" s="644"/>
      <c r="I149" s="278" t="s">
        <v>732</v>
      </c>
      <c r="J149" s="283">
        <v>0</v>
      </c>
    </row>
    <row r="150" spans="1:10" x14ac:dyDescent="0.25">
      <c r="A150" s="282" t="s">
        <v>733</v>
      </c>
      <c r="B150" s="120">
        <v>0</v>
      </c>
      <c r="C150" s="689" t="s">
        <v>743</v>
      </c>
      <c r="D150" s="692">
        <f>+B150+B151+B152</f>
        <v>0</v>
      </c>
      <c r="E150" s="690"/>
      <c r="F150" s="639"/>
      <c r="G150" s="644"/>
      <c r="I150" s="278" t="s">
        <v>733</v>
      </c>
      <c r="J150" s="283">
        <v>0</v>
      </c>
    </row>
    <row r="151" spans="1:10" x14ac:dyDescent="0.25">
      <c r="A151" s="282" t="s">
        <v>734</v>
      </c>
      <c r="B151" s="120">
        <v>0</v>
      </c>
      <c r="C151" s="690"/>
      <c r="D151" s="693"/>
      <c r="E151" s="690"/>
      <c r="F151" s="639"/>
      <c r="G151" s="644"/>
      <c r="I151" s="278" t="s">
        <v>734</v>
      </c>
      <c r="J151" s="283">
        <v>0</v>
      </c>
    </row>
    <row r="152" spans="1:10" x14ac:dyDescent="0.25">
      <c r="A152" s="282" t="s">
        <v>735</v>
      </c>
      <c r="B152" s="120">
        <v>0</v>
      </c>
      <c r="C152" s="691"/>
      <c r="D152" s="694"/>
      <c r="E152" s="691"/>
      <c r="F152" s="640"/>
      <c r="G152" s="645"/>
      <c r="I152" s="278" t="s">
        <v>735</v>
      </c>
      <c r="J152" s="283">
        <v>0</v>
      </c>
    </row>
    <row r="153" spans="1:10" x14ac:dyDescent="0.25">
      <c r="A153" s="282" t="s">
        <v>736</v>
      </c>
      <c r="B153" s="120">
        <v>0</v>
      </c>
      <c r="C153" s="689" t="s">
        <v>744</v>
      </c>
      <c r="D153" s="692">
        <f>+B153+B154+B155</f>
        <v>0</v>
      </c>
      <c r="E153" s="689" t="s">
        <v>747</v>
      </c>
      <c r="F153" s="638">
        <f>+D153+D156</f>
        <v>0</v>
      </c>
      <c r="G153" s="643"/>
      <c r="I153" s="278" t="s">
        <v>736</v>
      </c>
      <c r="J153" s="283">
        <v>0</v>
      </c>
    </row>
    <row r="154" spans="1:10" x14ac:dyDescent="0.25">
      <c r="A154" s="282" t="s">
        <v>737</v>
      </c>
      <c r="B154" s="120">
        <v>0</v>
      </c>
      <c r="C154" s="690"/>
      <c r="D154" s="693"/>
      <c r="E154" s="690"/>
      <c r="F154" s="639"/>
      <c r="G154" s="644"/>
      <c r="I154" s="278" t="s">
        <v>737</v>
      </c>
      <c r="J154" s="283">
        <v>0</v>
      </c>
    </row>
    <row r="155" spans="1:10" x14ac:dyDescent="0.25">
      <c r="A155" s="282" t="s">
        <v>738</v>
      </c>
      <c r="B155" s="120">
        <v>0</v>
      </c>
      <c r="C155" s="691"/>
      <c r="D155" s="694"/>
      <c r="E155" s="690"/>
      <c r="F155" s="639"/>
      <c r="G155" s="644"/>
      <c r="I155" s="278" t="s">
        <v>738</v>
      </c>
      <c r="J155" s="283">
        <v>0</v>
      </c>
    </row>
    <row r="156" spans="1:10" x14ac:dyDescent="0.25">
      <c r="A156" s="282" t="s">
        <v>739</v>
      </c>
      <c r="B156" s="120">
        <v>0</v>
      </c>
      <c r="C156" s="689" t="s">
        <v>774</v>
      </c>
      <c r="D156" s="692">
        <f>+B156+B157+B158</f>
        <v>0</v>
      </c>
      <c r="E156" s="690"/>
      <c r="F156" s="639"/>
      <c r="G156" s="644"/>
      <c r="I156" s="278" t="s">
        <v>739</v>
      </c>
      <c r="J156" s="283">
        <v>0</v>
      </c>
    </row>
    <row r="157" spans="1:10" x14ac:dyDescent="0.25">
      <c r="A157" s="282" t="s">
        <v>740</v>
      </c>
      <c r="B157" s="120">
        <v>0</v>
      </c>
      <c r="C157" s="690"/>
      <c r="D157" s="693"/>
      <c r="E157" s="690"/>
      <c r="F157" s="639"/>
      <c r="G157" s="644"/>
      <c r="I157" s="278" t="s">
        <v>740</v>
      </c>
      <c r="J157" s="283">
        <v>0</v>
      </c>
    </row>
    <row r="158" spans="1:10" x14ac:dyDescent="0.25">
      <c r="A158" s="282" t="s">
        <v>730</v>
      </c>
      <c r="B158" s="120">
        <v>0</v>
      </c>
      <c r="C158" s="691"/>
      <c r="D158" s="694"/>
      <c r="E158" s="691"/>
      <c r="F158" s="640"/>
      <c r="G158" s="645"/>
      <c r="I158" s="278" t="s">
        <v>730</v>
      </c>
      <c r="J158" s="283">
        <v>0</v>
      </c>
    </row>
    <row r="159" spans="1:10" x14ac:dyDescent="0.25">
      <c r="A159" s="279" t="s">
        <v>688</v>
      </c>
      <c r="B159" s="271">
        <f>SUM(B147:B158)</f>
        <v>0</v>
      </c>
      <c r="C159" s="279" t="s">
        <v>688</v>
      </c>
      <c r="D159" s="271">
        <f>SUM(D147:D158)</f>
        <v>0</v>
      </c>
      <c r="E159" s="279" t="s">
        <v>688</v>
      </c>
      <c r="F159" s="641">
        <f>SUM(F147:G158)</f>
        <v>0</v>
      </c>
      <c r="G159" s="688"/>
      <c r="I159" s="279" t="s">
        <v>688</v>
      </c>
      <c r="J159" s="119">
        <f>SUM(J147:J158)</f>
        <v>0</v>
      </c>
    </row>
    <row r="161" spans="1:10" ht="18.75" customHeight="1" x14ac:dyDescent="0.25">
      <c r="A161" s="280" t="s">
        <v>1018</v>
      </c>
      <c r="B161" s="281"/>
      <c r="C161" s="281"/>
      <c r="D161" s="276" t="s">
        <v>1019</v>
      </c>
      <c r="E161" s="695"/>
      <c r="F161" s="695"/>
      <c r="G161" s="695"/>
      <c r="I161" s="696" t="s">
        <v>852</v>
      </c>
      <c r="J161" s="696"/>
    </row>
    <row r="162" spans="1:10" x14ac:dyDescent="0.25">
      <c r="A162" s="697" t="s">
        <v>241</v>
      </c>
      <c r="B162" s="698"/>
      <c r="C162" s="697" t="s">
        <v>741</v>
      </c>
      <c r="D162" s="698"/>
      <c r="E162" s="697" t="s">
        <v>745</v>
      </c>
      <c r="F162" s="698"/>
      <c r="G162" s="699"/>
      <c r="I162" s="700" t="s">
        <v>241</v>
      </c>
      <c r="J162" s="700"/>
    </row>
    <row r="163" spans="1:10" x14ac:dyDescent="0.25">
      <c r="A163" s="282" t="s">
        <v>731</v>
      </c>
      <c r="B163" s="120">
        <v>0</v>
      </c>
      <c r="C163" s="689" t="s">
        <v>742</v>
      </c>
      <c r="D163" s="692">
        <f>+B163+B164+B165</f>
        <v>0</v>
      </c>
      <c r="E163" s="689" t="s">
        <v>746</v>
      </c>
      <c r="F163" s="638">
        <f>+D163+D166</f>
        <v>0</v>
      </c>
      <c r="G163" s="643"/>
      <c r="I163" s="278" t="s">
        <v>731</v>
      </c>
      <c r="J163" s="283">
        <v>0</v>
      </c>
    </row>
    <row r="164" spans="1:10" x14ac:dyDescent="0.25">
      <c r="A164" s="282" t="s">
        <v>515</v>
      </c>
      <c r="B164" s="120">
        <v>0</v>
      </c>
      <c r="C164" s="690"/>
      <c r="D164" s="693"/>
      <c r="E164" s="690"/>
      <c r="F164" s="639"/>
      <c r="G164" s="644"/>
      <c r="I164" s="278" t="s">
        <v>515</v>
      </c>
      <c r="J164" s="283">
        <v>0</v>
      </c>
    </row>
    <row r="165" spans="1:10" x14ac:dyDescent="0.25">
      <c r="A165" s="282" t="s">
        <v>732</v>
      </c>
      <c r="B165" s="120">
        <v>0</v>
      </c>
      <c r="C165" s="691"/>
      <c r="D165" s="694"/>
      <c r="E165" s="690"/>
      <c r="F165" s="639"/>
      <c r="G165" s="644"/>
      <c r="I165" s="278" t="s">
        <v>732</v>
      </c>
      <c r="J165" s="283">
        <v>0</v>
      </c>
    </row>
    <row r="166" spans="1:10" x14ac:dyDescent="0.25">
      <c r="A166" s="282" t="s">
        <v>733</v>
      </c>
      <c r="B166" s="120">
        <v>0</v>
      </c>
      <c r="C166" s="689" t="s">
        <v>743</v>
      </c>
      <c r="D166" s="692">
        <f>+B166+B167+B168</f>
        <v>0</v>
      </c>
      <c r="E166" s="690"/>
      <c r="F166" s="639"/>
      <c r="G166" s="644"/>
      <c r="I166" s="278" t="s">
        <v>733</v>
      </c>
      <c r="J166" s="283">
        <v>0</v>
      </c>
    </row>
    <row r="167" spans="1:10" x14ac:dyDescent="0.25">
      <c r="A167" s="282" t="s">
        <v>734</v>
      </c>
      <c r="B167" s="120">
        <v>0</v>
      </c>
      <c r="C167" s="690"/>
      <c r="D167" s="693"/>
      <c r="E167" s="690"/>
      <c r="F167" s="639"/>
      <c r="G167" s="644"/>
      <c r="I167" s="278" t="s">
        <v>734</v>
      </c>
      <c r="J167" s="283">
        <v>0</v>
      </c>
    </row>
    <row r="168" spans="1:10" x14ac:dyDescent="0.25">
      <c r="A168" s="282" t="s">
        <v>735</v>
      </c>
      <c r="B168" s="120">
        <v>0</v>
      </c>
      <c r="C168" s="691"/>
      <c r="D168" s="694"/>
      <c r="E168" s="691"/>
      <c r="F168" s="640"/>
      <c r="G168" s="645"/>
      <c r="I168" s="278" t="s">
        <v>735</v>
      </c>
      <c r="J168" s="283">
        <v>0</v>
      </c>
    </row>
    <row r="169" spans="1:10" x14ac:dyDescent="0.25">
      <c r="A169" s="282" t="s">
        <v>736</v>
      </c>
      <c r="B169" s="120">
        <v>0</v>
      </c>
      <c r="C169" s="689" t="s">
        <v>744</v>
      </c>
      <c r="D169" s="692">
        <f>+B169+B170+B171</f>
        <v>0</v>
      </c>
      <c r="E169" s="689" t="s">
        <v>747</v>
      </c>
      <c r="F169" s="638">
        <f>+D169+D172</f>
        <v>0</v>
      </c>
      <c r="G169" s="643"/>
      <c r="I169" s="278" t="s">
        <v>736</v>
      </c>
      <c r="J169" s="283">
        <v>0</v>
      </c>
    </row>
    <row r="170" spans="1:10" x14ac:dyDescent="0.25">
      <c r="A170" s="282" t="s">
        <v>737</v>
      </c>
      <c r="B170" s="120">
        <v>0</v>
      </c>
      <c r="C170" s="690"/>
      <c r="D170" s="693"/>
      <c r="E170" s="690"/>
      <c r="F170" s="639"/>
      <c r="G170" s="644"/>
      <c r="I170" s="278" t="s">
        <v>737</v>
      </c>
      <c r="J170" s="283">
        <v>0</v>
      </c>
    </row>
    <row r="171" spans="1:10" x14ac:dyDescent="0.25">
      <c r="A171" s="282" t="s">
        <v>738</v>
      </c>
      <c r="B171" s="120">
        <v>0</v>
      </c>
      <c r="C171" s="691"/>
      <c r="D171" s="694"/>
      <c r="E171" s="690"/>
      <c r="F171" s="639"/>
      <c r="G171" s="644"/>
      <c r="I171" s="278" t="s">
        <v>738</v>
      </c>
      <c r="J171" s="283">
        <v>0</v>
      </c>
    </row>
    <row r="172" spans="1:10" x14ac:dyDescent="0.25">
      <c r="A172" s="282" t="s">
        <v>739</v>
      </c>
      <c r="B172" s="120">
        <v>0</v>
      </c>
      <c r="C172" s="689" t="s">
        <v>774</v>
      </c>
      <c r="D172" s="692">
        <f>+B172+B173+B174</f>
        <v>0</v>
      </c>
      <c r="E172" s="690"/>
      <c r="F172" s="639"/>
      <c r="G172" s="644"/>
      <c r="I172" s="278" t="s">
        <v>739</v>
      </c>
      <c r="J172" s="283">
        <v>0</v>
      </c>
    </row>
    <row r="173" spans="1:10" x14ac:dyDescent="0.25">
      <c r="A173" s="282" t="s">
        <v>740</v>
      </c>
      <c r="B173" s="120">
        <v>0</v>
      </c>
      <c r="C173" s="690"/>
      <c r="D173" s="693"/>
      <c r="E173" s="690"/>
      <c r="F173" s="639"/>
      <c r="G173" s="644"/>
      <c r="I173" s="278" t="s">
        <v>740</v>
      </c>
      <c r="J173" s="283">
        <v>0</v>
      </c>
    </row>
    <row r="174" spans="1:10" x14ac:dyDescent="0.25">
      <c r="A174" s="282" t="s">
        <v>730</v>
      </c>
      <c r="B174" s="120">
        <v>0</v>
      </c>
      <c r="C174" s="691"/>
      <c r="D174" s="694"/>
      <c r="E174" s="691"/>
      <c r="F174" s="640"/>
      <c r="G174" s="645"/>
      <c r="I174" s="278" t="s">
        <v>730</v>
      </c>
      <c r="J174" s="283">
        <v>0</v>
      </c>
    </row>
    <row r="175" spans="1:10" x14ac:dyDescent="0.25">
      <c r="A175" s="279" t="s">
        <v>688</v>
      </c>
      <c r="B175" s="271">
        <f>SUM(B163:B174)</f>
        <v>0</v>
      </c>
      <c r="C175" s="279" t="s">
        <v>688</v>
      </c>
      <c r="D175" s="271">
        <f>SUM(D163:D174)</f>
        <v>0</v>
      </c>
      <c r="E175" s="279" t="s">
        <v>688</v>
      </c>
      <c r="F175" s="641">
        <f>SUM(F163:G174)</f>
        <v>0</v>
      </c>
      <c r="G175" s="688"/>
      <c r="I175" s="279" t="s">
        <v>688</v>
      </c>
      <c r="J175" s="119">
        <f>SUM(J163:J174)</f>
        <v>0</v>
      </c>
    </row>
    <row r="177" spans="1:10" ht="18.75" customHeight="1" x14ac:dyDescent="0.25">
      <c r="A177" s="280" t="s">
        <v>1018</v>
      </c>
      <c r="B177" s="281"/>
      <c r="C177" s="281"/>
      <c r="D177" s="276" t="s">
        <v>1019</v>
      </c>
      <c r="E177" s="695"/>
      <c r="F177" s="695"/>
      <c r="G177" s="695"/>
      <c r="I177" s="696" t="s">
        <v>852</v>
      </c>
      <c r="J177" s="696"/>
    </row>
    <row r="178" spans="1:10" x14ac:dyDescent="0.25">
      <c r="A178" s="697" t="s">
        <v>241</v>
      </c>
      <c r="B178" s="698"/>
      <c r="C178" s="697" t="s">
        <v>741</v>
      </c>
      <c r="D178" s="698"/>
      <c r="E178" s="697" t="s">
        <v>745</v>
      </c>
      <c r="F178" s="698"/>
      <c r="G178" s="699"/>
      <c r="I178" s="700" t="s">
        <v>241</v>
      </c>
      <c r="J178" s="700"/>
    </row>
    <row r="179" spans="1:10" x14ac:dyDescent="0.25">
      <c r="A179" s="282" t="s">
        <v>731</v>
      </c>
      <c r="B179" s="120">
        <v>0</v>
      </c>
      <c r="C179" s="689" t="s">
        <v>742</v>
      </c>
      <c r="D179" s="692">
        <f>+B179+B180+B181</f>
        <v>0</v>
      </c>
      <c r="E179" s="689" t="s">
        <v>746</v>
      </c>
      <c r="F179" s="638">
        <f>+D179+D182</f>
        <v>0</v>
      </c>
      <c r="G179" s="643"/>
      <c r="I179" s="278" t="s">
        <v>731</v>
      </c>
      <c r="J179" s="283">
        <v>0</v>
      </c>
    </row>
    <row r="180" spans="1:10" x14ac:dyDescent="0.25">
      <c r="A180" s="282" t="s">
        <v>515</v>
      </c>
      <c r="B180" s="120">
        <v>0</v>
      </c>
      <c r="C180" s="690"/>
      <c r="D180" s="693"/>
      <c r="E180" s="690"/>
      <c r="F180" s="639"/>
      <c r="G180" s="644"/>
      <c r="I180" s="278" t="s">
        <v>515</v>
      </c>
      <c r="J180" s="283">
        <v>0</v>
      </c>
    </row>
    <row r="181" spans="1:10" x14ac:dyDescent="0.25">
      <c r="A181" s="282" t="s">
        <v>732</v>
      </c>
      <c r="B181" s="120">
        <v>0</v>
      </c>
      <c r="C181" s="691"/>
      <c r="D181" s="694"/>
      <c r="E181" s="690"/>
      <c r="F181" s="639"/>
      <c r="G181" s="644"/>
      <c r="I181" s="278" t="s">
        <v>732</v>
      </c>
      <c r="J181" s="283">
        <v>0</v>
      </c>
    </row>
    <row r="182" spans="1:10" x14ac:dyDescent="0.25">
      <c r="A182" s="282" t="s">
        <v>733</v>
      </c>
      <c r="B182" s="120">
        <v>0</v>
      </c>
      <c r="C182" s="689" t="s">
        <v>743</v>
      </c>
      <c r="D182" s="692">
        <f>+B182+B183+B184</f>
        <v>0</v>
      </c>
      <c r="E182" s="690"/>
      <c r="F182" s="639"/>
      <c r="G182" s="644"/>
      <c r="I182" s="278" t="s">
        <v>733</v>
      </c>
      <c r="J182" s="283">
        <v>0</v>
      </c>
    </row>
    <row r="183" spans="1:10" x14ac:dyDescent="0.25">
      <c r="A183" s="282" t="s">
        <v>734</v>
      </c>
      <c r="B183" s="120">
        <v>0</v>
      </c>
      <c r="C183" s="690"/>
      <c r="D183" s="693"/>
      <c r="E183" s="690"/>
      <c r="F183" s="639"/>
      <c r="G183" s="644"/>
      <c r="I183" s="278" t="s">
        <v>734</v>
      </c>
      <c r="J183" s="283">
        <v>0</v>
      </c>
    </row>
    <row r="184" spans="1:10" x14ac:dyDescent="0.25">
      <c r="A184" s="282" t="s">
        <v>735</v>
      </c>
      <c r="B184" s="120">
        <v>0</v>
      </c>
      <c r="C184" s="691"/>
      <c r="D184" s="694"/>
      <c r="E184" s="691"/>
      <c r="F184" s="640"/>
      <c r="G184" s="645"/>
      <c r="I184" s="278" t="s">
        <v>735</v>
      </c>
      <c r="J184" s="283">
        <v>0</v>
      </c>
    </row>
    <row r="185" spans="1:10" x14ac:dyDescent="0.25">
      <c r="A185" s="282" t="s">
        <v>736</v>
      </c>
      <c r="B185" s="120">
        <v>0</v>
      </c>
      <c r="C185" s="689" t="s">
        <v>744</v>
      </c>
      <c r="D185" s="692">
        <f>+B185+B186+B187</f>
        <v>0</v>
      </c>
      <c r="E185" s="689" t="s">
        <v>747</v>
      </c>
      <c r="F185" s="638">
        <f>+D185+D188</f>
        <v>0</v>
      </c>
      <c r="G185" s="643"/>
      <c r="I185" s="278" t="s">
        <v>736</v>
      </c>
      <c r="J185" s="283">
        <v>0</v>
      </c>
    </row>
    <row r="186" spans="1:10" x14ac:dyDescent="0.25">
      <c r="A186" s="282" t="s">
        <v>737</v>
      </c>
      <c r="B186" s="120">
        <v>0</v>
      </c>
      <c r="C186" s="690"/>
      <c r="D186" s="693"/>
      <c r="E186" s="690"/>
      <c r="F186" s="639"/>
      <c r="G186" s="644"/>
      <c r="I186" s="278" t="s">
        <v>737</v>
      </c>
      <c r="J186" s="283">
        <v>0</v>
      </c>
    </row>
    <row r="187" spans="1:10" x14ac:dyDescent="0.25">
      <c r="A187" s="282" t="s">
        <v>738</v>
      </c>
      <c r="B187" s="120">
        <v>0</v>
      </c>
      <c r="C187" s="691"/>
      <c r="D187" s="694"/>
      <c r="E187" s="690"/>
      <c r="F187" s="639"/>
      <c r="G187" s="644"/>
      <c r="I187" s="278" t="s">
        <v>738</v>
      </c>
      <c r="J187" s="283">
        <v>0</v>
      </c>
    </row>
    <row r="188" spans="1:10" x14ac:dyDescent="0.25">
      <c r="A188" s="282" t="s">
        <v>739</v>
      </c>
      <c r="B188" s="120">
        <v>0</v>
      </c>
      <c r="C188" s="689" t="s">
        <v>774</v>
      </c>
      <c r="D188" s="692">
        <f>+B188+B189+B190</f>
        <v>0</v>
      </c>
      <c r="E188" s="690"/>
      <c r="F188" s="639"/>
      <c r="G188" s="644"/>
      <c r="I188" s="278" t="s">
        <v>739</v>
      </c>
      <c r="J188" s="283">
        <v>0</v>
      </c>
    </row>
    <row r="189" spans="1:10" x14ac:dyDescent="0.25">
      <c r="A189" s="282" t="s">
        <v>740</v>
      </c>
      <c r="B189" s="120">
        <v>0</v>
      </c>
      <c r="C189" s="690"/>
      <c r="D189" s="693"/>
      <c r="E189" s="690"/>
      <c r="F189" s="639"/>
      <c r="G189" s="644"/>
      <c r="I189" s="278" t="s">
        <v>740</v>
      </c>
      <c r="J189" s="283">
        <v>0</v>
      </c>
    </row>
    <row r="190" spans="1:10" x14ac:dyDescent="0.25">
      <c r="A190" s="282" t="s">
        <v>730</v>
      </c>
      <c r="B190" s="120">
        <v>0</v>
      </c>
      <c r="C190" s="691"/>
      <c r="D190" s="694"/>
      <c r="E190" s="691"/>
      <c r="F190" s="640"/>
      <c r="G190" s="645"/>
      <c r="I190" s="278" t="s">
        <v>730</v>
      </c>
      <c r="J190" s="283">
        <v>0</v>
      </c>
    </row>
    <row r="191" spans="1:10" x14ac:dyDescent="0.25">
      <c r="A191" s="279" t="s">
        <v>688</v>
      </c>
      <c r="B191" s="271">
        <f>SUM(B179:B190)</f>
        <v>0</v>
      </c>
      <c r="C191" s="279" t="s">
        <v>688</v>
      </c>
      <c r="D191" s="271">
        <f>SUM(D179:D190)</f>
        <v>0</v>
      </c>
      <c r="E191" s="279" t="s">
        <v>688</v>
      </c>
      <c r="F191" s="641">
        <f>SUM(F179:G190)</f>
        <v>0</v>
      </c>
      <c r="G191" s="688"/>
      <c r="I191" s="279" t="s">
        <v>688</v>
      </c>
      <c r="J191" s="119">
        <f>SUM(J179:J190)</f>
        <v>0</v>
      </c>
    </row>
    <row r="193" spans="1:10" ht="18.75" customHeight="1" x14ac:dyDescent="0.25">
      <c r="A193" s="280" t="s">
        <v>1018</v>
      </c>
      <c r="B193" s="281"/>
      <c r="C193" s="281"/>
      <c r="D193" s="276" t="s">
        <v>1019</v>
      </c>
      <c r="E193" s="695"/>
      <c r="F193" s="695"/>
      <c r="G193" s="695"/>
      <c r="I193" s="696" t="s">
        <v>852</v>
      </c>
      <c r="J193" s="696"/>
    </row>
    <row r="194" spans="1:10" x14ac:dyDescent="0.25">
      <c r="A194" s="697" t="s">
        <v>241</v>
      </c>
      <c r="B194" s="698"/>
      <c r="C194" s="697" t="s">
        <v>741</v>
      </c>
      <c r="D194" s="698"/>
      <c r="E194" s="697" t="s">
        <v>745</v>
      </c>
      <c r="F194" s="698"/>
      <c r="G194" s="699"/>
      <c r="I194" s="700" t="s">
        <v>241</v>
      </c>
      <c r="J194" s="700"/>
    </row>
    <row r="195" spans="1:10" x14ac:dyDescent="0.25">
      <c r="A195" s="282" t="s">
        <v>731</v>
      </c>
      <c r="B195" s="120">
        <v>0</v>
      </c>
      <c r="C195" s="689" t="s">
        <v>742</v>
      </c>
      <c r="D195" s="692">
        <f>+B195+B196+B197</f>
        <v>0</v>
      </c>
      <c r="E195" s="689" t="s">
        <v>746</v>
      </c>
      <c r="F195" s="638">
        <f>+D195+D198</f>
        <v>0</v>
      </c>
      <c r="G195" s="643"/>
      <c r="I195" s="278" t="s">
        <v>731</v>
      </c>
      <c r="J195" s="283">
        <v>0</v>
      </c>
    </row>
    <row r="196" spans="1:10" x14ac:dyDescent="0.25">
      <c r="A196" s="282" t="s">
        <v>515</v>
      </c>
      <c r="B196" s="120">
        <v>0</v>
      </c>
      <c r="C196" s="690"/>
      <c r="D196" s="693"/>
      <c r="E196" s="690"/>
      <c r="F196" s="639"/>
      <c r="G196" s="644"/>
      <c r="I196" s="278" t="s">
        <v>515</v>
      </c>
      <c r="J196" s="283">
        <v>0</v>
      </c>
    </row>
    <row r="197" spans="1:10" x14ac:dyDescent="0.25">
      <c r="A197" s="282" t="s">
        <v>732</v>
      </c>
      <c r="B197" s="120">
        <v>0</v>
      </c>
      <c r="C197" s="691"/>
      <c r="D197" s="694"/>
      <c r="E197" s="690"/>
      <c r="F197" s="639"/>
      <c r="G197" s="644"/>
      <c r="I197" s="278" t="s">
        <v>732</v>
      </c>
      <c r="J197" s="283">
        <v>0</v>
      </c>
    </row>
    <row r="198" spans="1:10" x14ac:dyDescent="0.25">
      <c r="A198" s="282" t="s">
        <v>733</v>
      </c>
      <c r="B198" s="120">
        <v>0</v>
      </c>
      <c r="C198" s="689" t="s">
        <v>743</v>
      </c>
      <c r="D198" s="692">
        <f>+B198+B199+B200</f>
        <v>0</v>
      </c>
      <c r="E198" s="690"/>
      <c r="F198" s="639"/>
      <c r="G198" s="644"/>
      <c r="I198" s="278" t="s">
        <v>733</v>
      </c>
      <c r="J198" s="283">
        <v>0</v>
      </c>
    </row>
    <row r="199" spans="1:10" x14ac:dyDescent="0.25">
      <c r="A199" s="282" t="s">
        <v>734</v>
      </c>
      <c r="B199" s="120">
        <v>0</v>
      </c>
      <c r="C199" s="690"/>
      <c r="D199" s="693"/>
      <c r="E199" s="690"/>
      <c r="F199" s="639"/>
      <c r="G199" s="644"/>
      <c r="I199" s="278" t="s">
        <v>734</v>
      </c>
      <c r="J199" s="283">
        <v>0</v>
      </c>
    </row>
    <row r="200" spans="1:10" x14ac:dyDescent="0.25">
      <c r="A200" s="282" t="s">
        <v>735</v>
      </c>
      <c r="B200" s="120">
        <v>0</v>
      </c>
      <c r="C200" s="691"/>
      <c r="D200" s="694"/>
      <c r="E200" s="691"/>
      <c r="F200" s="640"/>
      <c r="G200" s="645"/>
      <c r="I200" s="278" t="s">
        <v>735</v>
      </c>
      <c r="J200" s="283">
        <v>0</v>
      </c>
    </row>
    <row r="201" spans="1:10" x14ac:dyDescent="0.25">
      <c r="A201" s="282" t="s">
        <v>736</v>
      </c>
      <c r="B201" s="120">
        <v>0</v>
      </c>
      <c r="C201" s="689" t="s">
        <v>744</v>
      </c>
      <c r="D201" s="692">
        <f>+B201+B202+B203</f>
        <v>0</v>
      </c>
      <c r="E201" s="689" t="s">
        <v>747</v>
      </c>
      <c r="F201" s="638">
        <f>+D201+D204</f>
        <v>0</v>
      </c>
      <c r="G201" s="643"/>
      <c r="I201" s="278" t="s">
        <v>736</v>
      </c>
      <c r="J201" s="283">
        <v>0</v>
      </c>
    </row>
    <row r="202" spans="1:10" x14ac:dyDescent="0.25">
      <c r="A202" s="282" t="s">
        <v>737</v>
      </c>
      <c r="B202" s="120">
        <v>0</v>
      </c>
      <c r="C202" s="690"/>
      <c r="D202" s="693"/>
      <c r="E202" s="690"/>
      <c r="F202" s="639"/>
      <c r="G202" s="644"/>
      <c r="I202" s="278" t="s">
        <v>737</v>
      </c>
      <c r="J202" s="283">
        <v>0</v>
      </c>
    </row>
    <row r="203" spans="1:10" x14ac:dyDescent="0.25">
      <c r="A203" s="282" t="s">
        <v>738</v>
      </c>
      <c r="B203" s="120">
        <v>0</v>
      </c>
      <c r="C203" s="691"/>
      <c r="D203" s="694"/>
      <c r="E203" s="690"/>
      <c r="F203" s="639"/>
      <c r="G203" s="644"/>
      <c r="I203" s="278" t="s">
        <v>738</v>
      </c>
      <c r="J203" s="283">
        <v>0</v>
      </c>
    </row>
    <row r="204" spans="1:10" x14ac:dyDescent="0.25">
      <c r="A204" s="282" t="s">
        <v>739</v>
      </c>
      <c r="B204" s="120">
        <v>0</v>
      </c>
      <c r="C204" s="689" t="s">
        <v>774</v>
      </c>
      <c r="D204" s="692">
        <f>+B204+B205+B206</f>
        <v>0</v>
      </c>
      <c r="E204" s="690"/>
      <c r="F204" s="639"/>
      <c r="G204" s="644"/>
      <c r="I204" s="278" t="s">
        <v>739</v>
      </c>
      <c r="J204" s="283">
        <v>0</v>
      </c>
    </row>
    <row r="205" spans="1:10" x14ac:dyDescent="0.25">
      <c r="A205" s="282" t="s">
        <v>740</v>
      </c>
      <c r="B205" s="120">
        <v>0</v>
      </c>
      <c r="C205" s="690"/>
      <c r="D205" s="693"/>
      <c r="E205" s="690"/>
      <c r="F205" s="639"/>
      <c r="G205" s="644"/>
      <c r="I205" s="278" t="s">
        <v>740</v>
      </c>
      <c r="J205" s="283">
        <v>0</v>
      </c>
    </row>
    <row r="206" spans="1:10" x14ac:dyDescent="0.25">
      <c r="A206" s="282" t="s">
        <v>730</v>
      </c>
      <c r="B206" s="120">
        <v>0</v>
      </c>
      <c r="C206" s="691"/>
      <c r="D206" s="694"/>
      <c r="E206" s="691"/>
      <c r="F206" s="640"/>
      <c r="G206" s="645"/>
      <c r="I206" s="278" t="s">
        <v>730</v>
      </c>
      <c r="J206" s="283">
        <v>0</v>
      </c>
    </row>
    <row r="207" spans="1:10" x14ac:dyDescent="0.25">
      <c r="A207" s="279" t="s">
        <v>688</v>
      </c>
      <c r="B207" s="271">
        <f>SUM(B195:B206)</f>
        <v>0</v>
      </c>
      <c r="C207" s="279" t="s">
        <v>688</v>
      </c>
      <c r="D207" s="271">
        <f>SUM(D195:D206)</f>
        <v>0</v>
      </c>
      <c r="E207" s="279" t="s">
        <v>688</v>
      </c>
      <c r="F207" s="641">
        <f>SUM(F195:G206)</f>
        <v>0</v>
      </c>
      <c r="G207" s="688"/>
      <c r="I207" s="279" t="s">
        <v>688</v>
      </c>
      <c r="J207" s="119">
        <f>SUM(J195:J206)</f>
        <v>0</v>
      </c>
    </row>
    <row r="209" spans="1:10" ht="18.75" customHeight="1" x14ac:dyDescent="0.25">
      <c r="A209" s="280" t="s">
        <v>1018</v>
      </c>
      <c r="B209" s="281"/>
      <c r="C209" s="281"/>
      <c r="D209" s="276" t="s">
        <v>1019</v>
      </c>
      <c r="E209" s="695"/>
      <c r="F209" s="695"/>
      <c r="G209" s="695"/>
      <c r="I209" s="696" t="s">
        <v>852</v>
      </c>
      <c r="J209" s="696"/>
    </row>
    <row r="210" spans="1:10" x14ac:dyDescent="0.25">
      <c r="A210" s="697" t="s">
        <v>241</v>
      </c>
      <c r="B210" s="698"/>
      <c r="C210" s="697" t="s">
        <v>741</v>
      </c>
      <c r="D210" s="698"/>
      <c r="E210" s="697" t="s">
        <v>745</v>
      </c>
      <c r="F210" s="698"/>
      <c r="G210" s="699"/>
      <c r="I210" s="700" t="s">
        <v>241</v>
      </c>
      <c r="J210" s="700"/>
    </row>
    <row r="211" spans="1:10" x14ac:dyDescent="0.25">
      <c r="A211" s="282" t="s">
        <v>731</v>
      </c>
      <c r="B211" s="120">
        <v>0</v>
      </c>
      <c r="C211" s="689" t="s">
        <v>742</v>
      </c>
      <c r="D211" s="692">
        <f>+B211+B212+B213</f>
        <v>0</v>
      </c>
      <c r="E211" s="689" t="s">
        <v>746</v>
      </c>
      <c r="F211" s="638">
        <f>+D211+D214</f>
        <v>0</v>
      </c>
      <c r="G211" s="643"/>
      <c r="I211" s="278" t="s">
        <v>731</v>
      </c>
      <c r="J211" s="283">
        <v>0</v>
      </c>
    </row>
    <row r="212" spans="1:10" x14ac:dyDescent="0.25">
      <c r="A212" s="282" t="s">
        <v>515</v>
      </c>
      <c r="B212" s="120">
        <v>0</v>
      </c>
      <c r="C212" s="690"/>
      <c r="D212" s="693"/>
      <c r="E212" s="690"/>
      <c r="F212" s="639"/>
      <c r="G212" s="644"/>
      <c r="I212" s="278" t="s">
        <v>515</v>
      </c>
      <c r="J212" s="283">
        <v>0</v>
      </c>
    </row>
    <row r="213" spans="1:10" x14ac:dyDescent="0.25">
      <c r="A213" s="282" t="s">
        <v>732</v>
      </c>
      <c r="B213" s="120">
        <v>0</v>
      </c>
      <c r="C213" s="691"/>
      <c r="D213" s="694"/>
      <c r="E213" s="690"/>
      <c r="F213" s="639"/>
      <c r="G213" s="644"/>
      <c r="I213" s="278" t="s">
        <v>732</v>
      </c>
      <c r="J213" s="283">
        <v>0</v>
      </c>
    </row>
    <row r="214" spans="1:10" x14ac:dyDescent="0.25">
      <c r="A214" s="282" t="s">
        <v>733</v>
      </c>
      <c r="B214" s="120">
        <v>0</v>
      </c>
      <c r="C214" s="689" t="s">
        <v>743</v>
      </c>
      <c r="D214" s="692">
        <f>+B214+B215+B216</f>
        <v>0</v>
      </c>
      <c r="E214" s="690"/>
      <c r="F214" s="639"/>
      <c r="G214" s="644"/>
      <c r="I214" s="278" t="s">
        <v>733</v>
      </c>
      <c r="J214" s="283">
        <v>0</v>
      </c>
    </row>
    <row r="215" spans="1:10" x14ac:dyDescent="0.25">
      <c r="A215" s="282" t="s">
        <v>734</v>
      </c>
      <c r="B215" s="120">
        <v>0</v>
      </c>
      <c r="C215" s="690"/>
      <c r="D215" s="693"/>
      <c r="E215" s="690"/>
      <c r="F215" s="639"/>
      <c r="G215" s="644"/>
      <c r="I215" s="278" t="s">
        <v>734</v>
      </c>
      <c r="J215" s="283">
        <v>0</v>
      </c>
    </row>
    <row r="216" spans="1:10" x14ac:dyDescent="0.25">
      <c r="A216" s="282" t="s">
        <v>735</v>
      </c>
      <c r="B216" s="120">
        <v>0</v>
      </c>
      <c r="C216" s="691"/>
      <c r="D216" s="694"/>
      <c r="E216" s="691"/>
      <c r="F216" s="640"/>
      <c r="G216" s="645"/>
      <c r="I216" s="278" t="s">
        <v>735</v>
      </c>
      <c r="J216" s="283">
        <v>0</v>
      </c>
    </row>
    <row r="217" spans="1:10" x14ac:dyDescent="0.25">
      <c r="A217" s="282" t="s">
        <v>736</v>
      </c>
      <c r="B217" s="120">
        <v>0</v>
      </c>
      <c r="C217" s="689" t="s">
        <v>744</v>
      </c>
      <c r="D217" s="692">
        <f>+B217+B218+B219</f>
        <v>0</v>
      </c>
      <c r="E217" s="689" t="s">
        <v>747</v>
      </c>
      <c r="F217" s="638">
        <f>+D217+D220</f>
        <v>0</v>
      </c>
      <c r="G217" s="643"/>
      <c r="I217" s="278" t="s">
        <v>736</v>
      </c>
      <c r="J217" s="283">
        <v>0</v>
      </c>
    </row>
    <row r="218" spans="1:10" x14ac:dyDescent="0.25">
      <c r="A218" s="282" t="s">
        <v>737</v>
      </c>
      <c r="B218" s="120">
        <v>0</v>
      </c>
      <c r="C218" s="690"/>
      <c r="D218" s="693"/>
      <c r="E218" s="690"/>
      <c r="F218" s="639"/>
      <c r="G218" s="644"/>
      <c r="I218" s="278" t="s">
        <v>737</v>
      </c>
      <c r="J218" s="283">
        <v>0</v>
      </c>
    </row>
    <row r="219" spans="1:10" x14ac:dyDescent="0.25">
      <c r="A219" s="282" t="s">
        <v>738</v>
      </c>
      <c r="B219" s="120">
        <v>0</v>
      </c>
      <c r="C219" s="691"/>
      <c r="D219" s="694"/>
      <c r="E219" s="690"/>
      <c r="F219" s="639"/>
      <c r="G219" s="644"/>
      <c r="I219" s="278" t="s">
        <v>738</v>
      </c>
      <c r="J219" s="283">
        <v>0</v>
      </c>
    </row>
    <row r="220" spans="1:10" x14ac:dyDescent="0.25">
      <c r="A220" s="282" t="s">
        <v>739</v>
      </c>
      <c r="B220" s="120">
        <v>0</v>
      </c>
      <c r="C220" s="689" t="s">
        <v>774</v>
      </c>
      <c r="D220" s="692">
        <f>+B220+B221+B222</f>
        <v>0</v>
      </c>
      <c r="E220" s="690"/>
      <c r="F220" s="639"/>
      <c r="G220" s="644"/>
      <c r="I220" s="278" t="s">
        <v>739</v>
      </c>
      <c r="J220" s="283">
        <v>0</v>
      </c>
    </row>
    <row r="221" spans="1:10" x14ac:dyDescent="0.25">
      <c r="A221" s="282" t="s">
        <v>740</v>
      </c>
      <c r="B221" s="120">
        <v>0</v>
      </c>
      <c r="C221" s="690"/>
      <c r="D221" s="693"/>
      <c r="E221" s="690"/>
      <c r="F221" s="639"/>
      <c r="G221" s="644"/>
      <c r="I221" s="278" t="s">
        <v>740</v>
      </c>
      <c r="J221" s="283">
        <v>0</v>
      </c>
    </row>
    <row r="222" spans="1:10" x14ac:dyDescent="0.25">
      <c r="A222" s="282" t="s">
        <v>730</v>
      </c>
      <c r="B222" s="120">
        <v>0</v>
      </c>
      <c r="C222" s="691"/>
      <c r="D222" s="694"/>
      <c r="E222" s="691"/>
      <c r="F222" s="640"/>
      <c r="G222" s="645"/>
      <c r="I222" s="278" t="s">
        <v>730</v>
      </c>
      <c r="J222" s="283">
        <v>0</v>
      </c>
    </row>
    <row r="223" spans="1:10" x14ac:dyDescent="0.25">
      <c r="A223" s="279" t="s">
        <v>688</v>
      </c>
      <c r="B223" s="271">
        <f>SUM(B211:B222)</f>
        <v>0</v>
      </c>
      <c r="C223" s="279" t="s">
        <v>688</v>
      </c>
      <c r="D223" s="271">
        <f>SUM(D211:D222)</f>
        <v>0</v>
      </c>
      <c r="E223" s="279" t="s">
        <v>688</v>
      </c>
      <c r="F223" s="641">
        <f>SUM(F211:G222)</f>
        <v>0</v>
      </c>
      <c r="G223" s="688"/>
      <c r="I223" s="279" t="s">
        <v>688</v>
      </c>
      <c r="J223" s="119">
        <f>SUM(J211:J222)</f>
        <v>0</v>
      </c>
    </row>
    <row r="225" spans="1:10" ht="18.75" customHeight="1" x14ac:dyDescent="0.25">
      <c r="A225" s="280" t="s">
        <v>1018</v>
      </c>
      <c r="B225" s="281"/>
      <c r="C225" s="281"/>
      <c r="D225" s="276" t="s">
        <v>1019</v>
      </c>
      <c r="E225" s="695"/>
      <c r="F225" s="695"/>
      <c r="G225" s="695"/>
      <c r="I225" s="696" t="s">
        <v>852</v>
      </c>
      <c r="J225" s="696"/>
    </row>
    <row r="226" spans="1:10" x14ac:dyDescent="0.25">
      <c r="A226" s="697" t="s">
        <v>241</v>
      </c>
      <c r="B226" s="698"/>
      <c r="C226" s="697" t="s">
        <v>741</v>
      </c>
      <c r="D226" s="698"/>
      <c r="E226" s="697" t="s">
        <v>745</v>
      </c>
      <c r="F226" s="698"/>
      <c r="G226" s="699"/>
      <c r="I226" s="700" t="s">
        <v>241</v>
      </c>
      <c r="J226" s="700"/>
    </row>
    <row r="227" spans="1:10" x14ac:dyDescent="0.25">
      <c r="A227" s="282" t="s">
        <v>731</v>
      </c>
      <c r="B227" s="120">
        <v>0</v>
      </c>
      <c r="C227" s="689" t="s">
        <v>742</v>
      </c>
      <c r="D227" s="692">
        <f>+B227+B228+B229</f>
        <v>0</v>
      </c>
      <c r="E227" s="689" t="s">
        <v>746</v>
      </c>
      <c r="F227" s="638">
        <f>+D227+D230</f>
        <v>0</v>
      </c>
      <c r="G227" s="643"/>
      <c r="I227" s="278" t="s">
        <v>731</v>
      </c>
      <c r="J227" s="283">
        <v>0</v>
      </c>
    </row>
    <row r="228" spans="1:10" x14ac:dyDescent="0.25">
      <c r="A228" s="282" t="s">
        <v>515</v>
      </c>
      <c r="B228" s="120">
        <v>0</v>
      </c>
      <c r="C228" s="690"/>
      <c r="D228" s="693"/>
      <c r="E228" s="690"/>
      <c r="F228" s="639"/>
      <c r="G228" s="644"/>
      <c r="I228" s="278" t="s">
        <v>515</v>
      </c>
      <c r="J228" s="283">
        <v>0</v>
      </c>
    </row>
    <row r="229" spans="1:10" x14ac:dyDescent="0.25">
      <c r="A229" s="282" t="s">
        <v>732</v>
      </c>
      <c r="B229" s="120">
        <v>0</v>
      </c>
      <c r="C229" s="691"/>
      <c r="D229" s="694"/>
      <c r="E229" s="690"/>
      <c r="F229" s="639"/>
      <c r="G229" s="644"/>
      <c r="I229" s="278" t="s">
        <v>732</v>
      </c>
      <c r="J229" s="283">
        <v>0</v>
      </c>
    </row>
    <row r="230" spans="1:10" x14ac:dyDescent="0.25">
      <c r="A230" s="282" t="s">
        <v>733</v>
      </c>
      <c r="B230" s="120">
        <v>0</v>
      </c>
      <c r="C230" s="689" t="s">
        <v>743</v>
      </c>
      <c r="D230" s="692">
        <f>+B230+B231+B232</f>
        <v>0</v>
      </c>
      <c r="E230" s="690"/>
      <c r="F230" s="639"/>
      <c r="G230" s="644"/>
      <c r="I230" s="278" t="s">
        <v>733</v>
      </c>
      <c r="J230" s="283">
        <v>0</v>
      </c>
    </row>
    <row r="231" spans="1:10" x14ac:dyDescent="0.25">
      <c r="A231" s="282" t="s">
        <v>734</v>
      </c>
      <c r="B231" s="120">
        <v>0</v>
      </c>
      <c r="C231" s="690"/>
      <c r="D231" s="693"/>
      <c r="E231" s="690"/>
      <c r="F231" s="639"/>
      <c r="G231" s="644"/>
      <c r="I231" s="278" t="s">
        <v>734</v>
      </c>
      <c r="J231" s="283">
        <v>0</v>
      </c>
    </row>
    <row r="232" spans="1:10" x14ac:dyDescent="0.25">
      <c r="A232" s="282" t="s">
        <v>735</v>
      </c>
      <c r="B232" s="120">
        <v>0</v>
      </c>
      <c r="C232" s="691"/>
      <c r="D232" s="694"/>
      <c r="E232" s="691"/>
      <c r="F232" s="640"/>
      <c r="G232" s="645"/>
      <c r="I232" s="278" t="s">
        <v>735</v>
      </c>
      <c r="J232" s="283">
        <v>0</v>
      </c>
    </row>
    <row r="233" spans="1:10" x14ac:dyDescent="0.25">
      <c r="A233" s="282" t="s">
        <v>736</v>
      </c>
      <c r="B233" s="120">
        <v>0</v>
      </c>
      <c r="C233" s="689" t="s">
        <v>744</v>
      </c>
      <c r="D233" s="692">
        <f>+B233+B234+B235</f>
        <v>0</v>
      </c>
      <c r="E233" s="689" t="s">
        <v>747</v>
      </c>
      <c r="F233" s="638">
        <f>+D233+D236</f>
        <v>0</v>
      </c>
      <c r="G233" s="643"/>
      <c r="I233" s="278" t="s">
        <v>736</v>
      </c>
      <c r="J233" s="283">
        <v>0</v>
      </c>
    </row>
    <row r="234" spans="1:10" x14ac:dyDescent="0.25">
      <c r="A234" s="282" t="s">
        <v>737</v>
      </c>
      <c r="B234" s="120">
        <v>0</v>
      </c>
      <c r="C234" s="690"/>
      <c r="D234" s="693"/>
      <c r="E234" s="690"/>
      <c r="F234" s="639"/>
      <c r="G234" s="644"/>
      <c r="I234" s="278" t="s">
        <v>737</v>
      </c>
      <c r="J234" s="283">
        <v>0</v>
      </c>
    </row>
    <row r="235" spans="1:10" x14ac:dyDescent="0.25">
      <c r="A235" s="282" t="s">
        <v>738</v>
      </c>
      <c r="B235" s="120">
        <v>0</v>
      </c>
      <c r="C235" s="691"/>
      <c r="D235" s="694"/>
      <c r="E235" s="690"/>
      <c r="F235" s="639"/>
      <c r="G235" s="644"/>
      <c r="I235" s="278" t="s">
        <v>738</v>
      </c>
      <c r="J235" s="283">
        <v>0</v>
      </c>
    </row>
    <row r="236" spans="1:10" x14ac:dyDescent="0.25">
      <c r="A236" s="282" t="s">
        <v>739</v>
      </c>
      <c r="B236" s="120">
        <v>0</v>
      </c>
      <c r="C236" s="689" t="s">
        <v>774</v>
      </c>
      <c r="D236" s="692">
        <f>+B236+B237+B238</f>
        <v>0</v>
      </c>
      <c r="E236" s="690"/>
      <c r="F236" s="639"/>
      <c r="G236" s="644"/>
      <c r="I236" s="278" t="s">
        <v>739</v>
      </c>
      <c r="J236" s="283">
        <v>0</v>
      </c>
    </row>
    <row r="237" spans="1:10" x14ac:dyDescent="0.25">
      <c r="A237" s="282" t="s">
        <v>740</v>
      </c>
      <c r="B237" s="120">
        <v>0</v>
      </c>
      <c r="C237" s="690"/>
      <c r="D237" s="693"/>
      <c r="E237" s="690"/>
      <c r="F237" s="639"/>
      <c r="G237" s="644"/>
      <c r="I237" s="278" t="s">
        <v>740</v>
      </c>
      <c r="J237" s="283">
        <v>0</v>
      </c>
    </row>
    <row r="238" spans="1:10" x14ac:dyDescent="0.25">
      <c r="A238" s="282" t="s">
        <v>730</v>
      </c>
      <c r="B238" s="120">
        <v>0</v>
      </c>
      <c r="C238" s="691"/>
      <c r="D238" s="694"/>
      <c r="E238" s="691"/>
      <c r="F238" s="640"/>
      <c r="G238" s="645"/>
      <c r="I238" s="278" t="s">
        <v>730</v>
      </c>
      <c r="J238" s="283">
        <v>0</v>
      </c>
    </row>
    <row r="239" spans="1:10" x14ac:dyDescent="0.25">
      <c r="A239" s="279" t="s">
        <v>688</v>
      </c>
      <c r="B239" s="271">
        <f>SUM(B227:B238)</f>
        <v>0</v>
      </c>
      <c r="C239" s="279" t="s">
        <v>688</v>
      </c>
      <c r="D239" s="271">
        <f>SUM(D227:D238)</f>
        <v>0</v>
      </c>
      <c r="E239" s="279" t="s">
        <v>688</v>
      </c>
      <c r="F239" s="641">
        <f>SUM(F227:G238)</f>
        <v>0</v>
      </c>
      <c r="G239" s="688"/>
      <c r="I239" s="279" t="s">
        <v>688</v>
      </c>
      <c r="J239" s="119">
        <f>SUM(J227:J238)</f>
        <v>0</v>
      </c>
    </row>
    <row r="241" spans="1:10" ht="18.75" customHeight="1" x14ac:dyDescent="0.25">
      <c r="A241" s="280" t="s">
        <v>1018</v>
      </c>
      <c r="B241" s="281"/>
      <c r="C241" s="281"/>
      <c r="D241" s="276" t="s">
        <v>1019</v>
      </c>
      <c r="E241" s="695"/>
      <c r="F241" s="695"/>
      <c r="G241" s="695"/>
      <c r="I241" s="696" t="s">
        <v>852</v>
      </c>
      <c r="J241" s="696"/>
    </row>
    <row r="242" spans="1:10" x14ac:dyDescent="0.25">
      <c r="A242" s="697" t="s">
        <v>241</v>
      </c>
      <c r="B242" s="698"/>
      <c r="C242" s="697" t="s">
        <v>741</v>
      </c>
      <c r="D242" s="698"/>
      <c r="E242" s="697" t="s">
        <v>745</v>
      </c>
      <c r="F242" s="698"/>
      <c r="G242" s="699"/>
      <c r="I242" s="700" t="s">
        <v>241</v>
      </c>
      <c r="J242" s="700"/>
    </row>
    <row r="243" spans="1:10" x14ac:dyDescent="0.25">
      <c r="A243" s="282" t="s">
        <v>731</v>
      </c>
      <c r="B243" s="120">
        <v>0</v>
      </c>
      <c r="C243" s="689" t="s">
        <v>742</v>
      </c>
      <c r="D243" s="692">
        <f>+B243+B244+B245</f>
        <v>0</v>
      </c>
      <c r="E243" s="689" t="s">
        <v>746</v>
      </c>
      <c r="F243" s="638">
        <f>+D243+D246</f>
        <v>0</v>
      </c>
      <c r="G243" s="643"/>
      <c r="I243" s="278" t="s">
        <v>731</v>
      </c>
      <c r="J243" s="283">
        <v>0</v>
      </c>
    </row>
    <row r="244" spans="1:10" x14ac:dyDescent="0.25">
      <c r="A244" s="282" t="s">
        <v>515</v>
      </c>
      <c r="B244" s="120">
        <v>0</v>
      </c>
      <c r="C244" s="690"/>
      <c r="D244" s="693"/>
      <c r="E244" s="690"/>
      <c r="F244" s="639"/>
      <c r="G244" s="644"/>
      <c r="I244" s="278" t="s">
        <v>515</v>
      </c>
      <c r="J244" s="283">
        <v>0</v>
      </c>
    </row>
    <row r="245" spans="1:10" x14ac:dyDescent="0.25">
      <c r="A245" s="282" t="s">
        <v>732</v>
      </c>
      <c r="B245" s="120">
        <v>0</v>
      </c>
      <c r="C245" s="691"/>
      <c r="D245" s="694"/>
      <c r="E245" s="690"/>
      <c r="F245" s="639"/>
      <c r="G245" s="644"/>
      <c r="I245" s="278" t="s">
        <v>732</v>
      </c>
      <c r="J245" s="283">
        <v>0</v>
      </c>
    </row>
    <row r="246" spans="1:10" x14ac:dyDescent="0.25">
      <c r="A246" s="282" t="s">
        <v>733</v>
      </c>
      <c r="B246" s="120">
        <v>0</v>
      </c>
      <c r="C246" s="689" t="s">
        <v>743</v>
      </c>
      <c r="D246" s="692">
        <f>+B246+B247+B248</f>
        <v>0</v>
      </c>
      <c r="E246" s="690"/>
      <c r="F246" s="639"/>
      <c r="G246" s="644"/>
      <c r="I246" s="278" t="s">
        <v>733</v>
      </c>
      <c r="J246" s="283">
        <v>0</v>
      </c>
    </row>
    <row r="247" spans="1:10" x14ac:dyDescent="0.25">
      <c r="A247" s="282" t="s">
        <v>734</v>
      </c>
      <c r="B247" s="120">
        <v>0</v>
      </c>
      <c r="C247" s="690"/>
      <c r="D247" s="693"/>
      <c r="E247" s="690"/>
      <c r="F247" s="639"/>
      <c r="G247" s="644"/>
      <c r="I247" s="278" t="s">
        <v>734</v>
      </c>
      <c r="J247" s="283">
        <v>0</v>
      </c>
    </row>
    <row r="248" spans="1:10" x14ac:dyDescent="0.25">
      <c r="A248" s="282" t="s">
        <v>735</v>
      </c>
      <c r="B248" s="120">
        <v>0</v>
      </c>
      <c r="C248" s="691"/>
      <c r="D248" s="694"/>
      <c r="E248" s="691"/>
      <c r="F248" s="640"/>
      <c r="G248" s="645"/>
      <c r="I248" s="278" t="s">
        <v>735</v>
      </c>
      <c r="J248" s="283">
        <v>0</v>
      </c>
    </row>
    <row r="249" spans="1:10" x14ac:dyDescent="0.25">
      <c r="A249" s="282" t="s">
        <v>736</v>
      </c>
      <c r="B249" s="120">
        <v>0</v>
      </c>
      <c r="C249" s="689" t="s">
        <v>744</v>
      </c>
      <c r="D249" s="692">
        <f>+B249+B250+B251</f>
        <v>0</v>
      </c>
      <c r="E249" s="689" t="s">
        <v>747</v>
      </c>
      <c r="F249" s="638">
        <f>+D249+D252</f>
        <v>0</v>
      </c>
      <c r="G249" s="643"/>
      <c r="I249" s="278" t="s">
        <v>736</v>
      </c>
      <c r="J249" s="283">
        <v>0</v>
      </c>
    </row>
    <row r="250" spans="1:10" x14ac:dyDescent="0.25">
      <c r="A250" s="282" t="s">
        <v>737</v>
      </c>
      <c r="B250" s="120">
        <v>0</v>
      </c>
      <c r="C250" s="690"/>
      <c r="D250" s="693"/>
      <c r="E250" s="690"/>
      <c r="F250" s="639"/>
      <c r="G250" s="644"/>
      <c r="I250" s="278" t="s">
        <v>737</v>
      </c>
      <c r="J250" s="283">
        <v>0</v>
      </c>
    </row>
    <row r="251" spans="1:10" x14ac:dyDescent="0.25">
      <c r="A251" s="282" t="s">
        <v>738</v>
      </c>
      <c r="B251" s="120">
        <v>0</v>
      </c>
      <c r="C251" s="691"/>
      <c r="D251" s="694"/>
      <c r="E251" s="690"/>
      <c r="F251" s="639"/>
      <c r="G251" s="644"/>
      <c r="I251" s="278" t="s">
        <v>738</v>
      </c>
      <c r="J251" s="283">
        <v>0</v>
      </c>
    </row>
    <row r="252" spans="1:10" x14ac:dyDescent="0.25">
      <c r="A252" s="282" t="s">
        <v>739</v>
      </c>
      <c r="B252" s="120">
        <v>0</v>
      </c>
      <c r="C252" s="689" t="s">
        <v>774</v>
      </c>
      <c r="D252" s="692">
        <f>+B252+B253+B254</f>
        <v>0</v>
      </c>
      <c r="E252" s="690"/>
      <c r="F252" s="639"/>
      <c r="G252" s="644"/>
      <c r="I252" s="278" t="s">
        <v>739</v>
      </c>
      <c r="J252" s="283">
        <v>0</v>
      </c>
    </row>
    <row r="253" spans="1:10" x14ac:dyDescent="0.25">
      <c r="A253" s="282" t="s">
        <v>740</v>
      </c>
      <c r="B253" s="120">
        <v>0</v>
      </c>
      <c r="C253" s="690"/>
      <c r="D253" s="693"/>
      <c r="E253" s="690"/>
      <c r="F253" s="639"/>
      <c r="G253" s="644"/>
      <c r="I253" s="278" t="s">
        <v>740</v>
      </c>
      <c r="J253" s="283">
        <v>0</v>
      </c>
    </row>
    <row r="254" spans="1:10" x14ac:dyDescent="0.25">
      <c r="A254" s="282" t="s">
        <v>730</v>
      </c>
      <c r="B254" s="120">
        <v>0</v>
      </c>
      <c r="C254" s="691"/>
      <c r="D254" s="694"/>
      <c r="E254" s="691"/>
      <c r="F254" s="640"/>
      <c r="G254" s="645"/>
      <c r="I254" s="278" t="s">
        <v>730</v>
      </c>
      <c r="J254" s="283">
        <v>0</v>
      </c>
    </row>
    <row r="255" spans="1:10" x14ac:dyDescent="0.25">
      <c r="A255" s="279" t="s">
        <v>688</v>
      </c>
      <c r="B255" s="271">
        <f>SUM(B243:B254)</f>
        <v>0</v>
      </c>
      <c r="C255" s="279" t="s">
        <v>688</v>
      </c>
      <c r="D255" s="271">
        <f>SUM(D243:D254)</f>
        <v>0</v>
      </c>
      <c r="E255" s="279" t="s">
        <v>688</v>
      </c>
      <c r="F255" s="641">
        <f>SUM(F243:G254)</f>
        <v>0</v>
      </c>
      <c r="G255" s="688"/>
      <c r="I255" s="279" t="s">
        <v>688</v>
      </c>
      <c r="J255" s="119">
        <f>SUM(J243:J254)</f>
        <v>0</v>
      </c>
    </row>
  </sheetData>
  <sheetProtection algorithmName="SHA-512" hashValue="hajSxJ+2ioQRoRMOPdQOL2Y71XKo0ADN9jTaNdvPB5HVcFOA7xJCVR+ddBnOPLXcvpVv/kH7Xt7YtFggKPUTPA==" saltValue="vlj+FZUja74zI0FEFCewDg==" spinCount="100000" sheet="1" objects="1" scenarios="1" formatCells="0" formatColumns="0" formatRows="0" sort="0" autoFilter="0" pivotTables="0"/>
  <mergeCells count="314">
    <mergeCell ref="A1:D1"/>
    <mergeCell ref="F1:G1"/>
    <mergeCell ref="I1:J1"/>
    <mergeCell ref="K1:K15"/>
    <mergeCell ref="L1:O1"/>
    <mergeCell ref="A2:B2"/>
    <mergeCell ref="C2:D2"/>
    <mergeCell ref="E2:G2"/>
    <mergeCell ref="I2:J2"/>
    <mergeCell ref="C3:C5"/>
    <mergeCell ref="D3:D5"/>
    <mergeCell ref="E3:E8"/>
    <mergeCell ref="F3:G8"/>
    <mergeCell ref="L5:O5"/>
    <mergeCell ref="C6:C8"/>
    <mergeCell ref="D6:D8"/>
    <mergeCell ref="M6:O6"/>
    <mergeCell ref="M7:O7"/>
    <mergeCell ref="L8:O8"/>
    <mergeCell ref="C9:C11"/>
    <mergeCell ref="D9:D11"/>
    <mergeCell ref="E9:E14"/>
    <mergeCell ref="F9:G14"/>
    <mergeCell ref="M9:O9"/>
    <mergeCell ref="M10:O10"/>
    <mergeCell ref="L11:O15"/>
    <mergeCell ref="C12:C14"/>
    <mergeCell ref="D12:D14"/>
    <mergeCell ref="F15:G15"/>
    <mergeCell ref="C19:C21"/>
    <mergeCell ref="D19:D21"/>
    <mergeCell ref="E19:E24"/>
    <mergeCell ref="F19:G24"/>
    <mergeCell ref="C22:C24"/>
    <mergeCell ref="D22:D24"/>
    <mergeCell ref="E17:G17"/>
    <mergeCell ref="I17:J17"/>
    <mergeCell ref="A18:B18"/>
    <mergeCell ref="C18:D18"/>
    <mergeCell ref="E18:G18"/>
    <mergeCell ref="I18:J18"/>
    <mergeCell ref="A34:B34"/>
    <mergeCell ref="C34:D34"/>
    <mergeCell ref="E34:G34"/>
    <mergeCell ref="I34:J34"/>
    <mergeCell ref="C25:C27"/>
    <mergeCell ref="D25:D27"/>
    <mergeCell ref="E25:E30"/>
    <mergeCell ref="F25:G30"/>
    <mergeCell ref="C28:C30"/>
    <mergeCell ref="D28:D30"/>
    <mergeCell ref="C35:C37"/>
    <mergeCell ref="D35:D37"/>
    <mergeCell ref="E35:E40"/>
    <mergeCell ref="F35:G40"/>
    <mergeCell ref="C38:C40"/>
    <mergeCell ref="D38:D40"/>
    <mergeCell ref="F31:G31"/>
    <mergeCell ref="E33:G33"/>
    <mergeCell ref="I33:J33"/>
    <mergeCell ref="A50:B50"/>
    <mergeCell ref="C50:D50"/>
    <mergeCell ref="E50:G50"/>
    <mergeCell ref="I50:J50"/>
    <mergeCell ref="C41:C43"/>
    <mergeCell ref="D41:D43"/>
    <mergeCell ref="E41:E46"/>
    <mergeCell ref="F41:G46"/>
    <mergeCell ref="C44:C46"/>
    <mergeCell ref="D44:D46"/>
    <mergeCell ref="C51:C53"/>
    <mergeCell ref="D51:D53"/>
    <mergeCell ref="E51:E56"/>
    <mergeCell ref="F51:G56"/>
    <mergeCell ref="C54:C56"/>
    <mergeCell ref="D54:D56"/>
    <mergeCell ref="F47:G47"/>
    <mergeCell ref="E49:G49"/>
    <mergeCell ref="I49:J49"/>
    <mergeCell ref="A66:B66"/>
    <mergeCell ref="C66:D66"/>
    <mergeCell ref="E66:G66"/>
    <mergeCell ref="I66:J66"/>
    <mergeCell ref="C57:C59"/>
    <mergeCell ref="D57:D59"/>
    <mergeCell ref="E57:E62"/>
    <mergeCell ref="F57:G62"/>
    <mergeCell ref="C60:C62"/>
    <mergeCell ref="D60:D62"/>
    <mergeCell ref="C67:C69"/>
    <mergeCell ref="D67:D69"/>
    <mergeCell ref="E67:E72"/>
    <mergeCell ref="F67:G72"/>
    <mergeCell ref="C70:C72"/>
    <mergeCell ref="D70:D72"/>
    <mergeCell ref="F63:G63"/>
    <mergeCell ref="E65:G65"/>
    <mergeCell ref="I65:J65"/>
    <mergeCell ref="A82:B82"/>
    <mergeCell ref="C82:D82"/>
    <mergeCell ref="E82:G82"/>
    <mergeCell ref="I82:J82"/>
    <mergeCell ref="C73:C75"/>
    <mergeCell ref="D73:D75"/>
    <mergeCell ref="E73:E78"/>
    <mergeCell ref="F73:G78"/>
    <mergeCell ref="C76:C78"/>
    <mergeCell ref="D76:D78"/>
    <mergeCell ref="C83:C85"/>
    <mergeCell ref="D83:D85"/>
    <mergeCell ref="E83:E88"/>
    <mergeCell ref="F83:G88"/>
    <mergeCell ref="C86:C88"/>
    <mergeCell ref="D86:D88"/>
    <mergeCell ref="F79:G79"/>
    <mergeCell ref="E81:G81"/>
    <mergeCell ref="I81:J81"/>
    <mergeCell ref="A98:B98"/>
    <mergeCell ref="C98:D98"/>
    <mergeCell ref="E98:G98"/>
    <mergeCell ref="I98:J98"/>
    <mergeCell ref="C89:C91"/>
    <mergeCell ref="D89:D91"/>
    <mergeCell ref="E89:E94"/>
    <mergeCell ref="F89:G94"/>
    <mergeCell ref="C92:C94"/>
    <mergeCell ref="D92:D94"/>
    <mergeCell ref="C99:C101"/>
    <mergeCell ref="D99:D101"/>
    <mergeCell ref="E99:E104"/>
    <mergeCell ref="F99:G104"/>
    <mergeCell ref="C102:C104"/>
    <mergeCell ref="D102:D104"/>
    <mergeCell ref="F95:G95"/>
    <mergeCell ref="E97:G97"/>
    <mergeCell ref="I97:J97"/>
    <mergeCell ref="A114:B114"/>
    <mergeCell ref="C114:D114"/>
    <mergeCell ref="E114:G114"/>
    <mergeCell ref="I114:J114"/>
    <mergeCell ref="C105:C107"/>
    <mergeCell ref="D105:D107"/>
    <mergeCell ref="E105:E110"/>
    <mergeCell ref="F105:G110"/>
    <mergeCell ref="C108:C110"/>
    <mergeCell ref="D108:D110"/>
    <mergeCell ref="C115:C117"/>
    <mergeCell ref="D115:D117"/>
    <mergeCell ref="E115:E120"/>
    <mergeCell ref="F115:G120"/>
    <mergeCell ref="C118:C120"/>
    <mergeCell ref="D118:D120"/>
    <mergeCell ref="F111:G111"/>
    <mergeCell ref="E113:G113"/>
    <mergeCell ref="I113:J113"/>
    <mergeCell ref="A130:B130"/>
    <mergeCell ref="C130:D130"/>
    <mergeCell ref="E130:G130"/>
    <mergeCell ref="I130:J130"/>
    <mergeCell ref="C121:C123"/>
    <mergeCell ref="D121:D123"/>
    <mergeCell ref="E121:E126"/>
    <mergeCell ref="F121:G126"/>
    <mergeCell ref="C124:C126"/>
    <mergeCell ref="D124:D126"/>
    <mergeCell ref="C131:C133"/>
    <mergeCell ref="D131:D133"/>
    <mergeCell ref="E131:E136"/>
    <mergeCell ref="F131:G136"/>
    <mergeCell ref="C134:C136"/>
    <mergeCell ref="D134:D136"/>
    <mergeCell ref="F127:G127"/>
    <mergeCell ref="E129:G129"/>
    <mergeCell ref="I129:J129"/>
    <mergeCell ref="A146:B146"/>
    <mergeCell ref="C146:D146"/>
    <mergeCell ref="E146:G146"/>
    <mergeCell ref="I146:J146"/>
    <mergeCell ref="C137:C139"/>
    <mergeCell ref="D137:D139"/>
    <mergeCell ref="E137:E142"/>
    <mergeCell ref="F137:G142"/>
    <mergeCell ref="C140:C142"/>
    <mergeCell ref="D140:D142"/>
    <mergeCell ref="C147:C149"/>
    <mergeCell ref="D147:D149"/>
    <mergeCell ref="E147:E152"/>
    <mergeCell ref="F147:G152"/>
    <mergeCell ref="C150:C152"/>
    <mergeCell ref="D150:D152"/>
    <mergeCell ref="F143:G143"/>
    <mergeCell ref="E145:G145"/>
    <mergeCell ref="I145:J145"/>
    <mergeCell ref="A162:B162"/>
    <mergeCell ref="C162:D162"/>
    <mergeCell ref="E162:G162"/>
    <mergeCell ref="I162:J162"/>
    <mergeCell ref="C153:C155"/>
    <mergeCell ref="D153:D155"/>
    <mergeCell ref="E153:E158"/>
    <mergeCell ref="F153:G158"/>
    <mergeCell ref="C156:C158"/>
    <mergeCell ref="D156:D158"/>
    <mergeCell ref="C163:C165"/>
    <mergeCell ref="D163:D165"/>
    <mergeCell ref="E163:E168"/>
    <mergeCell ref="F163:G168"/>
    <mergeCell ref="C166:C168"/>
    <mergeCell ref="D166:D168"/>
    <mergeCell ref="F159:G159"/>
    <mergeCell ref="E161:G161"/>
    <mergeCell ref="I161:J161"/>
    <mergeCell ref="A178:B178"/>
    <mergeCell ref="C178:D178"/>
    <mergeCell ref="E178:G178"/>
    <mergeCell ref="I178:J178"/>
    <mergeCell ref="C169:C171"/>
    <mergeCell ref="D169:D171"/>
    <mergeCell ref="E169:E174"/>
    <mergeCell ref="F169:G174"/>
    <mergeCell ref="C172:C174"/>
    <mergeCell ref="D172:D174"/>
    <mergeCell ref="C179:C181"/>
    <mergeCell ref="D179:D181"/>
    <mergeCell ref="E179:E184"/>
    <mergeCell ref="F179:G184"/>
    <mergeCell ref="C182:C184"/>
    <mergeCell ref="D182:D184"/>
    <mergeCell ref="F175:G175"/>
    <mergeCell ref="E177:G177"/>
    <mergeCell ref="I177:J177"/>
    <mergeCell ref="A194:B194"/>
    <mergeCell ref="C194:D194"/>
    <mergeCell ref="E194:G194"/>
    <mergeCell ref="I194:J194"/>
    <mergeCell ref="C185:C187"/>
    <mergeCell ref="D185:D187"/>
    <mergeCell ref="E185:E190"/>
    <mergeCell ref="F185:G190"/>
    <mergeCell ref="C188:C190"/>
    <mergeCell ref="D188:D190"/>
    <mergeCell ref="C195:C197"/>
    <mergeCell ref="D195:D197"/>
    <mergeCell ref="E195:E200"/>
    <mergeCell ref="F195:G200"/>
    <mergeCell ref="C198:C200"/>
    <mergeCell ref="D198:D200"/>
    <mergeCell ref="F191:G191"/>
    <mergeCell ref="E193:G193"/>
    <mergeCell ref="I193:J193"/>
    <mergeCell ref="A210:B210"/>
    <mergeCell ref="C210:D210"/>
    <mergeCell ref="E210:G210"/>
    <mergeCell ref="I210:J210"/>
    <mergeCell ref="C201:C203"/>
    <mergeCell ref="D201:D203"/>
    <mergeCell ref="E201:E206"/>
    <mergeCell ref="F201:G206"/>
    <mergeCell ref="C204:C206"/>
    <mergeCell ref="D204:D206"/>
    <mergeCell ref="C211:C213"/>
    <mergeCell ref="D211:D213"/>
    <mergeCell ref="E211:E216"/>
    <mergeCell ref="F211:G216"/>
    <mergeCell ref="C214:C216"/>
    <mergeCell ref="D214:D216"/>
    <mergeCell ref="F207:G207"/>
    <mergeCell ref="E209:G209"/>
    <mergeCell ref="I209:J209"/>
    <mergeCell ref="A226:B226"/>
    <mergeCell ref="C226:D226"/>
    <mergeCell ref="E226:G226"/>
    <mergeCell ref="I226:J226"/>
    <mergeCell ref="C217:C219"/>
    <mergeCell ref="D217:D219"/>
    <mergeCell ref="E217:E222"/>
    <mergeCell ref="F217:G222"/>
    <mergeCell ref="C220:C222"/>
    <mergeCell ref="D220:D222"/>
    <mergeCell ref="C227:C229"/>
    <mergeCell ref="D227:D229"/>
    <mergeCell ref="E227:E232"/>
    <mergeCell ref="F227:G232"/>
    <mergeCell ref="C230:C232"/>
    <mergeCell ref="D230:D232"/>
    <mergeCell ref="F223:G223"/>
    <mergeCell ref="E225:G225"/>
    <mergeCell ref="I225:J225"/>
    <mergeCell ref="F239:G239"/>
    <mergeCell ref="E241:G241"/>
    <mergeCell ref="I241:J241"/>
    <mergeCell ref="A242:B242"/>
    <mergeCell ref="C242:D242"/>
    <mergeCell ref="E242:G242"/>
    <mergeCell ref="I242:J242"/>
    <mergeCell ref="C233:C235"/>
    <mergeCell ref="D233:D235"/>
    <mergeCell ref="E233:E238"/>
    <mergeCell ref="F233:G238"/>
    <mergeCell ref="C236:C238"/>
    <mergeCell ref="D236:D238"/>
    <mergeCell ref="F255:G255"/>
    <mergeCell ref="C249:C251"/>
    <mergeCell ref="D249:D251"/>
    <mergeCell ref="E249:E254"/>
    <mergeCell ref="F249:G254"/>
    <mergeCell ref="C252:C254"/>
    <mergeCell ref="D252:D254"/>
    <mergeCell ref="C243:C245"/>
    <mergeCell ref="D243:D245"/>
    <mergeCell ref="E243:E248"/>
    <mergeCell ref="F243:G248"/>
    <mergeCell ref="C246:C248"/>
    <mergeCell ref="D246:D248"/>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Customer Details</vt:lpstr>
      <vt:lpstr>Loan Details</vt:lpstr>
      <vt:lpstr>MSME_Detail</vt:lpstr>
      <vt:lpstr>MSME Detail</vt:lpstr>
      <vt:lpstr>Average Banking</vt:lpstr>
      <vt:lpstr>Banking</vt:lpstr>
      <vt:lpstr>ROC</vt:lpstr>
      <vt:lpstr>DSCR Method</vt:lpstr>
      <vt:lpstr>Existing Borrower Top-up</vt:lpstr>
      <vt:lpstr>ITR Program</vt:lpstr>
      <vt:lpstr>Gross Receipts</vt:lpstr>
      <vt:lpstr>Income Multiplier</vt:lpstr>
      <vt:lpstr>Details</vt:lpstr>
      <vt:lpstr>Financial</vt:lpstr>
      <vt:lpstr>Banking Cashflow</vt:lpstr>
      <vt:lpstr>Banking Trend</vt:lpstr>
      <vt:lpstr>Repayment</vt:lpstr>
      <vt:lpstr>NC-RTR</vt:lpstr>
      <vt:lpstr>Observation Sheet</vt:lpstr>
      <vt:lpstr>SHP</vt:lpstr>
      <vt:lpstr>Sale-Purchase Plotting</vt:lpstr>
      <vt:lpstr>Gross Margin</vt:lpstr>
      <vt:lpstr>Gross Profit</vt:lpstr>
      <vt:lpstr>Projected Turnover</vt:lpstr>
      <vt:lpstr>Turnover Multiplier</vt:lpstr>
      <vt:lpstr>GST TO Surrogate</vt:lpstr>
      <vt:lpstr>Repayment Surrogate</vt:lpstr>
      <vt:lpstr>GSTR CY</vt:lpstr>
      <vt:lpstr>GSTR 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AmitDas</dc:creator>
  <cp:lastModifiedBy>Mahesh Shetty</cp:lastModifiedBy>
  <cp:lastPrinted>2021-02-22T12:55:27Z</cp:lastPrinted>
  <dcterms:created xsi:type="dcterms:W3CDTF">2015-08-18T10:39:40Z</dcterms:created>
  <dcterms:modified xsi:type="dcterms:W3CDTF">2021-04-02T11:24:31Z</dcterms:modified>
</cp:coreProperties>
</file>